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ФХД'!$Q$84</definedName>
    <definedName name="B_FHD_CHECK_INDEX_2">'Показатели ФХД'!$Q$86</definedName>
    <definedName name="B_FHD_COSTS_INDEX_1">'Показатели ФХД'!$H$83:$O$83</definedName>
    <definedName name="B_FHD_COSTS_INDEX_2">'Показатели ФХД'!$H$85:$O$85</definedName>
    <definedName name="B_FHD_DATA_TOP80_ACTIVITY">'Показатели ФХД'!$H$108:$O$108</definedName>
    <definedName name="B_FHD_diff_1">'Показатели ФХД'!$I$25:$I$27</definedName>
    <definedName name="B_FHD_FLAG_DIFFERENTIATION">'Показатели ФХД'!$H$24:$O$24</definedName>
    <definedName name="B_FHD_FLAG_INDEX_1">'Показатели ФХД'!$H$84:$O$84</definedName>
    <definedName name="B_FHD_FLAG_INDEX_2">'Показатели ФХД'!$H$86:$O$86</definedName>
    <definedName name="B_FHD_TKO_DATA_TOP80_ACTIVITY">'ТКО. Показатели ФХД'!$H$45:$O$45</definedName>
    <definedName name="B_FHD_TKO_diff_1">'ТКО. Показатели ФХД'!$I$10:$I$12</definedName>
    <definedName name="B_FHD_TKO_FLAG_DIFFERENTIATION">'ТКО. Показатели ФХД'!$H$9:$O$9</definedName>
    <definedName name="B_FHD_TKO_TRANS_DATA_TOP80_ACTIVITY">'ТКО. Транс. Показатели ФХД'!$H$36:$O$36</definedName>
    <definedName name="B_FHD_TKO_TRANS_diff_1">'ТКО. Транс. Показатели ФХД'!$I$10:$I$12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ФХД'!$109:$117</definedName>
    <definedName name="BLOCK_POK_FHD_COLDVSNA_P2">'Показатели ФХД'!$142:$146</definedName>
    <definedName name="BLOCK_POK_FHD_HEAT_ONLY_REG_ORG_P1">'Показатели ФХД'!$74:$75</definedName>
    <definedName name="BLOCK_POK_FHD_HEAT_ONLY_REG_ORG_P2">'Показатели ФХД'!$107:$162</definedName>
    <definedName name="BLOCK_POK_FHD_HEAT_P1">'Показатели ФХД'!$33:$58</definedName>
    <definedName name="BLOCK_POK_FHD_HEAT_P2">'Показатели ФХД'!$99:$99</definedName>
    <definedName name="BLOCK_POK_FHD_HEAT_P3">'Показатели ФХД'!$126:$138</definedName>
    <definedName name="BLOCK_POK_FHD_HEAT_P4">'Показатели ФХД'!$140:$140</definedName>
    <definedName name="BLOCK_POK_FHD_HEAT_P5">'Показатели ФХД'!$147:$161</definedName>
    <definedName name="BLOCK_POK_FHD_HEAT_P6">'Показатели ФХД'!$65:$65</definedName>
    <definedName name="BLOCK_POK_FHD_HOTVSNA_P1">'Показатели ФХД'!$59:$61</definedName>
    <definedName name="BLOCK_POK_FHD_HOTVSNA_P2">'Показатели ФХД'!$118:$122</definedName>
    <definedName name="BLOCK_POK_FHD_NOT_HEAT_P1">'Показатели ФХД'!$85:$86</definedName>
    <definedName name="BLOCK_POK_FHD_NOT_HEAT_P2">'Показатели ФХД'!$107:$107</definedName>
    <definedName name="BLOCK_POK_FHD_NOT_HOTVSNA">'Показатели ФХД'!$66:$66</definedName>
    <definedName name="BLOCK_POK_FHD_VOTV_P1">'Показатели ФХД'!$123:$125</definedName>
    <definedName name="BLOCK_POK_FHD_VSNA">'Показатели ФХД'!$141:$141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Дифференциация!$I$12:$I$29</definedName>
    <definedName name="DIFFERENTIATION_AREA_ID">Дифференциация!$U$11:$U$30</definedName>
    <definedName name="DIFFERENTIATION_CheckC">Дифференциация!$D$12:$M$29</definedName>
    <definedName name="DIFFERENTIATION_fieldMarker">Дифференциация!$W$12:$W$29</definedName>
    <definedName name="DIFFERENTIATION_ID">TEHSHEET!$E$57</definedName>
    <definedName name="DIFFERENTIATION_ID_DIFF">Дифференциация!$O$12:$O$29</definedName>
    <definedName name="DIFFERENTIATION_SYSTEM">Дифференциация!$M$12:$M$29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Дифференциация!$Q$12:$Q$29</definedName>
    <definedName name="DIFFERENTIATION_UNMERGE_SYSTEM">Дифференциация!$R$12:$R$29</definedName>
    <definedName name="DIFFERENTIATION_UNMERGE_VD">Дифференциация!$P$12:$P$29</definedName>
    <definedName name="DIFFERENTIATION_VD">Дифференциация!$E$12:$E$29</definedName>
    <definedName name="DIFFERENTIATION_VD_ID">Дифференциация!$V$11:$V$30</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Детализация'!$A$1078:$A$1078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Дифференциация!$G$12:$G$29</definedName>
    <definedName name="pDel_DIFFERENTIATION_SYSTEM">Дифференциация!$K$12:$K$29</definedName>
    <definedName name="pDel_DIFFERENTIATION_VD">Дифференциация!$C$12:$C$29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ФХД'!$F$98</definedName>
    <definedName name="pIns_B_FHD_3">'Показатели ФХД'!$F$128</definedName>
    <definedName name="pIns_B_FHD_4">'Показатели ФХД'!$F$146</definedName>
    <definedName name="pIns_B_FHD_5">'Показатели ФХД'!$F$151</definedName>
    <definedName name="pIns_B_FHD_6">'Показатели ФХД'!$F$156</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Детализация'!$F$1078</definedName>
    <definedName name="pIns_IP_FIN_PLAN">'ИП. Финансовый план'!$AD$8</definedName>
    <definedName name="pIns_IP_MAIN">ИП!$G$17</definedName>
    <definedName name="pIns_IP_QRE">'ИП. КНЭ'!$F$33</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p3">Ограничения!$F$36:$U$37</definedName>
    <definedName name="Q_LIMIT_p4">Ограничения!$F$38:$U$39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ФХД'!$O$162</definedName>
    <definedName name="tblEnd_1_B_FHD_TKO">'ТКО. Показатели ФХД'!$O$49</definedName>
    <definedName name="tblEnd_1_B_FHD_TKO_TRANS">'ТКО. Транс. Показатели ФХД'!$O$43</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Дифференциация!$M$30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Детализация'!$AH$1078</definedName>
    <definedName name="tblEnd_1_IP_FIN_PLAN">'ИП. Финансовый план'!$AD$58</definedName>
    <definedName name="tblEnd_1_IP_MAIN">ИП!$AB$18</definedName>
    <definedName name="tblEnd_1_IP_QRE">'ИП. КНЭ'!$FX$33</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Дифференциация!$F$12:$F$29</definedName>
    <definedName name="Y_N_DIFFERENTIATION_SYSTEM">Дифференциация!$J$12:$J$29</definedName>
    <definedName name="YEAR_IP_LIST">TEHSHEET!$BE$2:$BE$74</definedName>
    <definedName name="year_list">TEHSHEET!$C$2:$C$6</definedName>
    <definedName name="year_list1">TEHSHEET!$B$2:$B$27</definedName>
    <definedName name="et_B_FHD20_1">et_union_hor!$127:$135</definedName>
    <definedName name="ter_5">'Список территорий'!$G$16:$I$16</definedName>
    <definedName name="ter_51">'Список территорий'!$G$19:$I$19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DESCRIPTION_TERRITORY">REESTR_DS!$B$2:$B$4</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IP_MAIN_ip_51">ИП!$13:$14</definedName>
    <definedName name="IP_QRE_ip_51">'ИП. КНЭ'!$21:$23</definedName>
    <definedName name="IP_DETAILED_ip_51">'ИП. Детализация'!$14:$185</definedName>
    <definedName name="IP_FIN_PLAN_ip_51">'ИП. Финансовый план'!$K$11:$V$11</definedName>
    <definedName name="IP_MAIN_ip_511">ИП!$15:$16</definedName>
    <definedName name="IP_QRE_ip_511">'ИП. КНЭ'!$24:$32</definedName>
    <definedName name="IP_DETAILED_ip_511">'ИП. Детализация'!$186:$1077</definedName>
    <definedName name="IP_FIN_PLAN_ip_511">'ИП. Финансовый план'!$W$11:$AC$11</definedName>
    <definedName name="IP_MAIN_ip_5111">ИП!#REF!</definedName>
    <definedName name="IP_QRE_ip_5111">'ИП. КНЭ'!#REF!</definedName>
    <definedName name="IP_DETAILED_ip_5111">'ИП. Детализация'!#REF!</definedName>
    <definedName name="IP_FIN_PLAN_ip_5111">'ИП. Финансовый план'!#REF!</definedName>
    <definedName name="IP_MAIN_ip_51111">ИП!#REF!</definedName>
    <definedName name="IP_QRE_ip_51111">'ИП. КНЭ'!#REF!</definedName>
    <definedName name="IP_DETAILED_ip_51111">'ИП. Детализация'!#REF!</definedName>
    <definedName name="IP_FIN_PLAN_ip_51111">'ИП. Финансовый план'!#REF!</definedName>
    <definedName name="REESTR_INFR_RANGE">REESTR_OBJ_INFR!$A$2:$AL$43</definedName>
    <definedName name="REESTR_IP_RANGE">REESTR_IP!$A$2:$I$10</definedName>
    <definedName name="VD_LIST">REESTR_VED!$A$2:$B$11</definedName>
    <definedName name="VD_ID_LIST">REESTR_VED!$A$2:$A$11</definedName>
    <definedName name="VD_NAME_LIST">REESTR_VED!$B$2:$B$11</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<sst xmlns="http://schemas.openxmlformats.org/spreadsheetml/2006/main" count="31077" uniqueCount="5588">
  <si>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</si>
  <si>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</si>
  <si>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</si>
  <si>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</si>
  <si>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</si>
  <si>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</si>
  <si>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</si>
  <si>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</si>
  <si>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</si>
  <si>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</si>
  <si>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</si>
  <si>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</si>
  <si>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</si>
  <si>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26498149</t>
  </si>
  <si>
    <t>Flag_Row_Size</t>
  </si>
  <si>
    <t>Субъект РФ</t>
  </si>
  <si>
    <t>Забайкальский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</si>
  <si>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</si>
  <si>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</si>
  <si>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</si>
  <si>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</si>
  <si>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</si>
  <si>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</si>
  <si>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</si>
  <si>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</si>
  <si>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</si>
  <si>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</si>
  <si>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</si>
  <si>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</si>
  <si>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</si>
  <si>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</si>
  <si>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</si>
  <si>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</si>
  <si>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</si>
  <si>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</si>
  <si>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</si>
  <si>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</si>
  <si>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</si>
  <si>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</si>
  <si>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28.02.2025</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</si>
  <si>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</si>
  <si>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</si>
  <si>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</si>
  <si>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</si>
  <si>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</si>
  <si>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</si>
  <si>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"ТГК-14"</t>
  </si>
  <si>
    <t>Наименование (описание) обособленного подразделения</t>
  </si>
  <si>
    <t>ИНН</t>
  </si>
  <si>
    <t>7534018889</t>
  </si>
  <si>
    <t>КПП</t>
  </si>
  <si>
    <t>753401001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</si>
  <si>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</si>
  <si>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</si>
  <si>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</si>
  <si>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</si>
  <si>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</si>
  <si>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</si>
  <si>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</si>
  <si>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</si>
  <si>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</si>
  <si>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</si>
  <si>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</si>
  <si>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</si>
  <si>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</si>
  <si>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</si>
  <si>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</si>
  <si>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</si>
  <si>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</si>
  <si>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</si>
  <si>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</si>
  <si>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Чита, ул. Профсоюзная, 23</t>
  </si>
  <si>
    <t>Фамилия, имя, отчество руководителя</t>
  </si>
  <si>
    <t>АО "ДУК" (Николаев Евгений Сергеевич)</t>
  </si>
  <si>
    <t>Ответственный за заполнение формы</t>
  </si>
  <si>
    <t>Фамилия, имя, отчество</t>
  </si>
  <si>
    <t>Раздъяконова Ирина Алексеевна</t>
  </si>
  <si>
    <t>Должность</t>
  </si>
  <si>
    <t>Ведущий экономист отдела тарифообразования</t>
  </si>
  <si>
    <t>Контактный телефон</t>
  </si>
  <si>
    <t>8 (3022)-384-629</t>
  </si>
  <si>
    <t>E-mail</t>
  </si>
  <si>
    <t>razdyakonova.ia@chita.tgk-14.com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</si>
  <si>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</si>
  <si>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</si>
  <si>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</si>
  <si>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</si>
  <si>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</si>
  <si>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</si>
  <si>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</si>
  <si>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</si>
  <si>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</si>
  <si>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</si>
  <si>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</si>
  <si>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</si>
  <si>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</si>
  <si>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</si>
  <si>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</si>
  <si>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</si>
  <si>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</si>
  <si>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43</t>
  </si>
  <si>
    <t>Борзинский муниципальный район</t>
  </si>
  <si>
    <t>Шерловогорское</t>
  </si>
  <si>
    <t>76609154</t>
  </si>
  <si>
    <t>Добавить МО</t>
  </si>
  <si>
    <t>2</t>
  </si>
  <si>
    <t>×</t>
  </si>
  <si>
    <t>ter_5</t>
  </si>
  <si>
    <t>242</t>
  </si>
  <si>
    <t>Приаргунский муниципальный округ</t>
  </si>
  <si>
    <t>76538000</t>
  </si>
  <si>
    <t>ter_51</t>
  </si>
  <si>
    <t>69</t>
  </si>
  <si>
    <t>Городской округ "Город Чита"</t>
  </si>
  <si>
    <t>76701000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</si>
  <si>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</si>
  <si>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</si>
  <si>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</si>
  <si>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</si>
  <si>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</si>
  <si>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</si>
  <si>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</si>
  <si>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</si>
  <si>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</si>
  <si>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</si>
  <si>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</si>
  <si>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</si>
  <si>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</si>
  <si>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Шерловогорская ТЭЦ</t>
  </si>
  <si>
    <t>diff_1</t>
  </si>
  <si>
    <t>4190065; 4190068; 4190070</t>
  </si>
  <si>
    <t>a</t>
  </si>
  <si>
    <t>Добавить централизованную систему</t>
  </si>
  <si>
    <t>Приаргунская ТЭЦ</t>
  </si>
  <si>
    <t>diff_5111</t>
  </si>
  <si>
    <t>Добавить описание территории</t>
  </si>
  <si>
    <t>ЦТС г. Чита (ЧТЭЦ-1, ЧТЭЦ-2)</t>
  </si>
  <si>
    <t>diff_5</t>
  </si>
  <si>
    <t>4190065; 4190066; 4190068; 4190070</t>
  </si>
  <si>
    <t>diff_51</t>
  </si>
  <si>
    <t>4190067</t>
  </si>
  <si>
    <t>diff_51111</t>
  </si>
  <si>
    <t>Котельные г. Чита</t>
  </si>
  <si>
    <t>diff_511</t>
  </si>
  <si>
    <t>4190064; 4190068; 4190070</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</si>
  <si>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</si>
  <si>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</si>
  <si>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</si>
  <si>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</si>
  <si>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</si>
  <si>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</si>
  <si>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</si>
  <si>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</si>
  <si>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</si>
  <si>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</si>
  <si>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</si>
  <si>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</si>
  <si>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</si>
  <si>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</si>
  <si>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</si>
  <si>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</si>
  <si>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</si>
  <si>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</si>
  <si>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</si>
  <si>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</si>
  <si>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</si>
  <si>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</si>
  <si>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</si>
  <si>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</si>
  <si>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</si>
  <si>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</si>
  <si>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</si>
  <si>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</si>
  <si>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</si>
  <si>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</si>
  <si>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</si>
  <si>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</si>
  <si>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</si>
  <si>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</si>
  <si>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</si>
  <si>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</si>
  <si>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</si>
  <si>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</si>
  <si>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</si>
  <si>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</si>
  <si>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</si>
  <si>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</si>
  <si>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</si>
  <si>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</si>
  <si>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</si>
  <si>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</si>
  <si>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</si>
  <si>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</si>
  <si>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</si>
  <si>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</si>
  <si>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</si>
  <si>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</si>
  <si>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</si>
  <si>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</si>
  <si>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</si>
  <si>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</si>
  <si>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</si>
  <si>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</si>
  <si>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</si>
  <si>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</si>
  <si>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</si>
  <si>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</si>
  <si>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</si>
  <si>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</si>
  <si>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</si>
  <si>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</si>
  <si>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</si>
  <si>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</si>
  <si>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</si>
  <si>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</si>
  <si>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</si>
  <si>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</si>
  <si>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</si>
  <si>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</si>
  <si>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</si>
  <si>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</si>
  <si>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</si>
  <si>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</si>
  <si>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</si>
  <si>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</si>
  <si>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</si>
  <si>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</si>
  <si>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</si>
  <si>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</si>
  <si>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</si>
  <si>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</si>
  <si>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</si>
  <si>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</si>
  <si>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</si>
  <si>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</si>
  <si>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</si>
  <si>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</si>
  <si>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</si>
  <si>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</si>
  <si>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</si>
  <si>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</si>
  <si>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</si>
  <si>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</si>
  <si>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</si>
  <si>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</si>
  <si>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</si>
  <si>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</si>
  <si>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</si>
  <si>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</si>
  <si>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</si>
  <si>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</si>
  <si>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</si>
  <si>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</si>
  <si>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</si>
  <si>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</si>
  <si>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</si>
  <si>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</si>
  <si>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</si>
  <si>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</si>
  <si>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</si>
  <si>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</si>
  <si>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</si>
  <si>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</si>
  <si>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</si>
  <si>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</si>
  <si>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</si>
  <si>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</si>
  <si>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</si>
  <si>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</si>
  <si>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</si>
  <si>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</si>
  <si>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</si>
  <si>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</si>
  <si>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</si>
  <si>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</si>
  <si>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</si>
  <si>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</si>
  <si>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</si>
  <si>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</si>
  <si>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</si>
  <si>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</si>
  <si>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</si>
  <si>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</si>
  <si>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</si>
  <si>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</si>
  <si>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</si>
  <si>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</si>
  <si>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</si>
  <si>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</si>
  <si>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</si>
  <si>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</si>
  <si>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</si>
  <si>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</si>
  <si>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</si>
  <si>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</si>
  <si>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</si>
  <si>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</si>
  <si>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</si>
  <si>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</si>
  <si>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</si>
  <si>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</si>
  <si>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</si>
  <si>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</si>
  <si>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</si>
  <si>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</si>
  <si>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</si>
  <si>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</si>
  <si>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</si>
  <si>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</si>
  <si>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</si>
  <si>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</si>
  <si>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</si>
  <si>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</si>
  <si>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</si>
  <si>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</si>
  <si>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</si>
  <si>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</si>
  <si>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</si>
  <si>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</si>
  <si>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</si>
  <si>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</si>
  <si>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</si>
  <si>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</si>
  <si>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</si>
  <si>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</si>
  <si>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</si>
  <si>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</si>
  <si>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</si>
  <si>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</si>
  <si>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</si>
  <si>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</si>
  <si>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</si>
  <si>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</si>
  <si>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</si>
  <si>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</si>
  <si>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</si>
  <si>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</si>
  <si>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</si>
  <si>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</si>
  <si>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</si>
  <si>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</si>
  <si>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</si>
  <si>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</si>
  <si>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</si>
  <si>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</si>
  <si>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</si>
  <si>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</si>
  <si>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</si>
  <si>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</si>
  <si>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</si>
  <si>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</si>
  <si>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</si>
  <si>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</si>
  <si>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</si>
  <si>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</si>
  <si>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</si>
  <si>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</si>
  <si>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</si>
  <si>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</si>
  <si>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</si>
  <si>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</si>
  <si>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</si>
  <si>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</si>
  <si>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</si>
  <si>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</si>
  <si>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</si>
  <si>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</si>
  <si>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</si>
  <si>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</si>
  <si>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</si>
  <si>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</si>
  <si>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</si>
  <si>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</si>
  <si>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</si>
  <si>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</si>
  <si>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</si>
  <si>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</si>
  <si>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</si>
  <si>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</si>
  <si>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</si>
  <si>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</si>
  <si>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</si>
  <si>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</si>
  <si>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</si>
  <si>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</si>
  <si>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</si>
  <si>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</si>
  <si>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</si>
  <si>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</si>
  <si>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</si>
  <si>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</si>
  <si>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</si>
  <si>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</si>
  <si>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</si>
  <si>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</si>
  <si>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</si>
  <si>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</si>
  <si>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</si>
  <si>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</si>
  <si>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</si>
  <si>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</si>
  <si>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</si>
  <si>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</si>
  <si>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</si>
  <si>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</si>
  <si>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</si>
  <si>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</si>
  <si>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</si>
  <si>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</si>
  <si>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</si>
  <si>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</si>
  <si>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</si>
  <si>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</si>
  <si>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</si>
  <si>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</si>
  <si>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</si>
  <si>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</si>
  <si>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</si>
  <si>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</si>
  <si>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</si>
  <si>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</si>
  <si>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</si>
  <si>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</si>
  <si>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</si>
  <si>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</si>
  <si>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</si>
  <si>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</si>
  <si>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</si>
  <si>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</si>
  <si>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</si>
  <si>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</si>
  <si>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</si>
  <si>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</si>
  <si>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</si>
  <si>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</si>
  <si>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</si>
  <si>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</si>
  <si>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</si>
  <si>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</si>
  <si>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</si>
  <si>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</si>
  <si>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</si>
  <si>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</si>
  <si>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</si>
  <si>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</si>
  <si>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</si>
  <si>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</si>
  <si>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</si>
  <si>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</si>
  <si>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</si>
  <si>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</si>
  <si>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</si>
  <si>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</si>
  <si>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</si>
  <si>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</si>
  <si>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</si>
  <si>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</si>
  <si>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</si>
  <si>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</si>
  <si>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</si>
  <si>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</si>
  <si>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</si>
  <si>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</si>
  <si>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</si>
  <si>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</si>
  <si>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</si>
  <si>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</si>
  <si>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</si>
  <si>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</si>
  <si>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</si>
  <si>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</si>
  <si>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</si>
  <si>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</si>
  <si>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</si>
  <si>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</si>
  <si>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</si>
  <si>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</si>
  <si>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</si>
  <si>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</si>
  <si>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</si>
  <si>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</si>
  <si>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</si>
  <si>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</si>
  <si>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</si>
  <si>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</si>
  <si>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</si>
  <si>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</si>
  <si>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</si>
  <si>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</si>
  <si>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</si>
  <si>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</si>
  <si>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</si>
  <si>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</si>
  <si>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</si>
  <si>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</si>
  <si>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</si>
  <si>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</si>
  <si>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</si>
  <si>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</si>
  <si>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</si>
  <si>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</si>
  <si>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</si>
  <si>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</si>
  <si>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</si>
  <si>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</si>
  <si>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</si>
  <si>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</si>
  <si>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</si>
  <si>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</si>
  <si>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</si>
  <si>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</si>
  <si>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</si>
  <si>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</si>
  <si>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</si>
  <si>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</si>
  <si>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</si>
  <si>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</si>
  <si>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</si>
  <si>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</si>
  <si>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</si>
  <si>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</si>
  <si>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</si>
  <si>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</si>
  <si>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</si>
  <si>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</si>
  <si>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</si>
  <si>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</si>
  <si>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</si>
  <si>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</si>
  <si>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</si>
  <si>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</si>
  <si>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</si>
  <si>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</si>
  <si>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</si>
  <si>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</si>
  <si>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</si>
  <si>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</si>
  <si>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</si>
  <si>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</si>
  <si>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</si>
  <si>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</si>
  <si>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</si>
  <si>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</si>
  <si>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</si>
  <si>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</si>
  <si>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</si>
  <si>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</si>
  <si>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</si>
  <si>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</si>
  <si>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</si>
  <si>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</si>
  <si>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</si>
  <si>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</si>
  <si>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</si>
  <si>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</si>
  <si>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</si>
  <si>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</si>
  <si>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</si>
  <si>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</si>
  <si>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</si>
  <si>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</si>
  <si>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</si>
  <si>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</si>
  <si>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</si>
  <si>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</si>
  <si>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</si>
  <si>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</si>
  <si>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</si>
  <si>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</si>
  <si>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</si>
  <si>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</si>
  <si>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</si>
  <si>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</si>
  <si>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</si>
  <si>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</si>
  <si>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</si>
  <si>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</si>
  <si>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</si>
  <si>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</si>
  <si>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</si>
  <si>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</si>
  <si>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</si>
  <si>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</si>
  <si>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</si>
  <si>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</si>
  <si>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</si>
  <si>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</si>
  <si>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</si>
  <si>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</si>
  <si>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</si>
  <si>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</si>
  <si>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</si>
  <si>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</si>
  <si>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</si>
  <si>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мазут</t>
  </si>
  <si>
    <t>дизельное топливо</t>
  </si>
  <si>
    <t>Добавить вид топлива</t>
  </si>
  <si>
    <t>HOTVSNA_P1</t>
  </si>
  <si>
    <t>руб.</t>
  </si>
  <si>
    <t>тыс. кВт·ч</t>
  </si>
  <si>
    <t>HEAT_P6</t>
  </si>
  <si>
    <t>NOT_HOTVSNA</t>
  </si>
  <si>
    <t>отсутствует</t>
  </si>
  <si>
    <t>NOT_HEAT_P1</t>
  </si>
  <si>
    <t>Выплаты в соответствии с коллективным договором</t>
  </si>
  <si>
    <t>Услуги банков</t>
  </si>
  <si>
    <t>Расходы по сомнительным долгам</t>
  </si>
  <si>
    <t>% за кредит</t>
  </si>
  <si>
    <t>Налог на прибыль</t>
  </si>
  <si>
    <t>Прочая госпошлина</t>
  </si>
  <si>
    <t>Расходы ревизионной комиссии</t>
  </si>
  <si>
    <t>Чрезвычайные расходы</t>
  </si>
  <si>
    <t>Другие прочие расходы</t>
  </si>
  <si>
    <t>Добавить прочие расходы</t>
  </si>
  <si>
    <t>HEAT_P2</t>
  </si>
  <si>
    <t>NOT_HEAT_P2</t>
  </si>
  <si>
    <t>hyp</t>
  </si>
  <si>
    <t>https://portal.eias.ru/Portal/DownloadPage.aspx?type=12&amp;guid=7d62a0f8-be04-4598-b90d-df12e4a5bc89</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</si>
  <si>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</si>
  <si>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</si>
  <si>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</si>
  <si>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</si>
  <si>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</si>
  <si>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</si>
  <si>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</si>
  <si>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</si>
  <si>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</si>
  <si>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</si>
  <si>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</si>
  <si>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</si>
  <si>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</si>
  <si>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</si>
  <si>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</si>
  <si>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</si>
  <si>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</si>
  <si>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ЧТЭЦ-1</t>
  </si>
  <si>
    <t>ЧТЭЦ-2</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</si>
  <si>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</si>
  <si>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</si>
  <si>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</si>
  <si>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</si>
  <si>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</si>
  <si>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</si>
  <si>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</si>
  <si>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</si>
  <si>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</si>
  <si>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</si>
  <si>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</si>
  <si>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</si>
  <si>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</si>
  <si>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</si>
  <si>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</si>
  <si>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</si>
  <si>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</si>
  <si>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</si>
  <si>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</si>
  <si>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</si>
  <si>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</si>
  <si>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</si>
  <si>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</si>
  <si>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</si>
  <si>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</si>
  <si>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</si>
  <si>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</si>
  <si>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</si>
  <si>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</si>
  <si>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</si>
  <si>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</si>
  <si>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</si>
  <si>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</si>
  <si>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</si>
  <si>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</si>
  <si>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</si>
  <si>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</si>
  <si>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</si>
  <si>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</si>
  <si>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</si>
  <si>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</si>
  <si>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</si>
  <si>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</si>
  <si>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</si>
  <si>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</si>
  <si>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</si>
  <si>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</si>
  <si>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</si>
  <si>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</si>
  <si>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</si>
  <si>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</si>
  <si>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</si>
  <si>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</si>
  <si>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</si>
  <si>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</si>
  <si>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</si>
  <si>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</si>
  <si>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</si>
  <si>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</si>
  <si>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</si>
  <si>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</si>
  <si>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</si>
  <si>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</si>
  <si>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</si>
  <si>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</si>
  <si>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</si>
  <si>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</si>
  <si>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</si>
  <si>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</si>
  <si>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</si>
  <si>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</si>
  <si>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</si>
  <si>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</si>
  <si>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</si>
  <si>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</si>
  <si>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</si>
  <si>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</si>
  <si>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</si>
  <si>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</si>
  <si>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</si>
  <si>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</si>
  <si>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</si>
  <si>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</si>
  <si>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</si>
  <si>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</si>
  <si>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</si>
  <si>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</si>
  <si>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</si>
  <si>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</si>
  <si>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</si>
  <si>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</si>
  <si>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</si>
  <si>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</si>
  <si>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</si>
  <si>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</si>
  <si>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</si>
  <si>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</si>
  <si>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</si>
  <si>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</si>
  <si>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</si>
  <si>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</si>
  <si>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</si>
  <si>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</si>
  <si>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</si>
  <si>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</si>
  <si>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</si>
  <si>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</si>
  <si>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</si>
  <si>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</si>
  <si>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</si>
  <si>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</si>
  <si>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</si>
  <si>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</si>
  <si>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</si>
  <si>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</si>
  <si>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</si>
  <si>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</si>
  <si>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</si>
  <si>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</si>
  <si>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</si>
  <si>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</si>
  <si>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</si>
  <si>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</si>
  <si>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</si>
  <si>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</si>
  <si>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</si>
  <si>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</si>
  <si>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</si>
  <si>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</si>
  <si>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</si>
  <si>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</si>
  <si>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</si>
  <si>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</si>
  <si>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</si>
  <si>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</si>
  <si>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</si>
  <si>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</si>
  <si>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</si>
  <si>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</si>
  <si>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</si>
  <si>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</si>
  <si>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</si>
  <si>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</si>
  <si>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</si>
  <si>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</si>
  <si>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</si>
  <si>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</si>
  <si>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</si>
  <si>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</si>
  <si>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</si>
  <si>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</si>
  <si>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</si>
  <si>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</si>
  <si>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</si>
  <si>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</si>
  <si>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</si>
  <si>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</si>
  <si>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</si>
  <si>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</si>
  <si>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</si>
  <si>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</si>
  <si>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</si>
  <si>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</si>
  <si>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</si>
  <si>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</si>
  <si>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</si>
  <si>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</si>
  <si>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</si>
  <si>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</si>
  <si>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</si>
  <si>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</si>
  <si>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</si>
  <si>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</si>
  <si>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</si>
  <si>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</si>
  <si>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</si>
  <si>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</si>
  <si>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</si>
  <si>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</si>
  <si>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</si>
  <si>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</si>
  <si>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</si>
  <si>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</si>
  <si>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</si>
  <si>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</si>
  <si>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</si>
  <si>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</si>
  <si>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</si>
  <si>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</si>
  <si>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</si>
  <si>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</si>
  <si>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</si>
  <si>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</si>
  <si>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</si>
  <si>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</si>
  <si>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</si>
  <si>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</si>
  <si>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</si>
  <si>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</si>
  <si>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</si>
  <si>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</si>
  <si>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</si>
  <si>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</si>
  <si>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</si>
  <si>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</si>
  <si>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</si>
  <si>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</si>
  <si>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</si>
  <si>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</si>
  <si>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</si>
  <si>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</si>
  <si>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</si>
  <si>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</si>
  <si>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</si>
  <si>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</si>
  <si>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</si>
  <si>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</si>
  <si>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</si>
  <si>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</si>
  <si>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</si>
  <si>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</si>
  <si>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</si>
  <si>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</si>
  <si>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</si>
  <si>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</si>
  <si>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</si>
  <si>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</si>
  <si>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</si>
  <si>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</si>
  <si>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</si>
  <si>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</si>
  <si>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</si>
  <si>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</si>
  <si>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</si>
  <si>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</si>
  <si>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</si>
  <si>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</si>
  <si>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</si>
  <si>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</si>
  <si>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</si>
  <si>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</si>
  <si>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</si>
  <si>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</si>
  <si>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</si>
  <si>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</si>
  <si>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</si>
  <si>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</si>
  <si>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утверждены в инвестиционной программе</t>
  </si>
  <si>
    <t>https://portal.eias.ru/Portal/DownloadPage.aspx?type=12&amp;guid=df621e15-4841-4a96-b99f-cb15480e4e50</t>
  </si>
  <si>
    <t>https://portal.eias.ru/Portal/DownloadPage.aspx?type=12&amp;guid=f876ef5d-41ed-471a-934f-9508ad168a5c</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</si>
  <si>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</si>
  <si>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</si>
  <si>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</si>
  <si>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</si>
  <si>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</si>
  <si>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</si>
  <si>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</si>
  <si>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</si>
  <si>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</si>
  <si>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</si>
  <si>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</si>
  <si>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</si>
  <si>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</si>
  <si>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</si>
  <si>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</si>
  <si>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</si>
  <si>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</si>
  <si>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</si>
  <si>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</si>
  <si>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</si>
  <si>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</si>
  <si>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</si>
  <si>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</si>
  <si>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</si>
  <si>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</si>
  <si>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</si>
  <si>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</si>
  <si>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</si>
  <si>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</si>
  <si>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</si>
  <si>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</si>
  <si>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</si>
  <si>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</si>
  <si>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</si>
  <si>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</si>
  <si>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</si>
  <si>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</si>
  <si>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</si>
  <si>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</si>
  <si>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</si>
  <si>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</si>
  <si>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</si>
  <si>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</si>
  <si>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</si>
  <si>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</si>
  <si>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</si>
  <si>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</si>
  <si>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</si>
  <si>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</si>
  <si>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</si>
  <si>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</si>
  <si>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</si>
  <si>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</si>
  <si>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</si>
  <si>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</si>
  <si>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</si>
  <si>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</si>
  <si>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</si>
  <si>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</si>
  <si>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</si>
  <si>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</si>
  <si>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</si>
  <si>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</si>
  <si>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</si>
  <si>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</si>
  <si>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</si>
  <si>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</si>
  <si>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</si>
  <si>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</si>
  <si>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</si>
  <si>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</si>
  <si>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</si>
  <si>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</si>
  <si>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</si>
  <si>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</si>
  <si>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</si>
  <si>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</si>
  <si>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</si>
  <si>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</si>
  <si>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</si>
  <si>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</si>
  <si>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</si>
  <si>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</si>
  <si>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</si>
  <si>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</si>
  <si>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</si>
  <si>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</si>
  <si>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</si>
  <si>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</si>
  <si>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</si>
  <si>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</si>
  <si>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</si>
  <si>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</si>
  <si>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</si>
  <si>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</si>
  <si>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</si>
  <si>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</si>
  <si>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</si>
  <si>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</si>
  <si>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</si>
  <si>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</si>
  <si>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</si>
  <si>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</si>
  <si>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</si>
  <si>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</si>
  <si>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</si>
  <si>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</si>
  <si>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</si>
  <si>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</si>
  <si>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</si>
  <si>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</si>
  <si>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</si>
  <si>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</si>
  <si>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</si>
  <si>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</si>
  <si>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</si>
  <si>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</si>
  <si>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</si>
  <si>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</si>
  <si>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</si>
  <si>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</si>
  <si>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</si>
  <si>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</si>
  <si>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</si>
  <si>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</si>
  <si>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</si>
  <si>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</si>
  <si>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</si>
  <si>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</si>
  <si>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</si>
  <si>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</si>
  <si>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</si>
  <si>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</si>
  <si>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</si>
  <si>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</si>
  <si>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</si>
  <si>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</si>
  <si>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</si>
  <si>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</si>
  <si>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</si>
  <si>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</si>
  <si>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</si>
  <si>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</si>
  <si>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</si>
  <si>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</si>
  <si>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</si>
  <si>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</si>
  <si>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</si>
  <si>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</si>
  <si>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</si>
  <si>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</si>
  <si>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</si>
  <si>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</si>
  <si>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</si>
  <si>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</si>
  <si>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</si>
  <si>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</si>
  <si>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</si>
  <si>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</si>
  <si>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</si>
  <si>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</si>
  <si>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</si>
  <si>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t>
  </si>
  <si>
    <t>Региональная служба по тарифам и ценообразованию Забайкальского края</t>
  </si>
  <si>
    <t xml:space="preserve">Администрация городского округа "Город Чита" </t>
  </si>
  <si>
    <t>29.03.2019</t>
  </si>
  <si>
    <t>31.12.2028</t>
  </si>
  <si>
    <t>Об утверждении инвестиционной программы ПАО «Территориальная генерирующая компания № 14» в сфере теплоснабжения на 2019–2028 годы по объектам муниципального имущества (котельные с тепловыми сетями) г.Читы, включенным в Концессионное соглашение</t>
  </si>
  <si>
    <t>приказ</t>
  </si>
  <si>
    <t>104-НПА</t>
  </si>
  <si>
    <t>О внесении изменений в приказ Региональной службы по тарифам и ценообразованию Забайкальского края от 29.03.2019 № 104-НПА</t>
  </si>
  <si>
    <t>482-НПА</t>
  </si>
  <si>
    <t>Концессионное соглашение от 01.02.2019 + дополнительное соглашение № 1 от 20.08.2021</t>
  </si>
  <si>
    <t>ip_51</t>
  </si>
  <si>
    <t>Добавить реквизиты</t>
  </si>
  <si>
    <t>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t>
  </si>
  <si>
    <t>01.01.2024</t>
  </si>
  <si>
    <t>Об утверждении инвестиционной программы ПАО "ТГК-14", осуществляющего регулируемые виды деятельности на территории Забайкальского края в сфере теплоснабжения, на 2024 - 2028 годы</t>
  </si>
  <si>
    <t>157-НПА</t>
  </si>
  <si>
    <t>30.10.2023</t>
  </si>
  <si>
    <t>О внесении изменений в приказ Региональной службы по тарифам и ценообразованию Забайкальского края от 30.10.2023 № 157-НПА</t>
  </si>
  <si>
    <t>267-НПА</t>
  </si>
  <si>
    <t>ip_511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</si>
  <si>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</si>
  <si>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</si>
  <si>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</si>
  <si>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</si>
  <si>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</si>
  <si>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</si>
  <si>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</si>
  <si>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</si>
  <si>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</si>
  <si>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</si>
  <si>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</si>
  <si>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</si>
  <si>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</si>
  <si>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</si>
  <si>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</si>
  <si>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</si>
  <si>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</si>
  <si>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</si>
  <si>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</si>
  <si>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</si>
  <si>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</si>
  <si>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</si>
  <si>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</si>
  <si>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</si>
  <si>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</si>
  <si>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</si>
  <si>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</si>
  <si>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</si>
  <si>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</si>
  <si>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</si>
  <si>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</si>
  <si>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Мероприятия, направленные на повышение энергоэффективности в сфере теплоснабжения</t>
  </si>
  <si>
    <t>Строительство теплотрассы в районе стадиона СиБВО (ПИР)</t>
  </si>
  <si>
    <t>Декабрь</t>
  </si>
  <si>
    <t>2022</t>
  </si>
  <si>
    <t>Срок выполнения не наступил</t>
  </si>
  <si>
    <t xml:space="preserve">  Прибыль направляемая на инвестиции</t>
  </si>
  <si>
    <t>Добавить источник финансирования</t>
  </si>
  <si>
    <t>Добавить объект инфраструктуры</t>
  </si>
  <si>
    <t>Мероприятия, направленные на повышение экологической эффективности</t>
  </si>
  <si>
    <t>Установка подготовки угольного топлива для котлов "Терморобот"</t>
  </si>
  <si>
    <t>2021</t>
  </si>
  <si>
    <t>Реконструкция котельной "ЧИПР"  с установкой котлов"Терморобот"</t>
  </si>
  <si>
    <t>Котельная ЧИПР</t>
  </si>
  <si>
    <t>ТИ с сетями</t>
  </si>
  <si>
    <t>г Чита</t>
  </si>
  <si>
    <t>76701000001</t>
  </si>
  <si>
    <t>Старошахтерская</t>
  </si>
  <si>
    <t>68</t>
  </si>
  <si>
    <t>Реконструкция котельной "Геологическая" с установкой котлов "Терморобот"</t>
  </si>
  <si>
    <t>Котельная Геологическая (Кадала)</t>
  </si>
  <si>
    <t>п. Кадала, ул. Геологическая</t>
  </si>
  <si>
    <t>1а</t>
  </si>
  <si>
    <t>Реконструкция котельной "Луговая" с установкой котлов "Терморобот"</t>
  </si>
  <si>
    <t>Котельная Луговая</t>
  </si>
  <si>
    <t>Луговая</t>
  </si>
  <si>
    <t>87</t>
  </si>
  <si>
    <t>Реконструкция котельной "Заречная" с установкой котлов "Терморобот"</t>
  </si>
  <si>
    <t>Котельная Маяк (Заречный)</t>
  </si>
  <si>
    <t>п. Заречный, ул. Центральная</t>
  </si>
  <si>
    <t>19, стр. 1</t>
  </si>
  <si>
    <t xml:space="preserve">      Прочие амортизационные отчисления</t>
  </si>
  <si>
    <t>Реконструкция котельной "Рудник Кадала" с заменой котла №1 на котел "Терморобот" и установкой дополнительных котлов "Терморобот"</t>
  </si>
  <si>
    <t>Реконструкция котельной "Школа, 7" с заменой котлов № 1 и 2 на установки "Терморобот"</t>
  </si>
  <si>
    <t>Котельная Школа №7</t>
  </si>
  <si>
    <t>Александра Булгакова</t>
  </si>
  <si>
    <t>56</t>
  </si>
  <si>
    <t>Краново-манипуляторная установка Камаз</t>
  </si>
  <si>
    <t>Реконструкция котельной "Новопутейская" с установкой котла №4 КВр-1,16</t>
  </si>
  <si>
    <t>Котельная Новопутейская</t>
  </si>
  <si>
    <t>Новопутейская</t>
  </si>
  <si>
    <t>18</t>
  </si>
  <si>
    <t>Реконструкция котельной "ЧЗСК" с установкой котла №3 КВр-0,63-95</t>
  </si>
  <si>
    <t>Котельная ЧЗСК</t>
  </si>
  <si>
    <t>Забайкальская</t>
  </si>
  <si>
    <t>31</t>
  </si>
  <si>
    <t>Реконструкция котельной "Осетровка" с установкой экономайзеров на котлах №1,4</t>
  </si>
  <si>
    <t>Котельная Осетровка</t>
  </si>
  <si>
    <t>Походная</t>
  </si>
  <si>
    <t>23</t>
  </si>
  <si>
    <t>Закрытие котельной "Ватутина". Строительство теплотрассы Ду 250мм от ТК-5-6-2а ,  реконструкция котельной с переводом в ЦТП</t>
  </si>
  <si>
    <t>2023</t>
  </si>
  <si>
    <t>Не выполнено в соответствии с планом</t>
  </si>
  <si>
    <t>Реконструкция котельной "Читаавиа" с установкой котла №1 КВр–4,65–115–4,0 (КВ–ТС–4,0), реконструкцией котлов №2 в КВ–ТС–10КС с топкой НТКС</t>
  </si>
  <si>
    <t>2024</t>
  </si>
  <si>
    <t>Котельная ЧитаАвиа</t>
  </si>
  <si>
    <t>Жилой городок</t>
  </si>
  <si>
    <t>20</t>
  </si>
  <si>
    <t xml:space="preserve">Установка системы автоматического регулирования ЦТП-37, ЦТП-41 </t>
  </si>
  <si>
    <t>2025</t>
  </si>
  <si>
    <t xml:space="preserve">Реконструкция котельной "Читаавиа" с установкой котла №1 КВр–4,65–115–4,0 (КВ–ТС–4,0), реконструкцией котлов №2 в КВ–ТС–10КС с топкой НТКС
</t>
  </si>
  <si>
    <t>Автоматизация химводоочистки котельной "ЧитаАвиа"</t>
  </si>
  <si>
    <t>2026</t>
  </si>
  <si>
    <t>Реконструкция котельной "СХТ" с переводом котлов №1,2,3,4 в водогрейный режим, реконструкцией котла № 2 на топку НТКС</t>
  </si>
  <si>
    <t>2027</t>
  </si>
  <si>
    <t>котельная СХТ</t>
  </si>
  <si>
    <t>Агрогородок Опытный</t>
  </si>
  <si>
    <t>25</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</si>
  <si>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</si>
  <si>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</si>
  <si>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</si>
  <si>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Строительство тепловых сетей от точки подключения до границ земельных участков потребителей и ИТП многоквартирных жилых домов</t>
  </si>
  <si>
    <t xml:space="preserve">  За счет платы за технологическое присоединение</t>
  </si>
  <si>
    <t>Строительство тепловой сети Ду200 от ТК-12-2-5-4 до УТ по ул. Проезжая протяженностью 125 м</t>
  </si>
  <si>
    <t>увеличение пропускной способности существующих тепловых сетей в целях подключения потребителей</t>
  </si>
  <si>
    <t>Реконструкция тепловой сети ТЭЦ-1 - Город Ду800мм на Ду1000мм от УТ до П-2-4, от Н-3-4 до УТ, от С3-52 до Н3-9, от С3-61до С3-63 в районе ул. Ивановской протяжённостью 580 м.</t>
  </si>
  <si>
    <t>Сети от ЧТЭЦ-1</t>
  </si>
  <si>
    <t>сеть</t>
  </si>
  <si>
    <t>г. Чита</t>
  </si>
  <si>
    <t>Реконструкция тепловой сети Ду80мм на Ду100мм от ТК-27-3-6-6-1а до жилого дома в районе ул. Кирова, ж.д. 41-41а протяженностью 25м</t>
  </si>
  <si>
    <t>Реконструкция тепловой сети Ду50мм  на Ду100мм от ТК-8-12а до ТК-8-12а-1 по ул. Новобульварная протяженностью 30м</t>
  </si>
  <si>
    <t>Реконструкция тепловой сети Ду300мм на Ду400мм от ТК-9-11 до ТК-9-12 по ул. Красноармейской протяженностью 85м</t>
  </si>
  <si>
    <t>Реконструкция тепловой сети Ду500мм с обустройством ТК и изменением схемы компенсации по ул. Бабушкина протяженностью 10м</t>
  </si>
  <si>
    <t>Реконструкция тепловой сети Ду200мм с изменением схемы компенсации по ул. 1-ая Каштакская протяженностью 10м</t>
  </si>
  <si>
    <t>Реконструкция тепловой сети Ду150мм на Ду200мм от Украинского бульвара, 11 до ТК-2-27-3-4-12а в районе улиц Украинский бульвар и пер. Парковый протяженностью 75м</t>
  </si>
  <si>
    <t>Реконструкция тепловой сети Ду250мм на Ду400мм от ТК-5-28-2 до Н2.2 по ул. Магистральной протяженностью 65м</t>
  </si>
  <si>
    <t>Реконструкция тепловой сети по ул. Смоленская в части расширения ТК-8-7-10</t>
  </si>
  <si>
    <t>Реконструкция Ду200 на Ду300 от УТ-1 до УП 100 м. ул.Матвеева</t>
  </si>
  <si>
    <t>Реконструкция тепловой сети Ду100 на Ду150 от УТ до УТ-1</t>
  </si>
  <si>
    <t>Реконструкция тепловой сети Ду150мм на Ду200мм от ТК-3-1-5-1 до ТК-3-1-5-2 в 3 мкр. протяжённостью 90 м.</t>
  </si>
  <si>
    <t>15</t>
  </si>
  <si>
    <t>Реконструкция тепловой сети №3 Ду350мм на Ду400мм от УТ-1 (3) до УТ-2 (3) протяженностью 50м</t>
  </si>
  <si>
    <t>пгт Приаргунск</t>
  </si>
  <si>
    <t>76538000051</t>
  </si>
  <si>
    <t>ул. Губина</t>
  </si>
  <si>
    <t>2а</t>
  </si>
  <si>
    <t>16</t>
  </si>
  <si>
    <t>Реконструкция тепловой сети №5 от коллектора ПТЭЦ до ТК-5-2 ду250 протяженностью 617 м</t>
  </si>
  <si>
    <t>HEAT_IP_EVENT_SUBGROUP_3_LIST</t>
  </si>
  <si>
    <t>17</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</si>
  <si>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</si>
  <si>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</si>
  <si>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Автоматизация и диспетчеризация тепловых сетей</t>
  </si>
  <si>
    <t>Техническое перевооружение ПНС-1 в части насоса сетевой воды, здания, АСУТП</t>
  </si>
  <si>
    <t>19</t>
  </si>
  <si>
    <t>Реконструкция тепловой сети Ду800 на Ду900 от ТК-2-13а до ТК-2-14 по ул. Бабушкина протяженностью 280 м</t>
  </si>
  <si>
    <t>реконструкция или модернизация существующих объектов теплоснабжения, за исключением тепловых сетей</t>
  </si>
  <si>
    <t>Реконструкция котлов ст. №№ 4, 7 (КОММод)</t>
  </si>
  <si>
    <t>Читинская ТЭЦ-1</t>
  </si>
  <si>
    <t>проезд. Энергостроителей</t>
  </si>
  <si>
    <t xml:space="preserve">  Кредиты</t>
  </si>
  <si>
    <t>21</t>
  </si>
  <si>
    <t>Реконструкция турбины Т-80/104-85 ст. № 3 в части генератора (КОММод)</t>
  </si>
  <si>
    <t>22</t>
  </si>
  <si>
    <t>Реконструкция турбины Т-87-90 ст. № 5 (КОММод)</t>
  </si>
  <si>
    <t>2029</t>
  </si>
  <si>
    <t>Техническое перевооружение котлов ст. №№ 1-13</t>
  </si>
  <si>
    <t>24</t>
  </si>
  <si>
    <t>Реконструкция теплофикационных установок турбин ст. №№ 3-6 с заменой коллекторов Ду800 на Ду1000</t>
  </si>
  <si>
    <t>Модернизация турбины Т-87-90 ст. № 5 в части ступеней</t>
  </si>
  <si>
    <t>26</t>
  </si>
  <si>
    <t>Модернизация ГЩУ в части оперативной блокировки разъеденителей</t>
  </si>
  <si>
    <t>27</t>
  </si>
  <si>
    <t>Модернизация ГЩУ в части комплектов защит</t>
  </si>
  <si>
    <t>28</t>
  </si>
  <si>
    <t>Модернизация ОРУ-220 кВ в части выключателей</t>
  </si>
  <si>
    <t>29</t>
  </si>
  <si>
    <t>Модернизация ОРУ-220/110 кВ в части вводов</t>
  </si>
  <si>
    <t>2028</t>
  </si>
  <si>
    <t>30</t>
  </si>
  <si>
    <t>Модернизация ОРУ-220/110 кВ в части разрядников</t>
  </si>
  <si>
    <t>Реконструкция золопроводов Читинской ТЭЦ-1</t>
  </si>
  <si>
    <t>32</t>
  </si>
  <si>
    <t>Техническое перевооружение циркуляционного насоса ст. №№ 2, 3 береговой насосной станции в части обратного клапана</t>
  </si>
  <si>
    <t>33</t>
  </si>
  <si>
    <t>Установка системы пожарной сигнализации на Приаргунской ТЭЦ</t>
  </si>
  <si>
    <t>34</t>
  </si>
  <si>
    <t>Установка системы пожарной сигнализации на Шерловогорской ТЭЦ</t>
  </si>
  <si>
    <t>пгт Шерловая Гора</t>
  </si>
  <si>
    <t>76609154051</t>
  </si>
  <si>
    <t>ул. Промышленная</t>
  </si>
  <si>
    <t>35</t>
  </si>
  <si>
    <t>Монтаж установки реагентной обработки подпиточной и сетевой воды системы теплоснабжения ингибитором</t>
  </si>
  <si>
    <t>36</t>
  </si>
  <si>
    <t>Устройство артезианской скважины</t>
  </si>
  <si>
    <t>37</t>
  </si>
  <si>
    <t>Модернизация оборудования помещения серверной в здании АУ</t>
  </si>
  <si>
    <t>38</t>
  </si>
  <si>
    <t>Оборудование вне сметы строек по объектам генерации</t>
  </si>
  <si>
    <t>39</t>
  </si>
  <si>
    <t>Оборудование вне смет строек по по теплосетевым объектам</t>
  </si>
  <si>
    <t xml:space="preserve">  Прочие</t>
  </si>
  <si>
    <t>40</t>
  </si>
  <si>
    <t>Оборудование вне смет строек Теплосбыта</t>
  </si>
  <si>
    <t>41</t>
  </si>
  <si>
    <t>Оборудование вне смет строек Аппарата управления</t>
  </si>
  <si>
    <t>42</t>
  </si>
  <si>
    <t>Модернизация турбины Т-80/104-85 ст. № 3 в части конденсаторов</t>
  </si>
  <si>
    <t>Модернизация турбины ПТ-60-90/13 ст. № 2 с установкой высокопроизводительного эжектора</t>
  </si>
  <si>
    <t>44</t>
  </si>
  <si>
    <t>Установка ЧРП на насосах газоохлаждения генераторов турбин</t>
  </si>
  <si>
    <t>45</t>
  </si>
  <si>
    <t>Создание систем автоматического контроля выбросов загрязняющих веществ Читинской ТЭЦ-1</t>
  </si>
  <si>
    <t>46</t>
  </si>
  <si>
    <t xml:space="preserve">Автоматизация ПНС Рахова </t>
  </si>
  <si>
    <t>47</t>
  </si>
  <si>
    <t>Техническое перевооружение ПНС-3 в части установки ЧРП</t>
  </si>
  <si>
    <t>48</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</si>
  <si>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</si>
  <si>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Создание системы безопасности значимых объектов критической информационной инфраструктуры Читинской ТЭЦ-1</t>
  </si>
  <si>
    <t>49</t>
  </si>
  <si>
    <t>Установка периметральной сигнализации Читинской ТЭЦ-1</t>
  </si>
  <si>
    <t>50</t>
  </si>
  <si>
    <t>Установка охранно-периметральной сигнализации</t>
  </si>
  <si>
    <t>Читинская ТЭЦ-2</t>
  </si>
  <si>
    <t>ул. Лазо</t>
  </si>
  <si>
    <t>51</t>
  </si>
  <si>
    <t>Установка охранно-периметральной сигнализации на котельной СХТ</t>
  </si>
  <si>
    <t>Строительство общей тепловой сети Ду50 от ТК 6-9/2 до границы земельных участков по ул. Боровая протяженностью 70 м.</t>
  </si>
  <si>
    <t xml:space="preserve">Реконструкция тепловой сети ТЭЦ-1 - Город Ду800мм на Ду1000мм (от УТ до П-2-4; от Н-3-4 до УТ; от С3-52 до Н-3-9; от УТ-1 до УТ-2) в районе ул. Ивановской протяжённостью 950,4м.
</t>
  </si>
  <si>
    <t>Реконструкция тепловой сети Ду200мм на Ду250мм от ТК-1-24 до УТ по ул. Анохина протяженностью 70м</t>
  </si>
  <si>
    <t>Реконструкция тепловой сети Ду200мм на Ду250мм от ТК-6-1 до УТ, от УТ до ТК-6-7 в мкр. Девичья Сопка протяженностью 106м</t>
  </si>
  <si>
    <t xml:space="preserve">Реконструкция тепловой сети Ду150мм на Ду200мм от Украинского бульвара, 11 до ТК-2-27-3-4-12а в районе улиц Украинский бульвар и пер. Парковый протяженностью 75м
</t>
  </si>
  <si>
    <t xml:space="preserve">Реконструкция Ду200мм на Ду300мм от УТ-1 до УП 100 м. ул.Матвеева
</t>
  </si>
  <si>
    <t xml:space="preserve">Реконструкция тепловой сети Ду250мм на Ду400мм от ТК-5-28-2 до Н2.2 по ул. Магистральной протяженностью 65м
</t>
  </si>
  <si>
    <t xml:space="preserve">Реконструкция тепловой сети Ду150мм на Ду200мм от ТК-3-1-5-1 до ТК-3-1-5-2 в 3 мкр. протяжённостью 90 м.
</t>
  </si>
  <si>
    <t xml:space="preserve"> Реконструкция тепловой сети от УТ-1 (3) до УТ-2 (3) с Ду350 на Ду400 (тепловая сеть №3), протяженностью 50м на территории Приаргунской ТЭЦ 
</t>
  </si>
  <si>
    <t xml:space="preserve"> Реконструкция тепловой сети Ду250 (тепловая сеть № 5) от коллектора ПТЭЦ до ТК-5-2 протяжённостью 617 м.  
</t>
  </si>
  <si>
    <t xml:space="preserve">Реконструкция перемычки между теплотрассами КСК и Город Ду800мм с увеличением диаметра с Ду530мм на Ду630мм
</t>
  </si>
  <si>
    <t xml:space="preserve">Техническое перевооружение ПНС-1 в части насоса сетевой воды, здания, АСУТП, КРУ
</t>
  </si>
  <si>
    <t>Реконструкция тепловой сети Ду800мм на Ду900мм от ТК-2-13а до ТК-2-14 по ул. Бабушкина протяженностью 280 м</t>
  </si>
  <si>
    <t xml:space="preserve">Реконструкция котлов ст. №№ 4, 7 (КОММод)
</t>
  </si>
  <si>
    <t xml:space="preserve">Реконструкция турбины Т-80/104-85 ст. № 3 в части генератора (КОММод)
</t>
  </si>
  <si>
    <t xml:space="preserve">Реконструкция турбины Т-87-90 ст. № 5 (КОММод)
</t>
  </si>
  <si>
    <t xml:space="preserve">Реконструкция турбины Т-87-90 ст. № 5 (в части генератора)
</t>
  </si>
  <si>
    <t xml:space="preserve">Модернизация турбины Т-87-90 ст. № 5 в части ступеней
</t>
  </si>
  <si>
    <t xml:space="preserve">Модернизация ГЩУ в части оперативной блокировки разъеденителей
</t>
  </si>
  <si>
    <t xml:space="preserve">Модернизация ГЩУ в части комплектов защит
</t>
  </si>
  <si>
    <t xml:space="preserve">Модернизация ОРУ-220 кВ в части выключателей
</t>
  </si>
  <si>
    <t xml:space="preserve">Модернизация ОРУ-220/110 кВ в части разрядников
</t>
  </si>
  <si>
    <t>Реконструкция коллектора 13 ата с увеличением диаметра и выполнением секционирования</t>
  </si>
  <si>
    <t xml:space="preserve">Техническое перевооружение ОРУ Читинской ТЭЦ-2 в части трансформатора Т1
</t>
  </si>
  <si>
    <t xml:space="preserve">Оборудование вне сметы строек по объектам генерации
</t>
  </si>
  <si>
    <t xml:space="preserve">Оборудование вне смет строек ЧТЭС
</t>
  </si>
  <si>
    <t xml:space="preserve">Модернизация турбин в части конденсаторов
</t>
  </si>
  <si>
    <t xml:space="preserve">Установка ЧРП на насосах газоохлаждения генератора № 2
</t>
  </si>
  <si>
    <t xml:space="preserve">Создание систем автоматического контроля выбросов загрязняющих веществ ЧТЭЦ-1
</t>
  </si>
  <si>
    <t xml:space="preserve">Автоматизация ПНС Рахова 
</t>
  </si>
  <si>
    <t xml:space="preserve">Техническое перевооружение ПНС-3 в части установки ЧРП
</t>
  </si>
  <si>
    <t xml:space="preserve">Реконструкция теплофикационных установок турбин ст. №№ 3-6 с заменой коллекторов Ду800 на Ду1000
</t>
  </si>
  <si>
    <t xml:space="preserve">Мероприятия по усилению антитеррористической защищенности Читинской ТЭЦ-1
</t>
  </si>
  <si>
    <t xml:space="preserve">Мероприятия по усилению антитеррористической защищенности Читинской ТЭЦ-2
</t>
  </si>
  <si>
    <t xml:space="preserve">Мероприятия по усилению антитеррористической защищенности Приаргунской ТЭЦ
</t>
  </si>
  <si>
    <t xml:space="preserve">Мероприятия по усилению антитеррористической защищенности Шерловогорской ТЭЦ
</t>
  </si>
  <si>
    <t xml:space="preserve">Установка охранно-периметральной сигнализации на котельной СХТ
</t>
  </si>
  <si>
    <t xml:space="preserve">Реконструкция тепловой сети Ду150мм  ул. Федора Гладкова (расширение ТК-8-23-4 ).
</t>
  </si>
  <si>
    <t xml:space="preserve">Реконструкция тепловой сети Ду600мм ул.Романоский тракт (устройство камеры 4,2х4,3х2,4 м) 
</t>
  </si>
  <si>
    <t xml:space="preserve">Реконструкция тепловой сети  Ду125мм ул.Кочеткова (ТК-9-12-2 (2*2,5*1,8))
</t>
  </si>
  <si>
    <t xml:space="preserve">Реконструкция тепловой сети Ду150мм на Ду200мм L=124м ул.Белика от ТК-2-3 (расширение ТК 2*3*2,4)
</t>
  </si>
  <si>
    <t xml:space="preserve">Реконструкция головного участка тепловой сети  Ду800мм на Ду1000мм L=232 м для подключения Кампуса мкр.Витимский
</t>
  </si>
  <si>
    <t xml:space="preserve"> Реконструкция тепловой сети № 4 Ду350мм на Ду400мм от ТК 4 до ТК 4-1 протяженностью 90м в мкр. №2 
</t>
  </si>
  <si>
    <t xml:space="preserve">Реконструкция тепловой сети с Ду100 мм на Ду125мм протяженностью 48м; с Ду80 мм на Ду125мм протяженностью 30м по ул. Украинский бульвар 
</t>
  </si>
  <si>
    <t xml:space="preserve">Реконструкция тепловой сети ТЭЦ-1 - Город Ду800мм на Ду1000мм от ТК-2-7 до УТ (Н-2-16) протяженностью 161 м, от С-3-26 до Н-3-6 протяженностью 240 м
</t>
  </si>
  <si>
    <t xml:space="preserve">Реконструкция тепловой сети Ду400мм на Ду500мм от ТК-5-8 до ТК-5-24 по ул. пр. Советов-Магистральная протяженностью 1848 м
</t>
  </si>
  <si>
    <t xml:space="preserve">Реконструкция тепловой сети Ду300 на Ду400 от ТК-2-14 до ТК-10-17, от ТК-10-18 до ТК-10-23 по ул. Богомягкова-Чайковского протяженностью 1465 м (2-ой этап)
</t>
  </si>
  <si>
    <t xml:space="preserve">Реконструкция тепловой сети ТЭЦ-1-КСК Ду700 на Ду900 от УТ-1 до УТ-2 протяженностью 280 м
</t>
  </si>
  <si>
    <t xml:space="preserve">Реконструкция турбины Т-87-90 ст. № 5 (КОММод)
</t>
  </si>
  <si>
    <t xml:space="preserve">Модернизация турбины Т-87-90 ст. № 5 в части ступеней
</t>
  </si>
  <si>
    <t xml:space="preserve">Модернизация ОРУ-220 кВ в части разъеденителей
</t>
  </si>
  <si>
    <t xml:space="preserve">Техническое перевооружение золоотвала (ПИР)
</t>
  </si>
  <si>
    <t xml:space="preserve">Техническое перевооружение циркуляционного насоса ст. №№ 2, 3 береговой насосной станции в части обратного клапана
</t>
  </si>
  <si>
    <t xml:space="preserve">Модернизация циркуляционных насосов
</t>
  </si>
  <si>
    <t xml:space="preserve">Модернизация питательных насосов
</t>
  </si>
  <si>
    <t xml:space="preserve">Установка системы разгрузки угольного топлива
</t>
  </si>
  <si>
    <t xml:space="preserve">Установка питательного насоса 
</t>
  </si>
  <si>
    <t xml:space="preserve">Оборудование вне смет строек по по теплосетевым объектам
</t>
  </si>
  <si>
    <t xml:space="preserve">Реконструкция участка трубопроводов теплотрассы ТЭЦ-1 – КСК с увеличением диаметра трубопроводов с 720мм на 830мм
</t>
  </si>
  <si>
    <t>2032</t>
  </si>
  <si>
    <t xml:space="preserve">Реконструкция теплосети №3
</t>
  </si>
  <si>
    <t xml:space="preserve">Реконструкция тепловой сети ТЭЦ-1 - Город Ду800мм на Ду1000мм от ТК-2-7 до УТ (Н-2-16) протяженностью 161 м, от С-3-26 до Н-3-6 протяженностью 240 м
</t>
  </si>
  <si>
    <t xml:space="preserve">Реконструкция тепловой сети Ду500 на Ду600 от П-5-1 до ТК-5-4 по ул. Ломоносова протяженностью 1320 м
</t>
  </si>
  <si>
    <t xml:space="preserve">Модернизация турбины Т-87-90 ст. № 4 в части ступеней
</t>
  </si>
  <si>
    <t xml:space="preserve">Модернизация турбины Т-87-90 ст. №5 в части ПВД
</t>
  </si>
  <si>
    <t xml:space="preserve">Модернизация ОРУ-220/110 кВ в части вводов
</t>
  </si>
  <si>
    <t xml:space="preserve">Модернизация ОРУ 110 кВ в части выключателей
</t>
  </si>
  <si>
    <t xml:space="preserve">Реконструкция системы сбора телемеханической информации Приаргунской ТЭЦ в части комплектов реле ЧДА и АЧР
</t>
  </si>
  <si>
    <t xml:space="preserve">Установка топливораздаточной колонки
</t>
  </si>
  <si>
    <t xml:space="preserve">Реконструкция турбины ст. № 2 с заменой системы возбуждения на тиристорную
</t>
  </si>
  <si>
    <t xml:space="preserve">Модернизация СОТИ АССО Шерловогорской ТЭЦ в части установки инверторной системы
</t>
  </si>
  <si>
    <t xml:space="preserve">Реконструкция ПНС-2 со строительством ЛЭП
</t>
  </si>
  <si>
    <t>Реконструкция теплосети №3</t>
  </si>
  <si>
    <t>Реконструкция головного участка тепломагистрали №2 Ду800 на Ду1000 от С-3-6 до Н-2-8 протяженностью 1590 м</t>
  </si>
  <si>
    <t>Реконструкция тепловой сети Ду400 на Ду500 от ТК-5-8 до ТК-5-24 по ул. пр. Советов-Магистральная протяженностью 1848 м</t>
  </si>
  <si>
    <t>Реконструкция тепловой сети Ду500 на Ду600 от П-5-1 до ТК-5-4 по ул. Ломоносова протяженностью 1320 м</t>
  </si>
  <si>
    <t>Реконструкция тепловой сети Ду300 на Ду400 от ТК-2-14 до ТК-10-17, от ТК-10-18 до ТК-10-23 по ул. Богомягкова-Чайковского протяженностью 1465 м (2-ой этап)</t>
  </si>
  <si>
    <t>Модернизация ОРУ-220 кВ в части разъеденителей</t>
  </si>
  <si>
    <t>Модернизация циркуляционных насосов</t>
  </si>
  <si>
    <t>Модернизация питательных насосов</t>
  </si>
  <si>
    <t xml:space="preserve">Техническое перевооружение  турбины ст.№2 в части ротора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</si>
  <si>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</si>
  <si>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</si>
  <si>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</si>
  <si>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</si>
  <si>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</si>
  <si>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</si>
  <si>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</si>
  <si>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</si>
  <si>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</si>
  <si>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</si>
  <si>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</si>
  <si>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</si>
  <si>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</si>
  <si>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</si>
  <si>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</si>
  <si>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</si>
  <si>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</si>
  <si>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</si>
  <si>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</si>
  <si>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</si>
  <si>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</si>
  <si>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</si>
  <si>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</si>
  <si>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</si>
  <si>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</si>
  <si>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</si>
  <si>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</si>
  <si>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</si>
  <si>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</si>
  <si>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</si>
  <si>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</si>
  <si>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</si>
  <si>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</si>
  <si>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</si>
  <si>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</si>
  <si>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</si>
  <si>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</si>
  <si>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</si>
  <si>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</si>
  <si>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</si>
  <si>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</si>
  <si>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</si>
  <si>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</si>
  <si>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</si>
  <si>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</si>
  <si>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</si>
  <si>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</si>
  <si>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</si>
  <si>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</si>
  <si>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</si>
  <si>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</si>
  <si>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</si>
  <si>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</si>
  <si>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</si>
  <si>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</si>
  <si>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</si>
  <si>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</si>
  <si>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</si>
  <si>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</si>
  <si>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</si>
  <si>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</si>
  <si>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</si>
  <si>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</si>
  <si>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</si>
  <si>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</si>
  <si>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</si>
  <si>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</si>
  <si>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</si>
  <si>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</si>
  <si>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</si>
  <si>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</si>
  <si>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</si>
  <si>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</si>
  <si>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</si>
  <si>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</si>
  <si>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</si>
  <si>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</si>
  <si>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</si>
  <si>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</si>
  <si>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</si>
  <si>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</si>
  <si>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</si>
  <si>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</si>
  <si>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</si>
  <si>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</si>
  <si>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</si>
  <si>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</si>
  <si>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</si>
  <si>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</si>
  <si>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</si>
  <si>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</si>
  <si>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</si>
  <si>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</si>
  <si>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</si>
  <si>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</si>
  <si>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</si>
  <si>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</si>
  <si>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</si>
  <si>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</si>
  <si>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</si>
  <si>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</si>
  <si>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Приказом РСТ Забайкальского края</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</si>
  <si>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</si>
  <si>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</si>
  <si>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</si>
  <si>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</si>
  <si>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</si>
  <si>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</si>
  <si>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</si>
  <si>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</si>
  <si>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</si>
  <si>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</si>
  <si>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</si>
  <si>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</si>
  <si>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</si>
  <si>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</si>
  <si>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</si>
  <si>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</si>
  <si>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</si>
  <si>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</si>
  <si>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</si>
  <si>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</si>
  <si>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</si>
  <si>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</si>
  <si>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</si>
  <si>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</si>
  <si>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</si>
  <si>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</si>
  <si>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</si>
  <si>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</si>
  <si>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</si>
  <si>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</si>
  <si>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</si>
  <si>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</si>
  <si>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</si>
  <si>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</si>
  <si>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</si>
  <si>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</si>
  <si>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</si>
  <si>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</si>
  <si>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</si>
  <si>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</si>
  <si>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</si>
  <si>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</si>
  <si>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</si>
  <si>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</si>
  <si>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</si>
  <si>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</si>
  <si>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</si>
  <si>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</si>
  <si>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</si>
  <si>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</si>
  <si>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</si>
  <si>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</si>
  <si>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</si>
  <si>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</si>
  <si>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</si>
  <si>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</si>
  <si>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</si>
  <si>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</si>
  <si>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</si>
  <si>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</si>
  <si>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</si>
  <si>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</si>
  <si>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</si>
  <si>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</si>
  <si>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</si>
  <si>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</si>
  <si>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</si>
  <si>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</si>
  <si>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</si>
  <si>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</si>
  <si>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</si>
  <si>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</si>
  <si>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</si>
  <si>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</si>
  <si>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</si>
  <si>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</si>
  <si>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</si>
  <si>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</si>
  <si>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</si>
  <si>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</si>
  <si>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</si>
  <si>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</si>
  <si>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</si>
  <si>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</si>
  <si>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</si>
  <si>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</si>
  <si>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</si>
  <si>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</si>
  <si>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</si>
  <si>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</si>
  <si>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</si>
  <si>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</si>
  <si>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</si>
  <si>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</si>
  <si>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</si>
  <si>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</si>
  <si>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</si>
  <si>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</si>
  <si>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</si>
  <si>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</si>
  <si>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</si>
  <si>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</si>
  <si>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</si>
  <si>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</si>
  <si>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</si>
  <si>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</si>
  <si>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</si>
  <si>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</si>
  <si>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</si>
  <si>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</si>
  <si>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</si>
  <si>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</si>
  <si>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</si>
  <si>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</si>
  <si>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</si>
  <si>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</si>
  <si>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</si>
  <si>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</si>
  <si>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</si>
  <si>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</si>
  <si>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</si>
  <si>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</si>
  <si>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</si>
  <si>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</si>
  <si>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</si>
  <si>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</si>
  <si>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</si>
  <si>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</si>
  <si>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</si>
  <si>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</si>
  <si>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</si>
  <si>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</si>
  <si>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</si>
  <si>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</si>
  <si>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</si>
  <si>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</si>
  <si>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</si>
  <si>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</si>
  <si>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</si>
  <si>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</si>
  <si>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</si>
  <si>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</si>
  <si>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</si>
  <si>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</si>
  <si>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</si>
  <si>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</si>
  <si>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</si>
  <si>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</si>
  <si>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</si>
  <si>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</si>
  <si>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</si>
  <si>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</si>
  <si>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</si>
  <si>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</si>
  <si>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</si>
  <si>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</si>
  <si>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</si>
  <si>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</si>
  <si>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</si>
  <si>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</si>
  <si>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</si>
  <si>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</si>
  <si>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</si>
  <si>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</si>
  <si>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</si>
  <si>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</si>
  <si>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</si>
  <si>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</si>
  <si>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</si>
  <si>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</si>
  <si>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</si>
  <si>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</si>
  <si>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</si>
  <si>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</si>
  <si>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</si>
  <si>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</si>
  <si>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</si>
  <si>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</si>
  <si>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</si>
  <si>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</si>
  <si>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</si>
  <si>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</si>
  <si>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</si>
  <si>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</si>
  <si>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</si>
  <si>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</si>
  <si>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</si>
  <si>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</si>
  <si>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</si>
  <si>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</si>
  <si>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</si>
  <si>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</si>
  <si>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</si>
  <si>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</si>
  <si>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</si>
  <si>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</si>
  <si>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</si>
  <si>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</si>
  <si>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</si>
  <si>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</si>
  <si>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</si>
  <si>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</si>
  <si>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</si>
  <si>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</si>
  <si>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</si>
  <si>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</si>
  <si>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</si>
  <si>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</si>
  <si>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</si>
  <si>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</si>
  <si>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</si>
  <si>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</si>
  <si>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</si>
  <si>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</si>
  <si>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</si>
  <si>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</si>
  <si>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</si>
  <si>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</si>
  <si>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</si>
  <si>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</si>
  <si>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</si>
  <si>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</si>
  <si>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</si>
  <si>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</si>
  <si>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</si>
  <si>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</si>
  <si>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</si>
  <si>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</si>
  <si>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</si>
  <si>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</si>
  <si>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</si>
  <si>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</si>
  <si>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</si>
  <si>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</si>
  <si>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</si>
  <si>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</si>
  <si>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</si>
  <si>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</si>
  <si>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</si>
  <si>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</si>
  <si>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</si>
  <si>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</si>
  <si>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</si>
  <si>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</si>
  <si>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</si>
  <si>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</si>
  <si>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</si>
  <si>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</si>
  <si>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</si>
  <si>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</si>
  <si>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</si>
  <si>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</si>
  <si>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</si>
  <si>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</si>
  <si>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</si>
  <si>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</si>
  <si>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</si>
  <si>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</si>
  <si>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</si>
  <si>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</si>
  <si>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</si>
  <si>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</si>
  <si>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</si>
  <si>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</si>
  <si>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</si>
  <si>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</si>
  <si>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</si>
  <si>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</si>
  <si>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</si>
  <si>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</si>
  <si>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</si>
  <si>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</si>
  <si>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</si>
  <si>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</si>
  <si>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</si>
  <si>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</si>
  <si>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</si>
  <si>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</si>
  <si>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</si>
  <si>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</si>
  <si>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</si>
  <si>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</si>
  <si>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</si>
  <si>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</si>
  <si>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</si>
  <si>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</si>
  <si>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Июль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</si>
  <si>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</si>
  <si>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</si>
  <si>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</si>
  <si>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</si>
  <si>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</si>
  <si>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</si>
  <si>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</si>
  <si>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</si>
  <si>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</si>
  <si>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</si>
  <si>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</si>
  <si>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</si>
  <si>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</si>
  <si>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</si>
  <si>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</si>
  <si>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</si>
  <si>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</si>
  <si>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</si>
  <si>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</si>
  <si>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</si>
  <si>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</si>
  <si>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</si>
  <si>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</si>
  <si>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</si>
  <si>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</si>
  <si>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</si>
  <si>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</si>
  <si>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</si>
  <si>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</si>
  <si>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</si>
  <si>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</si>
  <si>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</si>
  <si>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</si>
  <si>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</si>
  <si>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</si>
  <si>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</si>
  <si>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</si>
  <si>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</si>
  <si>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</si>
  <si>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</si>
  <si>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</si>
  <si>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</si>
  <si>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</si>
  <si>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</si>
  <si>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</si>
  <si>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</si>
  <si>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</si>
  <si>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</si>
  <si>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</si>
  <si>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</si>
  <si>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</si>
  <si>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</si>
  <si>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</si>
  <si>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</si>
  <si>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</si>
  <si>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</si>
  <si>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</si>
  <si>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</si>
  <si>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</si>
  <si>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</si>
  <si>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</si>
  <si>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</si>
  <si>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</si>
  <si>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</si>
  <si>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</si>
  <si>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</si>
  <si>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</si>
  <si>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</si>
  <si>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</si>
  <si>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</si>
  <si>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</si>
  <si>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</si>
  <si>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</si>
  <si>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</si>
  <si>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</si>
  <si>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</si>
  <si>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</si>
  <si>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</si>
  <si>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</si>
  <si>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</si>
  <si>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</si>
  <si>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</si>
  <si>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</si>
  <si>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</si>
  <si>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</si>
  <si>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</si>
  <si>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</si>
  <si>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</si>
  <si>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</si>
  <si>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</si>
  <si>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</si>
  <si>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</si>
  <si>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</si>
  <si>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</si>
  <si>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</si>
  <si>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</si>
  <si>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</si>
  <si>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</si>
  <si>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</si>
  <si>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</si>
  <si>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</si>
  <si>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</si>
  <si>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</si>
  <si>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</si>
  <si>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</si>
  <si>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</si>
  <si>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</si>
  <si>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</si>
  <si>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</si>
  <si>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</si>
  <si>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</si>
  <si>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</si>
  <si>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</si>
  <si>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</si>
  <si>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</si>
  <si>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</si>
  <si>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</si>
  <si>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</si>
  <si>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</si>
  <si>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</si>
  <si>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</si>
  <si>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</si>
  <si>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</si>
  <si>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</si>
  <si>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</si>
  <si>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</si>
  <si>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</si>
  <si>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</si>
  <si>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</si>
  <si>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</si>
  <si>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</si>
  <si>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</si>
  <si>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</si>
  <si>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</si>
  <si>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</si>
  <si>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</si>
  <si>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</si>
  <si>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</si>
  <si>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</si>
  <si>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</si>
  <si>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</si>
  <si>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</si>
  <si>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</si>
  <si>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</si>
  <si>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</si>
  <si>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</si>
  <si>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</si>
  <si>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</si>
  <si>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</si>
  <si>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</si>
  <si>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</si>
  <si>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</si>
  <si>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</si>
  <si>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</si>
  <si>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</si>
  <si>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</si>
  <si>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</si>
  <si>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</si>
  <si>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</si>
  <si>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</si>
  <si>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</si>
  <si>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</si>
  <si>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</si>
  <si>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</si>
  <si>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</si>
  <si>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</si>
  <si>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</si>
  <si>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</si>
  <si>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</si>
  <si>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</si>
  <si>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</si>
  <si>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</si>
  <si>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</si>
  <si>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</si>
  <si>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</si>
  <si>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</si>
  <si>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</si>
  <si>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</si>
  <si>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</si>
  <si>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</si>
  <si>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</si>
  <si>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</si>
  <si>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</si>
  <si>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</si>
  <si>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</si>
  <si>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</si>
  <si>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</si>
  <si>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</si>
  <si>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</si>
  <si>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</si>
  <si>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</si>
  <si>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</si>
  <si>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</si>
  <si>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</si>
  <si>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</si>
  <si>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</si>
  <si>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</si>
  <si>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</si>
  <si>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</si>
  <si>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</si>
  <si>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</si>
  <si>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</si>
  <si>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</si>
  <si>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</si>
  <si>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</si>
  <si>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</si>
  <si>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</si>
  <si>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</si>
  <si>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</si>
  <si>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</si>
  <si>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</si>
  <si>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</si>
  <si>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</si>
  <si>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</si>
  <si>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</si>
  <si>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</si>
  <si>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</si>
  <si>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</si>
  <si>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</si>
  <si>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</si>
  <si>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</si>
  <si>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</si>
  <si>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</si>
  <si>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</si>
  <si>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</si>
  <si>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</si>
  <si>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</si>
  <si>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</si>
  <si>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</si>
  <si>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</si>
  <si>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</si>
  <si>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</si>
  <si>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</si>
  <si>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</si>
  <si>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</si>
  <si>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</si>
  <si>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</si>
  <si>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</si>
  <si>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</si>
  <si>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</si>
  <si>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</si>
  <si>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</si>
  <si>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t>
  </si>
  <si>
    <t>55</t>
  </si>
  <si>
    <t>Республика Карелия</t>
  </si>
  <si>
    <t>IP_ID</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</si>
  <si>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</si>
  <si>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</si>
  <si>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</si>
  <si>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</si>
  <si>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</si>
  <si>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</si>
  <si>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</si>
  <si>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</si>
  <si>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</si>
  <si>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</si>
  <si>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</si>
  <si>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</si>
  <si>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</si>
  <si>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</si>
  <si>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</si>
  <si>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</si>
  <si>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</si>
  <si>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</si>
  <si>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</si>
  <si>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</si>
  <si>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</si>
  <si>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</si>
  <si>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</si>
  <si>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</si>
  <si>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</si>
  <si>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</si>
  <si>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</si>
  <si>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</si>
  <si>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</si>
  <si>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</si>
  <si>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</si>
  <si>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</si>
  <si>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</si>
  <si>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</si>
  <si>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</si>
  <si>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</si>
  <si>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</si>
  <si>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</si>
  <si>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</si>
  <si>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</si>
  <si>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</si>
  <si>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</si>
  <si>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</si>
  <si>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</si>
  <si>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</si>
  <si>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</si>
  <si>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</si>
  <si>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</si>
  <si>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</si>
  <si>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</si>
  <si>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</si>
  <si>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</si>
  <si>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</si>
  <si>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</si>
  <si>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</si>
  <si>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</si>
  <si>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</si>
  <si>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</si>
  <si>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</si>
  <si>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</si>
  <si>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</si>
  <si>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</si>
  <si>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</si>
  <si>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</si>
  <si>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</si>
  <si>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</si>
  <si>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</si>
  <si>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</si>
  <si>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</si>
  <si>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</si>
  <si>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</si>
  <si>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</si>
  <si>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</si>
  <si>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</si>
  <si>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</si>
  <si>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</si>
  <si>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</si>
  <si>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</si>
  <si>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</si>
  <si>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</si>
  <si>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</si>
  <si>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</si>
  <si>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</si>
  <si>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</si>
  <si>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</si>
  <si>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</si>
  <si>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</si>
  <si>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</si>
  <si>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</si>
  <si>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</si>
  <si>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</si>
  <si>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</si>
  <si>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</si>
  <si>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</si>
  <si>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</si>
  <si>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</si>
  <si>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</si>
  <si>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</si>
  <si>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</si>
  <si>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</si>
  <si>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</si>
  <si>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</si>
  <si>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</si>
  <si>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</si>
  <si>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</si>
  <si>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</si>
  <si>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</si>
  <si>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</si>
  <si>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</si>
  <si>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</si>
  <si>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</si>
  <si>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</si>
  <si>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</si>
  <si>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</si>
  <si>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</si>
  <si>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</si>
  <si>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</si>
  <si>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</si>
  <si>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</si>
  <si>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</si>
  <si>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</si>
  <si>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</si>
  <si>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</si>
  <si>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</si>
  <si>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</si>
  <si>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</si>
  <si>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</si>
  <si>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</si>
  <si>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</si>
  <si>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</si>
  <si>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</si>
  <si>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</si>
  <si>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</si>
  <si>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</si>
  <si>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</si>
  <si>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</si>
  <si>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</si>
  <si>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</si>
  <si>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</si>
  <si>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</si>
  <si>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</si>
  <si>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</si>
  <si>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</si>
  <si>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</si>
  <si>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</si>
  <si>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</si>
  <si>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</si>
  <si>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</si>
  <si>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</si>
  <si>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</si>
  <si>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</si>
  <si>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</si>
  <si>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</si>
  <si>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</si>
  <si>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</si>
  <si>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</si>
  <si>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</si>
  <si>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</si>
  <si>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</si>
  <si>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</si>
  <si>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</si>
  <si>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</si>
  <si>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</si>
  <si>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</si>
  <si>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</si>
  <si>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</si>
  <si>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</si>
  <si>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</si>
  <si>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</si>
  <si>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</si>
  <si>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</si>
  <si>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</si>
  <si>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</si>
  <si>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</si>
  <si>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</si>
  <si>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</si>
  <si>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</si>
  <si>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</si>
  <si>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</si>
  <si>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</si>
  <si>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</si>
  <si>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</si>
  <si>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</si>
  <si>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</si>
  <si>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</si>
  <si>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</si>
  <si>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</si>
  <si>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</si>
  <si>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</si>
  <si>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</si>
  <si>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</si>
  <si>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</si>
  <si>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27.04.2024г. направлена информация о ФХД в  шаблонах PP110.OPEN.INFO.BALANCE.HEAT.EIAS(v1.0.9)_котельные и PP110.OPEN.INFO.BALANCE.HEAT.EIAS(v1.0.9)_ЦТС. В связи с тем, что система отклоняет один из ранее направленных  шаблонов, информация объединена в один шаблон и направляется повторно.</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</si>
  <si>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</si>
  <si>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</si>
  <si>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</si>
  <si>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вкладке "ИП. КНЭ" показатели по инвестиционной программе, утв. приказом № 157-НПА, п. 1 относятся к Читинской ТЭЦ-1, п. 2 - к Читинской ТЭЦ-2, п. 3 - к Приаргунской ТЭЦ, п. 4 - Шерловогорской ТЭЦ, п. 5 - тепловые сети п. Приаргунск, п. 6 - тепловые сети п. Шерловая гора, п. 7 - тепловые сети г. Чита (зона Читинской ТЭЦ-1, Читинской ТЭЦ-2).</t>
  </si>
  <si>
    <t>Расходы по инвестиционной программе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указаны в тыс. руб. с НДС.</t>
  </si>
  <si>
    <t>Расходы по инвестиционной программе № 157-НПА от 30.10.2023 ПАО "ТГК-14" в сфере теплоснабжения по реконструкции и модернизации существующих объектов систем теплоснабжения на 2024-2028 годы указаны в тыс. руб. без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</si>
  <si>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</si>
  <si>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</si>
  <si>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</si>
  <si>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</si>
  <si>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</si>
  <si>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</si>
  <si>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</si>
  <si>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</si>
  <si>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</si>
  <si>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</si>
  <si>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</si>
  <si>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</si>
  <si>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</si>
  <si>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</si>
  <si>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</si>
  <si>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</si>
  <si>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</si>
  <si>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</si>
  <si>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</si>
  <si>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</si>
  <si>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</si>
  <si>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</si>
  <si>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</si>
  <si>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</si>
  <si>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</si>
  <si>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</si>
  <si>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</si>
  <si>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</si>
  <si>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</si>
  <si>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</si>
  <si>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</si>
  <si>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</si>
  <si>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</si>
  <si>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</si>
  <si>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</si>
  <si>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</si>
  <si>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</si>
  <si>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</si>
  <si>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</si>
  <si>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</si>
  <si>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</si>
  <si>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</si>
  <si>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</si>
  <si>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</si>
  <si>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</si>
  <si>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</si>
  <si>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</si>
  <si>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</si>
  <si>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</si>
  <si>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</si>
  <si>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</si>
  <si>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</si>
  <si>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</si>
  <si>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</si>
  <si>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</si>
  <si>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</si>
  <si>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</si>
  <si>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</si>
  <si>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</si>
  <si>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</si>
  <si>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</si>
  <si>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</si>
  <si>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</si>
  <si>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</si>
  <si>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</si>
  <si>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</si>
  <si>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</si>
  <si>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</si>
  <si>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</si>
  <si>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</si>
  <si>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</si>
  <si>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</si>
  <si>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</si>
  <si>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</si>
  <si>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</si>
  <si>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</si>
  <si>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</si>
  <si>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</si>
  <si>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</si>
  <si>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</si>
  <si>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</si>
  <si>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</si>
  <si>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</si>
  <si>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</si>
  <si>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</si>
  <si>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</si>
  <si>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</si>
  <si>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</si>
  <si>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</si>
  <si>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</si>
  <si>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</si>
  <si>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</si>
  <si>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</si>
  <si>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</si>
  <si>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</si>
  <si>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</si>
  <si>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</si>
  <si>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</si>
  <si>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</si>
  <si>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</si>
  <si>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</si>
  <si>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</si>
  <si>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</si>
  <si>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</si>
  <si>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</si>
  <si>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</si>
  <si>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</si>
  <si>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</si>
  <si>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</si>
  <si>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</si>
  <si>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</si>
  <si>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</si>
  <si>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</si>
  <si>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</si>
  <si>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</si>
  <si>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</si>
  <si>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</si>
  <si>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</si>
  <si>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</si>
  <si>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</si>
  <si>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</si>
  <si>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</si>
  <si>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</si>
  <si>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</si>
  <si>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</si>
  <si>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</si>
  <si>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</si>
  <si>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</si>
  <si>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</si>
  <si>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</si>
  <si>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</si>
  <si>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</si>
  <si>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</si>
  <si>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</si>
  <si>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</si>
  <si>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</si>
  <si>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</si>
  <si>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</si>
  <si>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</si>
  <si>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</si>
  <si>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</si>
  <si>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</si>
  <si>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</si>
  <si>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</si>
  <si>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</si>
  <si>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</si>
  <si>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</si>
  <si>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</si>
  <si>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</si>
  <si>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</si>
  <si>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</si>
  <si>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</si>
  <si>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</si>
  <si>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</si>
  <si>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</si>
  <si>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</si>
  <si>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</si>
  <si>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</si>
  <si>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</si>
  <si>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</si>
  <si>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</si>
  <si>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</si>
  <si>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</si>
  <si>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</si>
  <si>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</si>
  <si>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</si>
  <si>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</si>
  <si>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</si>
  <si>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</si>
  <si>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</si>
  <si>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</si>
  <si>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</si>
  <si>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</si>
  <si>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</si>
  <si>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</si>
  <si>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</si>
  <si>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</si>
  <si>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</si>
  <si>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</si>
  <si>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</si>
  <si>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</si>
  <si>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</si>
  <si>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</si>
  <si>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</si>
  <si>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</si>
  <si>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</si>
  <si>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</si>
  <si>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</si>
  <si>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</si>
  <si>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</si>
  <si>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</si>
  <si>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</si>
  <si>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</si>
  <si>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</si>
  <si>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</si>
  <si>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</si>
  <si>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</si>
  <si>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</si>
  <si>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</si>
  <si>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</si>
  <si>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</si>
  <si>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</si>
  <si>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</si>
  <si>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</si>
  <si>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</si>
  <si>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</si>
  <si>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</si>
  <si>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</si>
  <si>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</si>
  <si>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</si>
  <si>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</si>
  <si>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</si>
  <si>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</si>
  <si>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</si>
  <si>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</si>
  <si>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</si>
  <si>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</si>
  <si>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</si>
  <si>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</si>
  <si>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</si>
  <si>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</si>
  <si>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</si>
  <si>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</si>
  <si>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</si>
  <si>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</si>
  <si>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</si>
  <si>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</si>
  <si>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</si>
  <si>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</si>
  <si>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</si>
  <si>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</si>
  <si>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</si>
  <si>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</si>
  <si>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</si>
  <si>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</si>
  <si>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</si>
  <si>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</si>
  <si>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</si>
  <si>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</si>
  <si>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</si>
  <si>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</si>
  <si>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</si>
  <si>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</si>
  <si>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</si>
  <si>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</si>
  <si>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</si>
  <si>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</si>
  <si>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</si>
  <si>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</si>
  <si>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</si>
  <si>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</si>
  <si>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</si>
  <si>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</si>
  <si>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</si>
  <si>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</si>
  <si>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</si>
  <si>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</si>
  <si>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</si>
  <si>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</si>
  <si>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</si>
  <si>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</si>
  <si>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</si>
  <si>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</si>
  <si>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</si>
  <si>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</si>
  <si>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</si>
  <si>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</si>
  <si>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</si>
  <si>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</si>
  <si>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</si>
  <si>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</si>
  <si>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</si>
  <si>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</si>
  <si>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</si>
  <si>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</si>
  <si>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</si>
  <si>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</si>
  <si>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</si>
  <si>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</si>
  <si>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</si>
  <si>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</si>
  <si>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</si>
  <si>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</si>
  <si>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</si>
  <si>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</si>
  <si>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</si>
  <si>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</si>
  <si>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</si>
  <si>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</si>
  <si>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</si>
  <si>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</si>
  <si>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</si>
  <si>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</si>
  <si>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</si>
  <si>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</si>
  <si>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</si>
  <si>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</si>
  <si>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</si>
  <si>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</si>
  <si>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</si>
  <si>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</si>
  <si>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</si>
  <si>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</si>
  <si>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</si>
  <si>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</si>
  <si>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</si>
  <si>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</si>
  <si>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</si>
  <si>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</si>
  <si>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</si>
  <si>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</si>
  <si>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</si>
  <si>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</si>
  <si>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</si>
  <si>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</si>
  <si>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</si>
  <si>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</si>
  <si>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</si>
  <si>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</si>
  <si>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</si>
  <si>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</si>
  <si>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</si>
  <si>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</si>
  <si>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</si>
  <si>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</si>
  <si>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</si>
  <si>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</si>
  <si>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</si>
  <si>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</si>
  <si>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</si>
  <si>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</si>
  <si>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</si>
  <si>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</si>
  <si>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</si>
  <si>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</si>
  <si>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</si>
  <si>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</si>
  <si>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2659</t>
  </si>
  <si>
    <t>31831511</t>
  </si>
  <si>
    <t>АДМИНИСТРАЦИЯ ЗАБАЙКАЛЬСКОГО МУНИЦИПАЛЬНОГО ОКРУГА</t>
  </si>
  <si>
    <t>7505000358</t>
  </si>
  <si>
    <t>750501001</t>
  </si>
  <si>
    <t>30-08-2002 00:00:00</t>
  </si>
  <si>
    <t>31092497</t>
  </si>
  <si>
    <t>АДМИНИСТРАЦИЯ МУНИЦИПАЛЬНОГО ОБРАЗОВАНИЯ СЕЛЬСКОГО ПОСЕЛЕНИЯ "Бадинское"</t>
  </si>
  <si>
    <t>7538000522</t>
  </si>
  <si>
    <t>753801001</t>
  </si>
  <si>
    <t>31092503</t>
  </si>
  <si>
    <t>АДМИНИСТРАЦИЯ МУНИЦИПАЛЬНОГО ОБРАЗОВАНИЯ СЕЛЬСКОГО ПОСЕЛЕНИЯ "ХУШЕНГИНСКОЕ"</t>
  </si>
  <si>
    <t>7538000515</t>
  </si>
  <si>
    <t>31280185</t>
  </si>
  <si>
    <t>АДМИНИСТРАЦИЯ МУНИЦИПАЛЬНОГО РАЙОНА "КАЛАРСКИЙ РАЙОН"</t>
  </si>
  <si>
    <t>7506000311</t>
  </si>
  <si>
    <t>750601001</t>
  </si>
  <si>
    <t>28-02-2009 00:00:00</t>
  </si>
  <si>
    <t>31090075</t>
  </si>
  <si>
    <t>АДМИНИСТРАЦИЯ МУНИЦИПАЛЬНОГО РАЙОНА "ШИЛКИНСКИЙ РАЙОН"</t>
  </si>
  <si>
    <t>7527007220</t>
  </si>
  <si>
    <t>752701001</t>
  </si>
  <si>
    <t>31910300</t>
  </si>
  <si>
    <t>АДМИНИСТРАЦИЯ СЕЛЬСКОГО ПОСЕЛЕНИЯ "ВЕРХНЕКЛЮЧЕВСКОЕ" МУНИЦИПАЛЬНОГО РАЙОНА "НЕРЧИНСКИЙ РАЙОН" ЗАБАЙКАЛЬСКОГО КРАЯ</t>
  </si>
  <si>
    <t>7513005550</t>
  </si>
  <si>
    <t>751301001</t>
  </si>
  <si>
    <t>06-12-2005 00:00:00</t>
  </si>
  <si>
    <t>19-02-2026 00:00:00</t>
  </si>
  <si>
    <t>31480629</t>
  </si>
  <si>
    <t>АДМИНИСТРАЦИЯ СЕЛЬСКОГО ПОСЕЛЕНИЯ "ШИШКИНСКОЕ"</t>
  </si>
  <si>
    <t>7524012334</t>
  </si>
  <si>
    <t>752401001</t>
  </si>
  <si>
    <t>28-11-2005 00:00:00</t>
  </si>
  <si>
    <t>07-04-2026 00:00:00</t>
  </si>
  <si>
    <t>30431003</t>
  </si>
  <si>
    <t>АО "ГУ ЖКХ"</t>
  </si>
  <si>
    <t>5116000922</t>
  </si>
  <si>
    <t>753645001</t>
  </si>
  <si>
    <t>30335229</t>
  </si>
  <si>
    <t>770401001</t>
  </si>
  <si>
    <t>31033563</t>
  </si>
  <si>
    <t>АО "ЗабТЭК"</t>
  </si>
  <si>
    <t>7536169210</t>
  </si>
  <si>
    <t>753601001</t>
  </si>
  <si>
    <t>26651057</t>
  </si>
  <si>
    <t>АО "Тепловодоканал"</t>
  </si>
  <si>
    <t>7506004852</t>
  </si>
  <si>
    <t>26499401</t>
  </si>
  <si>
    <t>АО "Читаэнергосбыт"</t>
  </si>
  <si>
    <t>7536066430</t>
  </si>
  <si>
    <t>26499766</t>
  </si>
  <si>
    <t>АО "Читинский молочный комбинат"</t>
  </si>
  <si>
    <t>7534001638</t>
  </si>
  <si>
    <t>27480213</t>
  </si>
  <si>
    <t>АО «88 центральный автомобильный ремонтный завод» п. Песчанка</t>
  </si>
  <si>
    <t>7536103748</t>
  </si>
  <si>
    <t>31565149</t>
  </si>
  <si>
    <t>Администрация Балейского муниципального округа</t>
  </si>
  <si>
    <t>7503000722</t>
  </si>
  <si>
    <t>752801001</t>
  </si>
  <si>
    <t>31257358</t>
  </si>
  <si>
    <t>Администрация Городского Округа "Город Чита"</t>
  </si>
  <si>
    <t>7536031229</t>
  </si>
  <si>
    <t>06-08-1996 00:00:00</t>
  </si>
  <si>
    <t>31257516</t>
  </si>
  <si>
    <t>Администрация Краснокаменского муниципального округа</t>
  </si>
  <si>
    <t>7530006843</t>
  </si>
  <si>
    <t>753001001</t>
  </si>
  <si>
    <t>17-10-2002 00:00:00</t>
  </si>
  <si>
    <t>31480424</t>
  </si>
  <si>
    <t>Администрация Красночикойского района</t>
  </si>
  <si>
    <t>7509000408</t>
  </si>
  <si>
    <t>750901001</t>
  </si>
  <si>
    <t>31-10-2002 00:00:00</t>
  </si>
  <si>
    <t>31761685</t>
  </si>
  <si>
    <t>Администрация Нерчинского муниципального округа</t>
  </si>
  <si>
    <t>7513000739</t>
  </si>
  <si>
    <t>01-01-2024 00:00:00</t>
  </si>
  <si>
    <t>31651680</t>
  </si>
  <si>
    <t>Администрация Приаргунско муниципального округа</t>
  </si>
  <si>
    <t>7518001454</t>
  </si>
  <si>
    <t>751801001</t>
  </si>
  <si>
    <t>01-12-2022 00:00:00</t>
  </si>
  <si>
    <t>27585272</t>
  </si>
  <si>
    <t>Администрация СП "Шелопугинское"</t>
  </si>
  <si>
    <t>7526002878</t>
  </si>
  <si>
    <t>752601001</t>
  </si>
  <si>
    <t>30-01-2025 00:00:00</t>
  </si>
  <si>
    <t>31740696</t>
  </si>
  <si>
    <t>Администрация Сельского Поселения "Верхнешергольджинское"</t>
  </si>
  <si>
    <t>7509003913</t>
  </si>
  <si>
    <t>02-04-2026 00:00:00</t>
  </si>
  <si>
    <t>31740742</t>
  </si>
  <si>
    <t>Администрация Сельского Поселения "Нижнегирюнинское"</t>
  </si>
  <si>
    <t>7528004790</t>
  </si>
  <si>
    <t>15-11-2005 00:00:00</t>
  </si>
  <si>
    <t>28-02-2025 00:00:00</t>
  </si>
  <si>
    <t>31740755</t>
  </si>
  <si>
    <t>Администрация Сельского Поселения "Тыргетуйское"</t>
  </si>
  <si>
    <t>7508004960</t>
  </si>
  <si>
    <t>750801001</t>
  </si>
  <si>
    <t>24-11-2005 00:00:00</t>
  </si>
  <si>
    <t>26-01-2026 00:00:00</t>
  </si>
  <si>
    <t>28503625</t>
  </si>
  <si>
    <t>Администрация Чернышевского муниципального округа</t>
  </si>
  <si>
    <t>7525004760</t>
  </si>
  <si>
    <t>752501001</t>
  </si>
  <si>
    <t>23-03-2026 00:00:00</t>
  </si>
  <si>
    <t>28872970</t>
  </si>
  <si>
    <t>Администрация г.п. "Дарасунское"</t>
  </si>
  <si>
    <t>7508004914</t>
  </si>
  <si>
    <t>26647617</t>
  </si>
  <si>
    <t>Администрация муниципального образования сельское поселение "Ковылинское"</t>
  </si>
  <si>
    <t>7530010744</t>
  </si>
  <si>
    <t>27-03-2025 00:00:00</t>
  </si>
  <si>
    <t>27500750</t>
  </si>
  <si>
    <t>Администрация муниципального образования сельское поселение "Усть-Начинское"</t>
  </si>
  <si>
    <t>7519003670</t>
  </si>
  <si>
    <t>751901001</t>
  </si>
  <si>
    <t>31480449</t>
  </si>
  <si>
    <t>Администрация муниципального округа "Ононский округ"</t>
  </si>
  <si>
    <t>7516002526</t>
  </si>
  <si>
    <t>751601001</t>
  </si>
  <si>
    <t>15-12-2005 00:00:00</t>
  </si>
  <si>
    <t>31412148</t>
  </si>
  <si>
    <t>Администрация муниципального района "Дульдургинский район"</t>
  </si>
  <si>
    <t>8002002576</t>
  </si>
  <si>
    <t>800201001</t>
  </si>
  <si>
    <t>20-04-1991 00:00:00</t>
  </si>
  <si>
    <t>26320250</t>
  </si>
  <si>
    <t>Администрация муниципального района "Нерчинско-Заводский район"</t>
  </si>
  <si>
    <t>7514000523</t>
  </si>
  <si>
    <t>751401001</t>
  </si>
  <si>
    <t>31651687</t>
  </si>
  <si>
    <t>Администрация муниципального района "Сретенский район" Забайкальского края</t>
  </si>
  <si>
    <t>7519000157</t>
  </si>
  <si>
    <t>22-11-2002 00:00:00</t>
  </si>
  <si>
    <t>31565290</t>
  </si>
  <si>
    <t>Администрация муниципального района "Улетовский район"</t>
  </si>
  <si>
    <t>7522001721</t>
  </si>
  <si>
    <t>752201001</t>
  </si>
  <si>
    <t>31090081</t>
  </si>
  <si>
    <t>Администрация муниципального района "Читинский район"</t>
  </si>
  <si>
    <t>7524000811</t>
  </si>
  <si>
    <t>29-09-1999 00:00:00</t>
  </si>
  <si>
    <t>31567746</t>
  </si>
  <si>
    <t>Администрация муниципального района "Шелопугинский район"</t>
  </si>
  <si>
    <t>7526000729</t>
  </si>
  <si>
    <t>11-12-2002 00:00:00</t>
  </si>
  <si>
    <t>31257552</t>
  </si>
  <si>
    <t>Администрация муниципального раойна  "Чернышевское"</t>
  </si>
  <si>
    <t>7525004880</t>
  </si>
  <si>
    <t>13-12-2005 00:00:00</t>
  </si>
  <si>
    <t>27500914</t>
  </si>
  <si>
    <t>Администрация с.п. "Зареченское"</t>
  </si>
  <si>
    <t>7513005487</t>
  </si>
  <si>
    <t>08-05-2014 00:00:00</t>
  </si>
  <si>
    <t>26499858</t>
  </si>
  <si>
    <t>Администрация с.п. "Ортуй"</t>
  </si>
  <si>
    <t>8003021596</t>
  </si>
  <si>
    <t>800301001</t>
  </si>
  <si>
    <t>12-09-2000 00:00:00</t>
  </si>
  <si>
    <t>26-03-2026 00:00:00</t>
  </si>
  <si>
    <t>26499862</t>
  </si>
  <si>
    <t>Администрация с.п. "Хара-Шибирь"</t>
  </si>
  <si>
    <t>8003021469</t>
  </si>
  <si>
    <t>24-12-2014 00:00:00</t>
  </si>
  <si>
    <t>28446360</t>
  </si>
  <si>
    <t>Администрация с.п. Угданское</t>
  </si>
  <si>
    <t>7524012408</t>
  </si>
  <si>
    <t>20-12-2013 00:00:00</t>
  </si>
  <si>
    <t>26499854</t>
  </si>
  <si>
    <t>Администрация с.п."Зугалай"</t>
  </si>
  <si>
    <t>8003021211</t>
  </si>
  <si>
    <t>07-02-1994 00:00:00</t>
  </si>
  <si>
    <t>26499856</t>
  </si>
  <si>
    <t>Администрация с.п."Нуринск"</t>
  </si>
  <si>
    <t>8003021959</t>
  </si>
  <si>
    <t>27500656</t>
  </si>
  <si>
    <t>Администрация сельского поселения "Аблатуйское"</t>
  </si>
  <si>
    <t>7522003581</t>
  </si>
  <si>
    <t>14-08-2025 00:00:00</t>
  </si>
  <si>
    <t>28815879</t>
  </si>
  <si>
    <t>Администрация сельского поселения "Алиянское" МР "Сретенский район" Забайкальского края</t>
  </si>
  <si>
    <t>7519003542</t>
  </si>
  <si>
    <t>26-09-2014 00:00:00</t>
  </si>
  <si>
    <t>26499848</t>
  </si>
  <si>
    <t>Администрация сельского поселения "Боржигантай" мр "Могойтуйский район"</t>
  </si>
  <si>
    <t>8003021557</t>
  </si>
  <si>
    <t>11-11-2002 00:00:00</t>
  </si>
  <si>
    <t>31280452</t>
  </si>
  <si>
    <t>Администрация сельского поселения "Глинянское"</t>
  </si>
  <si>
    <t>7526002885</t>
  </si>
  <si>
    <t>19-12-2005 00:00:00</t>
  </si>
  <si>
    <t>27510302</t>
  </si>
  <si>
    <t>Администрация сельского поселения "Дровянинское"</t>
  </si>
  <si>
    <t>7522003528</t>
  </si>
  <si>
    <t>26498277</t>
  </si>
  <si>
    <t>Администрация сельского поселения "Знаменское"</t>
  </si>
  <si>
    <t>7513005470</t>
  </si>
  <si>
    <t>27505207</t>
  </si>
  <si>
    <t>Администрация сельского поселения "Зуткулей"</t>
  </si>
  <si>
    <t>8002018199</t>
  </si>
  <si>
    <t>26540281</t>
  </si>
  <si>
    <t>Администрация сельского поселения "Иля"</t>
  </si>
  <si>
    <t>8002018142</t>
  </si>
  <si>
    <t>18-06-2001 00:00:00</t>
  </si>
  <si>
    <t>26499842</t>
  </si>
  <si>
    <t>Администрация сельского поселения "Кусоча"</t>
  </si>
  <si>
    <t>8003021229</t>
  </si>
  <si>
    <t>26320253</t>
  </si>
  <si>
    <t>Администрация сельского поселения "Малетинское"</t>
  </si>
  <si>
    <t>7531004013</t>
  </si>
  <si>
    <t>753101001</t>
  </si>
  <si>
    <t>03-02-2025 00:00:00</t>
  </si>
  <si>
    <t>26499169</t>
  </si>
  <si>
    <t>Администрация сельского поселения "Мильгидунское"</t>
  </si>
  <si>
    <t>7525004752</t>
  </si>
  <si>
    <t>26498283</t>
  </si>
  <si>
    <t>Администрация сельского поселения "Пешковское"</t>
  </si>
  <si>
    <t>7513005600</t>
  </si>
  <si>
    <t>27573399</t>
  </si>
  <si>
    <t>Администрация сельского поселения "Узон"</t>
  </si>
  <si>
    <t>8002018960</t>
  </si>
  <si>
    <t>26498295</t>
  </si>
  <si>
    <t>Администрация сельского поселения "Улятуйское"</t>
  </si>
  <si>
    <t>7515006101</t>
  </si>
  <si>
    <t>751501001</t>
  </si>
  <si>
    <t>02-03-2026 00:00:00</t>
  </si>
  <si>
    <t>26499866</t>
  </si>
  <si>
    <t>Администрация сельского поселения "Хила"</t>
  </si>
  <si>
    <t>8003021490</t>
  </si>
  <si>
    <t>26499870</t>
  </si>
  <si>
    <t>Администрация сельского поселения "Цаган-Челутай"</t>
  </si>
  <si>
    <t>8003021500</t>
  </si>
  <si>
    <t>19-08-2010 00:00:00</t>
  </si>
  <si>
    <t>27711778</t>
  </si>
  <si>
    <t>Администрация сп "Тангинское"</t>
  </si>
  <si>
    <t>7522003542</t>
  </si>
  <si>
    <t>30375364</t>
  </si>
  <si>
    <t>Акционерное общество "РЖДстрой"- филиал "Строительно-монтажный трест № 15"</t>
  </si>
  <si>
    <t>7708587205</t>
  </si>
  <si>
    <t>753602002</t>
  </si>
  <si>
    <t>10-01-1992 00:00:00</t>
  </si>
  <si>
    <t>27570862</t>
  </si>
  <si>
    <t>Вагонное ремонтное депо Ружино - обособленное структурное подразделение АО "Вагонная ремонтная компания-1"</t>
  </si>
  <si>
    <t>7708737490</t>
  </si>
  <si>
    <t>250745001</t>
  </si>
  <si>
    <t>28466181</t>
  </si>
  <si>
    <t>Вагонное ремонтное депо Чита</t>
  </si>
  <si>
    <t>7708737517</t>
  </si>
  <si>
    <t>03-02-2014 00:00:00</t>
  </si>
  <si>
    <t>26499196</t>
  </si>
  <si>
    <t>ГАУЗ "Шилкинская центральная районная больница"</t>
  </si>
  <si>
    <t>7527002221</t>
  </si>
  <si>
    <t>26499177</t>
  </si>
  <si>
    <t>ГАУСО "Атамановский дом-интернат для престарелых и инвалидов"</t>
  </si>
  <si>
    <t>7524005947</t>
  </si>
  <si>
    <t>28053356</t>
  </si>
  <si>
    <t>ГАУСО «Борзинский ДИ» Забайкальского края</t>
  </si>
  <si>
    <t>7515002548</t>
  </si>
  <si>
    <t>30365558</t>
  </si>
  <si>
    <t>ГКУ "Центр МТО" Забайкальского края</t>
  </si>
  <si>
    <t>7536098181</t>
  </si>
  <si>
    <t>25-11-2015 00:00:00</t>
  </si>
  <si>
    <t>27572737</t>
  </si>
  <si>
    <t>ГОСУДАРСТВЕННОЕ АВТОНОМНОЕ УЧРЕЖДЕНИЕ ЗДРАВООХРАНЕНИЯ "ЦЕНТР МЕДИЦИНСКОЙ РЕАБИЛИТАЦИИ ДАРАСУН"</t>
  </si>
  <si>
    <t>7536112728</t>
  </si>
  <si>
    <t>01-09-2011 00:00:00</t>
  </si>
  <si>
    <t>28086500</t>
  </si>
  <si>
    <t>ГОУ Могочинская специальная (коррекционная) школа-интернат VIII вида</t>
  </si>
  <si>
    <t>7512000310</t>
  </si>
  <si>
    <t>751201001</t>
  </si>
  <si>
    <t>26647655</t>
  </si>
  <si>
    <t>ГОУ НПО  «Профессиональное училище № 33»</t>
  </si>
  <si>
    <t>7537007941</t>
  </si>
  <si>
    <t>753701001</t>
  </si>
  <si>
    <t>09-12-2002 00:00:00</t>
  </si>
  <si>
    <t>26499780</t>
  </si>
  <si>
    <t>ГСУ СО "Петровск-Забайкальский дом интернат для умственно-отсталых детей"</t>
  </si>
  <si>
    <t>7531001372</t>
  </si>
  <si>
    <t>26644769</t>
  </si>
  <si>
    <t>ГУ "Краснознаменное Пограничное управление Федеральной службы безопасности Российской Федерации по Забайкальскому краю"</t>
  </si>
  <si>
    <t>7536061093</t>
  </si>
  <si>
    <t>750531002</t>
  </si>
  <si>
    <t>26499824</t>
  </si>
  <si>
    <t>ГУЗ "Дульдургинская ЦРБ"</t>
  </si>
  <si>
    <t>8002003001</t>
  </si>
  <si>
    <t>26499173</t>
  </si>
  <si>
    <t>ГУЗ "Областной специализированный дом ребенка №2"</t>
  </si>
  <si>
    <t>7524012126</t>
  </si>
  <si>
    <t>27570901</t>
  </si>
  <si>
    <t>ГУЗ "Хилокская ЦРБ"</t>
  </si>
  <si>
    <t>7523002220</t>
  </si>
  <si>
    <t>752301001</t>
  </si>
  <si>
    <t>26-12-2002 00:00:00</t>
  </si>
  <si>
    <t>30923585</t>
  </si>
  <si>
    <t>ГУСО "Дульдургинский комплексный центр социального обслуживания населения "Наран" Забайкальского края</t>
  </si>
  <si>
    <t>8002021040</t>
  </si>
  <si>
    <t>13-05-2013 00:00:00</t>
  </si>
  <si>
    <t>31091304</t>
  </si>
  <si>
    <t>Государственное автономное учреждение социального обслуживания «Реабилитационный центр для детей и подростков с ограниченными возможностями «Спасатель» Забайкальского края</t>
  </si>
  <si>
    <t>7524011002</t>
  </si>
  <si>
    <t>26-11-2002 00:00:00</t>
  </si>
  <si>
    <t>26649631</t>
  </si>
  <si>
    <t>Государственное учреждение здравоохранения "Газимуро-Заводская центральная районная больница"</t>
  </si>
  <si>
    <t>7504000718</t>
  </si>
  <si>
    <t>750401001</t>
  </si>
  <si>
    <t>30793661</t>
  </si>
  <si>
    <t>Государственное учреждение социального обслуживания "Бадинский социально-реабилитационный центр для несовершеннолетних "Искра" Забайкальского края</t>
  </si>
  <si>
    <t>7523005239</t>
  </si>
  <si>
    <t>23-12-2002 00:00:00</t>
  </si>
  <si>
    <t>31030732</t>
  </si>
  <si>
    <t>ЖЭ(К)О № 7 филиала ФГБУ «ЦЖКУ» Минобороны России по ВВО</t>
  </si>
  <si>
    <t>7729314745</t>
  </si>
  <si>
    <t>753645002</t>
  </si>
  <si>
    <t>28272601</t>
  </si>
  <si>
    <t>Жамсаранов Пурбо Гырылович</t>
  </si>
  <si>
    <t>800300653274</t>
  </si>
  <si>
    <t>30-09-2013 00:00:00</t>
  </si>
  <si>
    <t>26498139</t>
  </si>
  <si>
    <t>Забайкальская дирекция по тепловодоснабжению - структурное подразделение Центральной дирекции по тепловодоснабжению филиала ОАО "РЖД"</t>
  </si>
  <si>
    <t>7708503727</t>
  </si>
  <si>
    <t>753602001</t>
  </si>
  <si>
    <t>31043201</t>
  </si>
  <si>
    <t>Забайкальское линейное управление Министрества внутренних дел Российской Федерации на транспорте</t>
  </si>
  <si>
    <t>7536031973</t>
  </si>
  <si>
    <t>31544390</t>
  </si>
  <si>
    <t>ИП Деревцов Е.Г.</t>
  </si>
  <si>
    <t>752501152305</t>
  </si>
  <si>
    <t>31034707</t>
  </si>
  <si>
    <t>ИП Ибрагимов Алихан Гакиевич</t>
  </si>
  <si>
    <t>752504119602</t>
  </si>
  <si>
    <t>22-07-2011 00:00:00</t>
  </si>
  <si>
    <t>31032415</t>
  </si>
  <si>
    <t>ИП КОРДЮКОВА О.Г.</t>
  </si>
  <si>
    <t>751200561366</t>
  </si>
  <si>
    <t>31473430</t>
  </si>
  <si>
    <t>ИП Кайстрюкова О.В.</t>
  </si>
  <si>
    <t>751502395073</t>
  </si>
  <si>
    <t>19-10-2020 00:00:00</t>
  </si>
  <si>
    <t>31763413</t>
  </si>
  <si>
    <t>ИП Калабухов А.В.</t>
  </si>
  <si>
    <t>751202374146</t>
  </si>
  <si>
    <t>12-02-2024 00:00:00</t>
  </si>
  <si>
    <t>31520150</t>
  </si>
  <si>
    <t>ИП Пилипенко К.И.</t>
  </si>
  <si>
    <t>753005889196</t>
  </si>
  <si>
    <t>21-05-2015 00:00:00</t>
  </si>
  <si>
    <t>26375492</t>
  </si>
  <si>
    <t>ИП Плахин К.В.</t>
  </si>
  <si>
    <t>750800002865</t>
  </si>
  <si>
    <t>17-04-2006 00:00:00</t>
  </si>
  <si>
    <t>31520494</t>
  </si>
  <si>
    <t>ИП Поворотов Р.С.</t>
  </si>
  <si>
    <t>750200587644</t>
  </si>
  <si>
    <t>08-08-2014 00:00:00</t>
  </si>
  <si>
    <t>28446385</t>
  </si>
  <si>
    <t>ИП Соколовский И.Н.</t>
  </si>
  <si>
    <t>753702995018</t>
  </si>
  <si>
    <t>31520507</t>
  </si>
  <si>
    <t>ИП Щукин В.Ж.</t>
  </si>
  <si>
    <t>753604231712</t>
  </si>
  <si>
    <t>06-07-2017 00:00:00</t>
  </si>
  <si>
    <t>26647937</t>
  </si>
  <si>
    <t>КГУП "Автомобильные дороги Забайкалья"</t>
  </si>
  <si>
    <t>7536002877</t>
  </si>
  <si>
    <t>751602001</t>
  </si>
  <si>
    <t>26649633</t>
  </si>
  <si>
    <t>Комитет по управлению образованием Администрации МР «Город Краснокаменск и Краснокаменский район»</t>
  </si>
  <si>
    <t>7530006850</t>
  </si>
  <si>
    <t>28456504</t>
  </si>
  <si>
    <t>МАНУ "Благоустройство"</t>
  </si>
  <si>
    <t>7505007561</t>
  </si>
  <si>
    <t>31618985</t>
  </si>
  <si>
    <t>МАУ ЖКХБ «Улётовское»</t>
  </si>
  <si>
    <t>7500003926</t>
  </si>
  <si>
    <t>750001001</t>
  </si>
  <si>
    <t>15-06-2022 00:00:00</t>
  </si>
  <si>
    <t>28446544</t>
  </si>
  <si>
    <t>МБУ "Центр МТТО"</t>
  </si>
  <si>
    <t>7524016410</t>
  </si>
  <si>
    <t>30377303</t>
  </si>
  <si>
    <t>МБУ ХЭС</t>
  </si>
  <si>
    <t>7515007786</t>
  </si>
  <si>
    <t>27-01-2012 00:00:00</t>
  </si>
  <si>
    <t>26499158</t>
  </si>
  <si>
    <t>МДОУ "Медвеженок"</t>
  </si>
  <si>
    <t>7525004689</t>
  </si>
  <si>
    <t>11-11-2025 00:00:00</t>
  </si>
  <si>
    <t>31728225</t>
  </si>
  <si>
    <t>МКУ "ЦЕНТР БУМТО"</t>
  </si>
  <si>
    <t>7500002979</t>
  </si>
  <si>
    <t>28-04-2022 00:00:00</t>
  </si>
  <si>
    <t>26823644</t>
  </si>
  <si>
    <t>МОУ "Нижнецасучейская СОШ"</t>
  </si>
  <si>
    <t>7516001201</t>
  </si>
  <si>
    <t>27585016</t>
  </si>
  <si>
    <t>МОУ "Чикичейская ООШ"</t>
  </si>
  <si>
    <t>7519004169</t>
  </si>
  <si>
    <t>14-01-1967 00:00:00</t>
  </si>
  <si>
    <t>26499202</t>
  </si>
  <si>
    <t>МОУ Галкинская СОШ</t>
  </si>
  <si>
    <t>7527006025</t>
  </si>
  <si>
    <t>28151471</t>
  </si>
  <si>
    <t>МОУ Номоконовская средняя общеобразовательная школа</t>
  </si>
  <si>
    <t>7527006385</t>
  </si>
  <si>
    <t>28085540</t>
  </si>
  <si>
    <t>МОУ СОШ им. Г.П.Богомягкова</t>
  </si>
  <si>
    <t>7527005825</t>
  </si>
  <si>
    <t>26823629</t>
  </si>
  <si>
    <t>МОУ Ундино-Посельская СОШ</t>
  </si>
  <si>
    <t>7503000539</t>
  </si>
  <si>
    <t>30874506</t>
  </si>
  <si>
    <t>МП "ЖКХ г.п. Атамановское"</t>
  </si>
  <si>
    <t>7524187503</t>
  </si>
  <si>
    <t>27585036</t>
  </si>
  <si>
    <t>МП "Новокручининское"</t>
  </si>
  <si>
    <t>7524012824</t>
  </si>
  <si>
    <t>31-01-2006 00:00:00</t>
  </si>
  <si>
    <t>15-08-2025 00:00:00</t>
  </si>
  <si>
    <t>26499806</t>
  </si>
  <si>
    <t>МП "Урдо-Ага"</t>
  </si>
  <si>
    <t>8001011433</t>
  </si>
  <si>
    <t>800101001</t>
  </si>
  <si>
    <t>26503247</t>
  </si>
  <si>
    <t>МП редакция газеты "Знамя труда"</t>
  </si>
  <si>
    <t>7509001049</t>
  </si>
  <si>
    <t>31392323</t>
  </si>
  <si>
    <t>МУНИЦИПАЛЬНОЕ УЧРЕЖДЕНИЕ ДОПОЛНИТЕЛЬНОГО ОБРАЗОВАНИЯ "СРЕТЕНСКИЙ ДОМ ДЕТСКОГО ТВОРЧЕСТВА"</t>
  </si>
  <si>
    <t>7519003140</t>
  </si>
  <si>
    <t>13-12-2001 00:00:00</t>
  </si>
  <si>
    <t>26499122</t>
  </si>
  <si>
    <t>МУП "ГРЭЦ"</t>
  </si>
  <si>
    <t>7538000730</t>
  </si>
  <si>
    <t>26375562</t>
  </si>
  <si>
    <t>МУП "ЖКХ "Ингода"</t>
  </si>
  <si>
    <t>7527006850</t>
  </si>
  <si>
    <t>27500663</t>
  </si>
  <si>
    <t>МУП "МК"</t>
  </si>
  <si>
    <t>7522004240</t>
  </si>
  <si>
    <t>26375593</t>
  </si>
  <si>
    <t>МУП "РЖКХ"</t>
  </si>
  <si>
    <t>7538000040</t>
  </si>
  <si>
    <t>30870859</t>
  </si>
  <si>
    <t>МУП "Теплосети"</t>
  </si>
  <si>
    <t>7516003270</t>
  </si>
  <si>
    <t>20-01-2017 00:00:00</t>
  </si>
  <si>
    <t>31304307</t>
  </si>
  <si>
    <t>МУП "Чарское ЖКХ"</t>
  </si>
  <si>
    <t>7506005528</t>
  </si>
  <si>
    <t>28446836</t>
  </si>
  <si>
    <t>МУП "Чернышевский теплоэнергетический комплекс"</t>
  </si>
  <si>
    <t>7525006171</t>
  </si>
  <si>
    <t>09-01-2025 00:00:00</t>
  </si>
  <si>
    <t>26503273</t>
  </si>
  <si>
    <t>МУП «ЖКУ п. Кокуй»</t>
  </si>
  <si>
    <t>7519003430</t>
  </si>
  <si>
    <t>15-12-2004 00:00:00</t>
  </si>
  <si>
    <t>26375559</t>
  </si>
  <si>
    <t>МУП ЖКХ "Шахтаминское"</t>
  </si>
  <si>
    <t>7526002691</t>
  </si>
  <si>
    <t>31616134</t>
  </si>
  <si>
    <t>Муниципальное общеобразовательное учреждение «Сретенская средняя общеобразовательная школа № 1»</t>
  </si>
  <si>
    <t>7519002725</t>
  </si>
  <si>
    <t>24-10-2002 00:00:00</t>
  </si>
  <si>
    <t>26503275</t>
  </si>
  <si>
    <t>Муниципальное общеобразовательное учреждение «Усть-Карская средняя общеобразовательная школа»</t>
  </si>
  <si>
    <t>7519002796</t>
  </si>
  <si>
    <t>26498299</t>
  </si>
  <si>
    <t>Муниципальное общеобразовательное учреждение Красноималкинская основная общеобразовательная школа</t>
  </si>
  <si>
    <t>7516002950</t>
  </si>
  <si>
    <t>27480530</t>
  </si>
  <si>
    <t>ОАО "Ингода"</t>
  </si>
  <si>
    <t>7532001336</t>
  </si>
  <si>
    <t>26503259</t>
  </si>
  <si>
    <t>ОАО "Коммунальник"</t>
  </si>
  <si>
    <t>7515005891</t>
  </si>
  <si>
    <t>28462344</t>
  </si>
  <si>
    <t>ОАО "Могойтуйская МСО"</t>
  </si>
  <si>
    <t>8003021109</t>
  </si>
  <si>
    <t>26320240</t>
  </si>
  <si>
    <t>ОАО "Прииск Усть-Кара"</t>
  </si>
  <si>
    <t>7519001200</t>
  </si>
  <si>
    <t>28980466</t>
  </si>
  <si>
    <t>ОАО "РЖД" в лице Могочинской дистанции гражданских сооружений структурного подразделения Забайкальской дирекции по эксплуатации зданий и сооружений ЗабЖД</t>
  </si>
  <si>
    <t>751245167</t>
  </si>
  <si>
    <t>01-04-2013 00:00:00</t>
  </si>
  <si>
    <t>26375584</t>
  </si>
  <si>
    <t>ОАО "Силикатный завод"</t>
  </si>
  <si>
    <t>7534000698</t>
  </si>
  <si>
    <t>27585020</t>
  </si>
  <si>
    <t>ОАО "Читинский мебельно-деревообрабатывающий комбинат Даурия"</t>
  </si>
  <si>
    <t>7534014161</t>
  </si>
  <si>
    <t>26498303</t>
  </si>
  <si>
    <t>ООО  "Восход"</t>
  </si>
  <si>
    <t>7531005240</t>
  </si>
  <si>
    <t>31772233</t>
  </si>
  <si>
    <t>ООО  "СПК Оловяннинский"</t>
  </si>
  <si>
    <t>7500022397</t>
  </si>
  <si>
    <t>23-09-2024 00:00:00</t>
  </si>
  <si>
    <t>31817520</t>
  </si>
  <si>
    <t>ООО  "Стокер"</t>
  </si>
  <si>
    <t>7500001100</t>
  </si>
  <si>
    <t>09-02-2022 00:00:00</t>
  </si>
  <si>
    <t>31813664</t>
  </si>
  <si>
    <t>ООО  "Храм"</t>
  </si>
  <si>
    <t>7536130036</t>
  </si>
  <si>
    <t>01-10-2012 00:00:00</t>
  </si>
  <si>
    <t>31392089</t>
  </si>
  <si>
    <t>ООО " ТрансТеплоРесурс"</t>
  </si>
  <si>
    <t>7508007418</t>
  </si>
  <si>
    <t>30-08-2019 00:00:00</t>
  </si>
  <si>
    <t>30372462</t>
  </si>
  <si>
    <t>ООО "Авангард плюс"</t>
  </si>
  <si>
    <t>7524018664</t>
  </si>
  <si>
    <t>30869783</t>
  </si>
  <si>
    <t>ООО "Авангард"</t>
  </si>
  <si>
    <t>7536142585</t>
  </si>
  <si>
    <t>10-04-2014 00:00:00</t>
  </si>
  <si>
    <t>28819882</t>
  </si>
  <si>
    <t>ООО "Автокомлекс Магистральный"</t>
  </si>
  <si>
    <t>7536118254</t>
  </si>
  <si>
    <t>26823655</t>
  </si>
  <si>
    <t>ООО "Агропромснаб"</t>
  </si>
  <si>
    <t>7529002587</t>
  </si>
  <si>
    <t>752901001</t>
  </si>
  <si>
    <t>31644364</t>
  </si>
  <si>
    <t>ООО "Альянс"</t>
  </si>
  <si>
    <t>7519004761</t>
  </si>
  <si>
    <t>18-04-2016 00:00:00</t>
  </si>
  <si>
    <t>26375534</t>
  </si>
  <si>
    <t>ООО "Бадинское ЖКХ"</t>
  </si>
  <si>
    <t>7538001276</t>
  </si>
  <si>
    <t>16-04-2008 00:00:00</t>
  </si>
  <si>
    <t>26498127</t>
  </si>
  <si>
    <t>ООО "Балейский"</t>
  </si>
  <si>
    <t>7528005218</t>
  </si>
  <si>
    <t>31354359</t>
  </si>
  <si>
    <t>ООО "Благоустройство"</t>
  </si>
  <si>
    <t>7536103120</t>
  </si>
  <si>
    <t>18-10-2018 00:00:00</t>
  </si>
  <si>
    <t>27582463</t>
  </si>
  <si>
    <t>ООО "Благоустройство+"</t>
  </si>
  <si>
    <t>7531006317</t>
  </si>
  <si>
    <t>30867028</t>
  </si>
  <si>
    <t>ООО "ГАРАНТиЯ"</t>
  </si>
  <si>
    <t>7536155633</t>
  </si>
  <si>
    <t>08-12-2015 00:00:00</t>
  </si>
  <si>
    <t>31903840</t>
  </si>
  <si>
    <t>ООО "Гермес"</t>
  </si>
  <si>
    <t>7536181506</t>
  </si>
  <si>
    <t>29-05-2020 00:00:00</t>
  </si>
  <si>
    <t>31057024</t>
  </si>
  <si>
    <t>ООО "Грин Энерджи Рус"</t>
  </si>
  <si>
    <t>9718043825</t>
  </si>
  <si>
    <t>772801001</t>
  </si>
  <si>
    <t>16-01-2017 00:00:00</t>
  </si>
  <si>
    <t>31765190</t>
  </si>
  <si>
    <t>ООО "ДВ СЕРВИС"</t>
  </si>
  <si>
    <t>1435341544</t>
  </si>
  <si>
    <t>143501001</t>
  </si>
  <si>
    <t>17-04-2019 00:00:00</t>
  </si>
  <si>
    <t>31456844</t>
  </si>
  <si>
    <t>ООО "Дарасунская энергетическая компания"</t>
  </si>
  <si>
    <t>7536183091</t>
  </si>
  <si>
    <t>15-09-2020 00:00:00</t>
  </si>
  <si>
    <t>31210464</t>
  </si>
  <si>
    <t>ООО "ДомуВид"</t>
  </si>
  <si>
    <t>7524187856</t>
  </si>
  <si>
    <t>26-04-2017 00:00:00</t>
  </si>
  <si>
    <t>31916074</t>
  </si>
  <si>
    <t>ООО "ЖКУ"</t>
  </si>
  <si>
    <t>7500032645</t>
  </si>
  <si>
    <t>22-12-2025 00:00:00</t>
  </si>
  <si>
    <t>30852386</t>
  </si>
  <si>
    <t>ООО "ЖКХ Теплосервис"</t>
  </si>
  <si>
    <t>7512005893</t>
  </si>
  <si>
    <t>15-04-2015 00:00:00</t>
  </si>
  <si>
    <t>31535146</t>
  </si>
  <si>
    <t>ООО "ЗАБКОММУНЭНЕРГО"</t>
  </si>
  <si>
    <t>7536188406</t>
  </si>
  <si>
    <t>30375245</t>
  </si>
  <si>
    <t>ООО "Забайкальская теплоснабжающая организация"</t>
  </si>
  <si>
    <t>7508007048</t>
  </si>
  <si>
    <t>17-04-2015 00:00:00</t>
  </si>
  <si>
    <t>30852518</t>
  </si>
  <si>
    <t>ООО "Забайкальский тепловик"</t>
  </si>
  <si>
    <t>7536158930</t>
  </si>
  <si>
    <t>21-04-2016 00:00:00</t>
  </si>
  <si>
    <t>31500603</t>
  </si>
  <si>
    <t>ООО "Здравницы Забайкалья"</t>
  </si>
  <si>
    <t>7524188553</t>
  </si>
  <si>
    <t>28-10-2019 00:00:00</t>
  </si>
  <si>
    <t>28422291</t>
  </si>
  <si>
    <t>ООО "Исток"</t>
  </si>
  <si>
    <t>8001017594</t>
  </si>
  <si>
    <t>22-04-2013 00:00:00</t>
  </si>
  <si>
    <t>26375490</t>
  </si>
  <si>
    <t>ООО "Кадаинское"</t>
  </si>
  <si>
    <t>7507002223</t>
  </si>
  <si>
    <t>750701001</t>
  </si>
  <si>
    <t>28-01-2007 00:00:00</t>
  </si>
  <si>
    <t>30873192</t>
  </si>
  <si>
    <t>ООО "Каскад плюс"</t>
  </si>
  <si>
    <t>7536076491</t>
  </si>
  <si>
    <t>19-06-2006 00:00:00</t>
  </si>
  <si>
    <t>26498172</t>
  </si>
  <si>
    <t>ООО "Кварц"</t>
  </si>
  <si>
    <t>7508000941</t>
  </si>
  <si>
    <t>31176374</t>
  </si>
  <si>
    <t>ООО "Коммунальник плюс"</t>
  </si>
  <si>
    <t>7508007175</t>
  </si>
  <si>
    <t>15-12-2016 00:00:00</t>
  </si>
  <si>
    <t>26375529</t>
  </si>
  <si>
    <t>ООО "Коммунальник"</t>
  </si>
  <si>
    <t>7520000828</t>
  </si>
  <si>
    <t>752001001</t>
  </si>
  <si>
    <t>31717733</t>
  </si>
  <si>
    <t>ООО "Комфортстрой"</t>
  </si>
  <si>
    <t>7536132530</t>
  </si>
  <si>
    <t>18-01-2023 00:00:00</t>
  </si>
  <si>
    <t>27479768</t>
  </si>
  <si>
    <t>ООО "Луч"</t>
  </si>
  <si>
    <t>8001016569</t>
  </si>
  <si>
    <t>31646113</t>
  </si>
  <si>
    <t>ООО "МАГ"</t>
  </si>
  <si>
    <t>7500004398</t>
  </si>
  <si>
    <t>31535543</t>
  </si>
  <si>
    <t>ООО "МЕТАЛЛСТРОЙМОНТАЖ"</t>
  </si>
  <si>
    <t>7516003311</t>
  </si>
  <si>
    <t>07-10-2019 00:00:00</t>
  </si>
  <si>
    <t>30391728</t>
  </si>
  <si>
    <t>ООО "Меркурий"</t>
  </si>
  <si>
    <t>7524016138</t>
  </si>
  <si>
    <t>26777534</t>
  </si>
  <si>
    <t>ООО "Могойтуйские теплосети"</t>
  </si>
  <si>
    <t>8003039441</t>
  </si>
  <si>
    <t>30877315</t>
  </si>
  <si>
    <t>ООО "Одон"</t>
  </si>
  <si>
    <t>8003040221</t>
  </si>
  <si>
    <t>23-06-2016 00:00:00</t>
  </si>
  <si>
    <t>31880734</t>
  </si>
  <si>
    <t>ООО "Оптимус"</t>
  </si>
  <si>
    <t>7500013272</t>
  </si>
  <si>
    <t>22-08-2023 00:00:00</t>
  </si>
  <si>
    <t>27505500</t>
  </si>
  <si>
    <t>ООО "Произвоственная компания "Теплосервис"</t>
  </si>
  <si>
    <t>7536122518</t>
  </si>
  <si>
    <t>27500831</t>
  </si>
  <si>
    <t>ООО "ПрофСервис"</t>
  </si>
  <si>
    <t>7509004882</t>
  </si>
  <si>
    <t>30870797</t>
  </si>
  <si>
    <t>ООО "РСО "Тепловодоканал"</t>
  </si>
  <si>
    <t>7512005928</t>
  </si>
  <si>
    <t>14-05-2015 00:00:00</t>
  </si>
  <si>
    <t>27505147</t>
  </si>
  <si>
    <t>ООО "Радченко"</t>
  </si>
  <si>
    <t>7536056600</t>
  </si>
  <si>
    <t>31449775</t>
  </si>
  <si>
    <t>ООО "Регион"</t>
  </si>
  <si>
    <t>7524187486</t>
  </si>
  <si>
    <t>07-06-2016 00:00:00</t>
  </si>
  <si>
    <t>31006814</t>
  </si>
  <si>
    <t>ООО "Ресурс"</t>
  </si>
  <si>
    <t>7536160464</t>
  </si>
  <si>
    <t>31729081</t>
  </si>
  <si>
    <t>ООО "СПК Борзя"</t>
  </si>
  <si>
    <t>5252047341</t>
  </si>
  <si>
    <t>31772283</t>
  </si>
  <si>
    <t>ООО "СПК Жирекенское"</t>
  </si>
  <si>
    <t>7500022407</t>
  </si>
  <si>
    <t>31765175</t>
  </si>
  <si>
    <t>ООО "СПК Нерчинск"</t>
  </si>
  <si>
    <t>8701005788</t>
  </si>
  <si>
    <t>870101001</t>
  </si>
  <si>
    <t>15-04-2022 00:00:00</t>
  </si>
  <si>
    <t>31595612</t>
  </si>
  <si>
    <t>ООО "СПК Первомайское"</t>
  </si>
  <si>
    <t>7527009636</t>
  </si>
  <si>
    <t>19-07-2021 00:00:00</t>
  </si>
  <si>
    <t>31729098</t>
  </si>
  <si>
    <t>ООО "СПК Углегорск"</t>
  </si>
  <si>
    <t>1400012267</t>
  </si>
  <si>
    <t>31772217</t>
  </si>
  <si>
    <t>ООО "СПК Чернышевск"</t>
  </si>
  <si>
    <t>7500022380</t>
  </si>
  <si>
    <t>31765166</t>
  </si>
  <si>
    <t>ООО "СПК ЯКУТСК"</t>
  </si>
  <si>
    <t>1435348839</t>
  </si>
  <si>
    <t>27-12-2019 00:00:00</t>
  </si>
  <si>
    <t>27480024</t>
  </si>
  <si>
    <t>ООО "Сибцветметэнерго"</t>
  </si>
  <si>
    <t>7528004630</t>
  </si>
  <si>
    <t>28952313</t>
  </si>
  <si>
    <t>ООО "Сохондинское"</t>
  </si>
  <si>
    <t>7524018671</t>
  </si>
  <si>
    <t>25-08-2025 00:00:00</t>
  </si>
  <si>
    <t>31644342</t>
  </si>
  <si>
    <t>ООО "Строй-Гарант"</t>
  </si>
  <si>
    <t>7524014620</t>
  </si>
  <si>
    <t>29-02-2008 00:00:00</t>
  </si>
  <si>
    <t>27500584</t>
  </si>
  <si>
    <t>ООО "СтройМонтаж"</t>
  </si>
  <si>
    <t>7509004297</t>
  </si>
  <si>
    <t>27505219</t>
  </si>
  <si>
    <t>ООО "ТСК"</t>
  </si>
  <si>
    <t>7512005325</t>
  </si>
  <si>
    <t>02-06-2025 00:00:00</t>
  </si>
  <si>
    <t>28048456</t>
  </si>
  <si>
    <t>ООО "ТеплоВодоСнаб"</t>
  </si>
  <si>
    <t>7538001798</t>
  </si>
  <si>
    <t>26375582</t>
  </si>
  <si>
    <t>ООО "Тепловик"</t>
  </si>
  <si>
    <t>7531005120</t>
  </si>
  <si>
    <t>15-09-2025 00:00:00</t>
  </si>
  <si>
    <t>26499782</t>
  </si>
  <si>
    <t>8001015540</t>
  </si>
  <si>
    <t>27-11-2008 00:00:00</t>
  </si>
  <si>
    <t>30417799</t>
  </si>
  <si>
    <t>ООО "Тепловые энергетические сети"</t>
  </si>
  <si>
    <t>8003040060</t>
  </si>
  <si>
    <t>31540587</t>
  </si>
  <si>
    <t>ООО "Теплокристалл"</t>
  </si>
  <si>
    <t>8002021554</t>
  </si>
  <si>
    <t>23-04-2021 00:00:00</t>
  </si>
  <si>
    <t>27958122</t>
  </si>
  <si>
    <t>ООО "Тепломакс"</t>
  </si>
  <si>
    <t>8003039748</t>
  </si>
  <si>
    <t>16-03-2012 00:00:00</t>
  </si>
  <si>
    <t>30873164</t>
  </si>
  <si>
    <t>ООО "Теплоремстрой"</t>
  </si>
  <si>
    <t>7524187380</t>
  </si>
  <si>
    <t>17-02-2016 00:00:00</t>
  </si>
  <si>
    <t>28449215</t>
  </si>
  <si>
    <t>ООО "Теплосбыт"</t>
  </si>
  <si>
    <t>7530013777</t>
  </si>
  <si>
    <t>16-03-2026 00:00:00</t>
  </si>
  <si>
    <t>26499784</t>
  </si>
  <si>
    <t>ООО "Теплосервис"</t>
  </si>
  <si>
    <t>8001015558</t>
  </si>
  <si>
    <t>31077243</t>
  </si>
  <si>
    <t>ООО "Теплоснабжение"</t>
  </si>
  <si>
    <t>7516003216</t>
  </si>
  <si>
    <t>03-07-2015 00:00:00</t>
  </si>
  <si>
    <t>28463943</t>
  </si>
  <si>
    <t>7525006118</t>
  </si>
  <si>
    <t>26499786</t>
  </si>
  <si>
    <t>ООО "Теплоэнергия"</t>
  </si>
  <si>
    <t>8001015533</t>
  </si>
  <si>
    <t>28827915</t>
  </si>
  <si>
    <t>ООО "Теплоэнергосервис"</t>
  </si>
  <si>
    <t>7536144649</t>
  </si>
  <si>
    <t>01-07-2014 00:00:00</t>
  </si>
  <si>
    <t>28463996</t>
  </si>
  <si>
    <t>ООО "Титан Плюс"</t>
  </si>
  <si>
    <t>8003039917</t>
  </si>
  <si>
    <t>30866315</t>
  </si>
  <si>
    <t>ООО "Универсал+"</t>
  </si>
  <si>
    <t>8002021378</t>
  </si>
  <si>
    <t>18-07-2016 00:00:00</t>
  </si>
  <si>
    <t>31005278</t>
  </si>
  <si>
    <t>ООО "Чернышевский тепловик"</t>
  </si>
  <si>
    <t>7536161980</t>
  </si>
  <si>
    <t>05-05-2025 00:00:00</t>
  </si>
  <si>
    <t>28873152</t>
  </si>
  <si>
    <t>ООО "Читаснаб"</t>
  </si>
  <si>
    <t>7536130861</t>
  </si>
  <si>
    <t>31520023</t>
  </si>
  <si>
    <t>ООО "Эксперт"</t>
  </si>
  <si>
    <t>7536089684</t>
  </si>
  <si>
    <t>19-02-2008 00:00:00</t>
  </si>
  <si>
    <t>31876115</t>
  </si>
  <si>
    <t>ООО "Энергия Борзя"</t>
  </si>
  <si>
    <t>7500028487</t>
  </si>
  <si>
    <t>20-06-2025 00:00:00</t>
  </si>
  <si>
    <t>31880750</t>
  </si>
  <si>
    <t>ООО "Энергия Нерчинск"</t>
  </si>
  <si>
    <t>7500030126</t>
  </si>
  <si>
    <t>03-09-2025 00:00:00</t>
  </si>
  <si>
    <t>31921194</t>
  </si>
  <si>
    <t>ООО "Энергия Приаргунск"</t>
  </si>
  <si>
    <t>7500030045</t>
  </si>
  <si>
    <t>31880919</t>
  </si>
  <si>
    <t>ООО "Энергия Шилка"</t>
  </si>
  <si>
    <t>7500028462</t>
  </si>
  <si>
    <t>30884855</t>
  </si>
  <si>
    <t>ООО "Энергия"</t>
  </si>
  <si>
    <t>7509005163</t>
  </si>
  <si>
    <t>02-03-2017 00:00:00</t>
  </si>
  <si>
    <t>27480445</t>
  </si>
  <si>
    <t>ООО "Энергожилстрой"</t>
  </si>
  <si>
    <t>7536066609</t>
  </si>
  <si>
    <t>28878296</t>
  </si>
  <si>
    <t>ООО "Янта"</t>
  </si>
  <si>
    <t>3827017493</t>
  </si>
  <si>
    <t>381101001</t>
  </si>
  <si>
    <t>02-02-2015 00:00:00</t>
  </si>
  <si>
    <t>26375549</t>
  </si>
  <si>
    <t>ООО «Новокручининское»</t>
  </si>
  <si>
    <t>7524014451</t>
  </si>
  <si>
    <t>26498170</t>
  </si>
  <si>
    <t>ООО «Тепловик»</t>
  </si>
  <si>
    <t>7508005996</t>
  </si>
  <si>
    <t>28010267</t>
  </si>
  <si>
    <t>ООО «УК Комфорт»</t>
  </si>
  <si>
    <t>7524017460</t>
  </si>
  <si>
    <t>02-04-2014 00:00:00</t>
  </si>
  <si>
    <t>31507099</t>
  </si>
  <si>
    <t>ООО «УТЭК»</t>
  </si>
  <si>
    <t>7522004761</t>
  </si>
  <si>
    <t>10-04-2018 00:00:00</t>
  </si>
  <si>
    <t>26647428</t>
  </si>
  <si>
    <t>ООО «Универсал Мастер»</t>
  </si>
  <si>
    <t>7524014959</t>
  </si>
  <si>
    <t>28011230</t>
  </si>
  <si>
    <t>ООО «ЧКБ»</t>
  </si>
  <si>
    <t>7509004963</t>
  </si>
  <si>
    <t>23-12-2011 00:00:00</t>
  </si>
  <si>
    <t>31910332</t>
  </si>
  <si>
    <t>ООО Заб СПК</t>
  </si>
  <si>
    <t>7529013155</t>
  </si>
  <si>
    <t>04-07-2018 00:00:00</t>
  </si>
  <si>
    <t>31061025</t>
  </si>
  <si>
    <t>ООО МК "КоДарСевер"</t>
  </si>
  <si>
    <t>7506005334</t>
  </si>
  <si>
    <t>750600533</t>
  </si>
  <si>
    <t>27-04-2017 00:00:00</t>
  </si>
  <si>
    <t>31885779</t>
  </si>
  <si>
    <t>ООО РЕСУРС</t>
  </si>
  <si>
    <t>7500028938</t>
  </si>
  <si>
    <t>07-07-2025 00:00:00</t>
  </si>
  <si>
    <t>31880894</t>
  </si>
  <si>
    <t>ООО РСО "Тепло"</t>
  </si>
  <si>
    <t>7500028550</t>
  </si>
  <si>
    <t>24-06-2025 00:00:00</t>
  </si>
  <si>
    <t>31771183</t>
  </si>
  <si>
    <t>ООО РСО "Тепломакс"</t>
  </si>
  <si>
    <t>7500019588</t>
  </si>
  <si>
    <t>30-05-2024 00:00:00</t>
  </si>
  <si>
    <t>28535705</t>
  </si>
  <si>
    <t>ООО Специализированный застройщик "Мир"</t>
  </si>
  <si>
    <t>7536050334</t>
  </si>
  <si>
    <t>21-03-2003 00:00:00</t>
  </si>
  <si>
    <t>27880529</t>
  </si>
  <si>
    <t>ООО УК "ИВА"</t>
  </si>
  <si>
    <t>7501003171</t>
  </si>
  <si>
    <t>750101001</t>
  </si>
  <si>
    <t>14-05-2012 00:00:00</t>
  </si>
  <si>
    <t>26646088</t>
  </si>
  <si>
    <t>ООО УК "Коммунальное хозяйство"</t>
  </si>
  <si>
    <t>7536109764</t>
  </si>
  <si>
    <t>28426745</t>
  </si>
  <si>
    <t>ООО Управляющая компания Азау</t>
  </si>
  <si>
    <t>7524016191</t>
  </si>
  <si>
    <t>01-11-2013 00:00:00</t>
  </si>
  <si>
    <t>31212430</t>
  </si>
  <si>
    <t>Общество с ограниченной отвественностью "Городской ремонтно-эксплуатационный центр"</t>
  </si>
  <si>
    <t>7538002382</t>
  </si>
  <si>
    <t>13-03-2017 00:00:00</t>
  </si>
  <si>
    <t>31803227</t>
  </si>
  <si>
    <t>Общество с ограниченной ответственностью "Автомир"</t>
  </si>
  <si>
    <t>7509004515</t>
  </si>
  <si>
    <t>23-03-2009 00:00:00</t>
  </si>
  <si>
    <t>31032409</t>
  </si>
  <si>
    <t>Общество с ограниченной ответственностью "Ивушка"</t>
  </si>
  <si>
    <t>8003040006</t>
  </si>
  <si>
    <t>31250092</t>
  </si>
  <si>
    <t>Общество с ограниченной ответственностью "Коммунальник"</t>
  </si>
  <si>
    <t>7522004793</t>
  </si>
  <si>
    <t>07-11-2018 00:00:00</t>
  </si>
  <si>
    <t>30910692</t>
  </si>
  <si>
    <t>Общество с ограниченной ответственностью "Саханай"</t>
  </si>
  <si>
    <t>8002021353</t>
  </si>
  <si>
    <t>19-01-2016 00:00:00</t>
  </si>
  <si>
    <t>28871673</t>
  </si>
  <si>
    <t>Общество с ограниченной ответственностью "Стройтехсервис Шилка"</t>
  </si>
  <si>
    <t>7527008537</t>
  </si>
  <si>
    <t>02-11-2009 00:00:00</t>
  </si>
  <si>
    <t>28818823</t>
  </si>
  <si>
    <t>Общество с ограниченной ответственностью "Тепловодоканал"</t>
  </si>
  <si>
    <t>7519004666</t>
  </si>
  <si>
    <t>31670958</t>
  </si>
  <si>
    <t>Общество с ограниченной ответственностью "Энергон"</t>
  </si>
  <si>
    <t>7536187586</t>
  </si>
  <si>
    <t>31032433</t>
  </si>
  <si>
    <t>Общество с ограниченной ответственностью ресурсоснабжающая организация "Амазар"</t>
  </si>
  <si>
    <t>7512006142</t>
  </si>
  <si>
    <t>26382781</t>
  </si>
  <si>
    <t>Общество с ограниченой ответственностью "ЗабТеплоСервис"</t>
  </si>
  <si>
    <t>7508005080</t>
  </si>
  <si>
    <t>23-03-2006 00:00:00</t>
  </si>
  <si>
    <t>26375573</t>
  </si>
  <si>
    <t>ПАО "ППГХО"</t>
  </si>
  <si>
    <t>7530000048</t>
  </si>
  <si>
    <t>26498143</t>
  </si>
  <si>
    <t>ПАО «Межрегиональная распределительная сетевая компания Сибири»- филиал "Читаэнерго"</t>
  </si>
  <si>
    <t>2460069527</t>
  </si>
  <si>
    <t>753643001</t>
  </si>
  <si>
    <t>27500938</t>
  </si>
  <si>
    <t>ПК АС "Даурия"</t>
  </si>
  <si>
    <t>7507000811</t>
  </si>
  <si>
    <t>27573001</t>
  </si>
  <si>
    <t>Путевая машинная станция № 328 Дирекции по ремонту пути Забайкальской железной дороги - филиала ОАО "РЖД"</t>
  </si>
  <si>
    <t>996550001</t>
  </si>
  <si>
    <t>РЕГИОНАЛЬНАЯ СЛУЖБА ПО ТАРИФАМ И ЦЕНООБРАЗОВАНИЮ ЗАБАЙКАЛЬСКОГО КРАЯ</t>
  </si>
  <si>
    <t>7536095977</t>
  </si>
  <si>
    <t>30877679</t>
  </si>
  <si>
    <t>СЛУЖБА В С. МАНГУТ ПУ ФСБ РОССИИ ПО ЗАБАЙКАЛЬСКОМУ КРАЮ</t>
  </si>
  <si>
    <t>751045002</t>
  </si>
  <si>
    <t>31482025</t>
  </si>
  <si>
    <t>Сельское поселение «Шимбиликское»</t>
  </si>
  <si>
    <t>7509003960</t>
  </si>
  <si>
    <t>28511520</t>
  </si>
  <si>
    <t>Служба в посёлке городского типа Приаргунск ФГКУ "Пограничное управление ФСБ России по Забайкальскому краю"</t>
  </si>
  <si>
    <t>751845001</t>
  </si>
  <si>
    <t>26381493</t>
  </si>
  <si>
    <t>УМП "ЖКУ"</t>
  </si>
  <si>
    <t>7530007886</t>
  </si>
  <si>
    <t>30874308</t>
  </si>
  <si>
    <t>ФГКУ Пограничное управление ФСБ России по Забайкальскому краю</t>
  </si>
  <si>
    <t>11-11-2011 00:00:00</t>
  </si>
  <si>
    <t>31061046</t>
  </si>
  <si>
    <t>ФСБ России управление по Забайкальскому краю</t>
  </si>
  <si>
    <t>7536047300</t>
  </si>
  <si>
    <t>14-11-2001 00:00:00</t>
  </si>
  <si>
    <t>27505039</t>
  </si>
  <si>
    <t>Федеральная служба охраны России в лице войсковой части 28685</t>
  </si>
  <si>
    <t>7534010174</t>
  </si>
  <si>
    <t>27902527</t>
  </si>
  <si>
    <t>Филиал "Харанорская ГРЭС" АО "Интер РАО - Электрогенерация"</t>
  </si>
  <si>
    <t>7704784450</t>
  </si>
  <si>
    <t>751543001</t>
  </si>
  <si>
    <t>26503265</t>
  </si>
  <si>
    <t>Филиал КГУП "Автомобильные дороги Забайкалья" Сретенский ДЭУч</t>
  </si>
  <si>
    <t>751902001</t>
  </si>
  <si>
    <t>27605771</t>
  </si>
  <si>
    <t>Филиал КГУП "Автомобильные дороги Забайкалья"-Нерчинский ДЭУч</t>
  </si>
  <si>
    <t>751302001</t>
  </si>
  <si>
    <t>26642427</t>
  </si>
  <si>
    <t>ЦТАО ФБУ ИК-2 УФСИН России по Забайкальскому краю</t>
  </si>
  <si>
    <t>7508002402</t>
  </si>
  <si>
    <t>27480161</t>
  </si>
  <si>
    <t>Читинская дистанция гражданских сооружений структурное подразделение Дирекции по эксплуатации зданий и сооружений структурного подразделения Забайкальской железной дороги филиала ОАО "РЖД"</t>
  </si>
  <si>
    <t>770850001</t>
  </si>
  <si>
    <t>26777520</t>
  </si>
  <si>
    <t>редакция газет "Улетовские вести"</t>
  </si>
  <si>
    <t>7522003856</t>
  </si>
  <si>
    <t>31480624</t>
  </si>
  <si>
    <t>Администрация Карымского муниципального округа</t>
  </si>
  <si>
    <t>7508002868</t>
  </si>
  <si>
    <t>27-11-2020 00:00:00</t>
  </si>
  <si>
    <t>31740066</t>
  </si>
  <si>
    <t>Администрация Петровск Забайкальского района</t>
  </si>
  <si>
    <t>7517001370</t>
  </si>
  <si>
    <t>30-12-1993 00:00:00</t>
  </si>
  <si>
    <t>31090054</t>
  </si>
  <si>
    <t>Администрация городского поселения "Карымское"</t>
  </si>
  <si>
    <t>7508004897</t>
  </si>
  <si>
    <t>22-11-2005 00:00:00</t>
  </si>
  <si>
    <t>31257521</t>
  </si>
  <si>
    <t>Администрация муниципального района "Чернышевский район"</t>
  </si>
  <si>
    <t>7525002160</t>
  </si>
  <si>
    <t>24-07-2002 00:00:00</t>
  </si>
  <si>
    <t>28151364</t>
  </si>
  <si>
    <t>Администрация сп. "Доронинское"</t>
  </si>
  <si>
    <t>7522003599</t>
  </si>
  <si>
    <t>31644378</t>
  </si>
  <si>
    <t>ФГКУ "Войсковая часть 2543"</t>
  </si>
  <si>
    <t>7536115454</t>
  </si>
  <si>
    <t>23-12-2010 00:00:00</t>
  </si>
  <si>
    <t>31280216</t>
  </si>
  <si>
    <t>АДМИНИСТРАЦИЯ ГОРОДСКОГО ПОСЕЛЕНИЯ "ЗАБАЙКАЛЬСКОЕ" МУНИЦИПАЛЬНОГО РАЙОНА "ЗАБАЙКАЛЬСКИЙ РАЙОН"</t>
  </si>
  <si>
    <t>7505004271</t>
  </si>
  <si>
    <t>30-04-2025 00:00:00</t>
  </si>
  <si>
    <t>31093099</t>
  </si>
  <si>
    <t>АДМИНИСТРАЦИЯ ГОРОДСКОГО ПОСЕЛЕНИЯ "МОГЗОНСКОЕ"</t>
  </si>
  <si>
    <t>7538000610</t>
  </si>
  <si>
    <t>31097134</t>
  </si>
  <si>
    <t>АДМИНИСТРАЦИЯ ГОРОДСКОГО ПОСЕЛЕНИЯ ХИЛОКСКОЕ</t>
  </si>
  <si>
    <t>7538000561</t>
  </si>
  <si>
    <t>13-01-2006 00:00:00</t>
  </si>
  <si>
    <t>31280408</t>
  </si>
  <si>
    <t>АДМИНИСТРАЦИЯ МУНИЦИПАЛЬНОГО РАЙОНА "ОЛОВЯННИНСКИЙ РАЙОН"</t>
  </si>
  <si>
    <t>7515002604</t>
  </si>
  <si>
    <t>751200100</t>
  </si>
  <si>
    <t>05-12-2002 00:00:00</t>
  </si>
  <si>
    <t>31093105</t>
  </si>
  <si>
    <t>АДМИНИСТРАЦИЯ СЕЛЬСКОГО ПОСЕЛЕНИЯ "БАЙГУЛЬСКОЕ"</t>
  </si>
  <si>
    <t>7525004738</t>
  </si>
  <si>
    <t>31096092</t>
  </si>
  <si>
    <t>АДМИНИСТРАЦИЯ СЕЛЬСКОГО ПОСЕЛЕНИЯ "КАЗАНОВСКОЕ" МУНИЦИПАЛЬНОГО РАЙОНА "ШИЛКИНСКИЙ РАЙОН" ЗАБАЙКАЛЬСКОГО КРАЯ</t>
  </si>
  <si>
    <t>7527007117</t>
  </si>
  <si>
    <t>16-12-2005 00:00:00</t>
  </si>
  <si>
    <t>31096130</t>
  </si>
  <si>
    <t>АДМИНИСТРАЦИЯ СЕЛЬСКОГО ПОСЕЛЕНИЯ "УСТЬ-ТЕЛЕНГУЙСКОЕ" МУНИЦИПАЛЬНОГО РАЙОНА "ШИЛКИНСКИЙ РАЙОН" ЗАБАЙКАЛЬСКОГО КРАЯ</t>
  </si>
  <si>
    <t>7527007149</t>
  </si>
  <si>
    <t>26375590</t>
  </si>
  <si>
    <t>АО "Водоканал-Чита"</t>
  </si>
  <si>
    <t>7536064538</t>
  </si>
  <si>
    <t>28489545</t>
  </si>
  <si>
    <t>Администавция Оловынниского муниципального округа</t>
  </si>
  <si>
    <t>7515005958</t>
  </si>
  <si>
    <t>09-12-2005 00:00:00</t>
  </si>
  <si>
    <t>31547643</t>
  </si>
  <si>
    <t>Администрации сельского поселения «Булумское»</t>
  </si>
  <si>
    <t>7515005980</t>
  </si>
  <si>
    <t>31282357</t>
  </si>
  <si>
    <t>Администрация Александрово-Заводского муниципального округа</t>
  </si>
  <si>
    <t>7502000960</t>
  </si>
  <si>
    <t>750201001</t>
  </si>
  <si>
    <t>17-09-2002 00:00:00</t>
  </si>
  <si>
    <t>31922335</t>
  </si>
  <si>
    <t>Администрация Борзинского Муниципального округа</t>
  </si>
  <si>
    <t>7529003407</t>
  </si>
  <si>
    <t>08-09-1997 00:00:00</t>
  </si>
  <si>
    <t>31283765</t>
  </si>
  <si>
    <t>Администрация Калганского муниципального округа Забайкальского края</t>
  </si>
  <si>
    <t>7507000226</t>
  </si>
  <si>
    <t>30-10-2002 00:00:00</t>
  </si>
  <si>
    <t>31567086</t>
  </si>
  <si>
    <t>Администрация Могочинского муниципального округа</t>
  </si>
  <si>
    <t>7512001497</t>
  </si>
  <si>
    <t>15-11-2002 00:00:00</t>
  </si>
  <si>
    <t>31817609</t>
  </si>
  <si>
    <t>Администрация Петровск-Забайкальского муниципального округа Забайкальского края</t>
  </si>
  <si>
    <t>7531001005</t>
  </si>
  <si>
    <t>21-11-2002 00:00:00</t>
  </si>
  <si>
    <t>31740676</t>
  </si>
  <si>
    <t>Администрация Сельского Поселения "Архангельское"</t>
  </si>
  <si>
    <t>7509004032</t>
  </si>
  <si>
    <t>08-12-2005 00:00:00</t>
  </si>
  <si>
    <t>31740684</t>
  </si>
  <si>
    <t>Администрация Сельского Поселения "Байхорское"</t>
  </si>
  <si>
    <t>7509003984</t>
  </si>
  <si>
    <t>02-12-2005 00:00:00</t>
  </si>
  <si>
    <t>31740690</t>
  </si>
  <si>
    <t>Администрация Сельского Поселения "Большереченское"</t>
  </si>
  <si>
    <t>7509003991</t>
  </si>
  <si>
    <t>31740705</t>
  </si>
  <si>
    <t>Администрация Сельского Поселения "Жиндойское"</t>
  </si>
  <si>
    <t>7509004018</t>
  </si>
  <si>
    <t>31740711</t>
  </si>
  <si>
    <t>Администрация Сельского Поселения "Захаровское"</t>
  </si>
  <si>
    <t>7509004040</t>
  </si>
  <si>
    <t>31740749</t>
  </si>
  <si>
    <t>Администрация Сельского Поселения "Коротковское"</t>
  </si>
  <si>
    <t>7509003945</t>
  </si>
  <si>
    <t>31740735</t>
  </si>
  <si>
    <t>Администрация Сельского Поселения "Малоархангельское"</t>
  </si>
  <si>
    <t>7509003938</t>
  </si>
  <si>
    <t>31740670</t>
  </si>
  <si>
    <t>Администрация Сельского Поселения Альбитуйское"</t>
  </si>
  <si>
    <t>7509004025</t>
  </si>
  <si>
    <t>28057904</t>
  </si>
  <si>
    <t>Администрация г.п. "Усть-Карское"</t>
  </si>
  <si>
    <t>7519003623</t>
  </si>
  <si>
    <t>31520146</t>
  </si>
  <si>
    <t>Администрация городского поселения "Город Балей"</t>
  </si>
  <si>
    <t>7528001372</t>
  </si>
  <si>
    <t>15-09-1999 00:00:00</t>
  </si>
  <si>
    <t>28462324</t>
  </si>
  <si>
    <t>Администрация городского поселения "Курорт-Дарасунское"</t>
  </si>
  <si>
    <t>7508004872</t>
  </si>
  <si>
    <t>01-01-2019 00:00:00</t>
  </si>
  <si>
    <t>31771337</t>
  </si>
  <si>
    <t>Администрация городского поселения "Могойтуй"</t>
  </si>
  <si>
    <t>8003023547</t>
  </si>
  <si>
    <t>01-10-2024 00:00:00</t>
  </si>
  <si>
    <t>31646037</t>
  </si>
  <si>
    <t>Администрация городского поселения "Шерловогорское"</t>
  </si>
  <si>
    <t>7529010115</t>
  </si>
  <si>
    <t>10-11-2005 00:00:00</t>
  </si>
  <si>
    <t>24-02-2026 00:00:00</t>
  </si>
  <si>
    <t>26647635</t>
  </si>
  <si>
    <t>Администрация муниципального образования сельское поселение "Соктуй-Милозанское"</t>
  </si>
  <si>
    <t>7530010769</t>
  </si>
  <si>
    <t>16-11-2005 00:00:00</t>
  </si>
  <si>
    <t>26647637</t>
  </si>
  <si>
    <t>Администрация муниципального образования сельское поселение "Целиннинское"</t>
  </si>
  <si>
    <t>7530010783</t>
  </si>
  <si>
    <t>31369263</t>
  </si>
  <si>
    <t>Администрация муниципального района "Агинский район"</t>
  </si>
  <si>
    <t>8001011384</t>
  </si>
  <si>
    <t>06-11-1998 00:00:00</t>
  </si>
  <si>
    <t>31828632</t>
  </si>
  <si>
    <t>Администрация муниципального района "Кыринский район"</t>
  </si>
  <si>
    <t>7510000508</t>
  </si>
  <si>
    <t>751001001</t>
  </si>
  <si>
    <t>31565284</t>
  </si>
  <si>
    <t>Администрация муниципального района "Тунгокоческий район"</t>
  </si>
  <si>
    <t>7521000130</t>
  </si>
  <si>
    <t>752101001</t>
  </si>
  <si>
    <t>19-03-2002 00:00:00</t>
  </si>
  <si>
    <t>28492699</t>
  </si>
  <si>
    <t>Администрация с. п. "Закультинское"</t>
  </si>
  <si>
    <t>7538000579</t>
  </si>
  <si>
    <t>27976392</t>
  </si>
  <si>
    <t>Администрация с.п. "Капцегайтуйское"</t>
  </si>
  <si>
    <t>7530010737</t>
  </si>
  <si>
    <t>26774349</t>
  </si>
  <si>
    <t>Администрация с.п. "Катангарское"</t>
  </si>
  <si>
    <t>7531004091</t>
  </si>
  <si>
    <t>27479839</t>
  </si>
  <si>
    <t>Администрация с.п. "Матусовское"</t>
  </si>
  <si>
    <t>7528004824</t>
  </si>
  <si>
    <t>26775488</t>
  </si>
  <si>
    <t>Администрация с.п. "Новооловское"</t>
  </si>
  <si>
    <t>7525004777</t>
  </si>
  <si>
    <t>26531334</t>
  </si>
  <si>
    <t>Администрация с.п. "Юбилейнинское"</t>
  </si>
  <si>
    <t>7530010790</t>
  </si>
  <si>
    <t>26772678</t>
  </si>
  <si>
    <t>Администрация с.п. Безречнинское</t>
  </si>
  <si>
    <t>7515006052</t>
  </si>
  <si>
    <t>28464950</t>
  </si>
  <si>
    <t>Администрация с.п. Жипхегенское</t>
  </si>
  <si>
    <t>7538000554</t>
  </si>
  <si>
    <t>23-12-2005 00:00:00</t>
  </si>
  <si>
    <t>26772688</t>
  </si>
  <si>
    <t>Администрация с.п. Зюльзинское</t>
  </si>
  <si>
    <t>7513005462</t>
  </si>
  <si>
    <t>27479897</t>
  </si>
  <si>
    <t>Администрация с.п. Подойницинское</t>
  </si>
  <si>
    <t>7528004856</t>
  </si>
  <si>
    <t>26537984</t>
  </si>
  <si>
    <t>Администрация с.п. Утанское</t>
  </si>
  <si>
    <t>7525004791</t>
  </si>
  <si>
    <t>26499834</t>
  </si>
  <si>
    <t>Администрация с.п. Ушарбай</t>
  </si>
  <si>
    <t>8003022173</t>
  </si>
  <si>
    <t>28462331</t>
  </si>
  <si>
    <t>Администрация с.п. Цаган-Ола</t>
  </si>
  <si>
    <t>8003021853</t>
  </si>
  <si>
    <t>28461611</t>
  </si>
  <si>
    <t>Администрация с.п. Челутай</t>
  </si>
  <si>
    <t>8001003150</t>
  </si>
  <si>
    <t>04-03-2026 00:00:00</t>
  </si>
  <si>
    <t>27584988</t>
  </si>
  <si>
    <t>Администрация с.п. Чикичейское</t>
  </si>
  <si>
    <t>7519003567</t>
  </si>
  <si>
    <t>28151322</t>
  </si>
  <si>
    <t>Администрация с.п. Южное</t>
  </si>
  <si>
    <t>7529010098</t>
  </si>
  <si>
    <t>31304437</t>
  </si>
  <si>
    <t>Администрация сельского поселения "Адриановское"</t>
  </si>
  <si>
    <t>7508004840</t>
  </si>
  <si>
    <t>26537974</t>
  </si>
  <si>
    <t>Администрация сельского поселения "Алеурское"</t>
  </si>
  <si>
    <t>7525004819</t>
  </si>
  <si>
    <t>26540268</t>
  </si>
  <si>
    <t>Администрация сельского поселения "Алханай"</t>
  </si>
  <si>
    <t>8002018456</t>
  </si>
  <si>
    <t>30930448</t>
  </si>
  <si>
    <t>Администрация сельского поселения "Балягинское"</t>
  </si>
  <si>
    <t>7531003972</t>
  </si>
  <si>
    <t>26647604</t>
  </si>
  <si>
    <t>Администрация сельского поселения "Богдановское"</t>
  </si>
  <si>
    <t>7530010712</t>
  </si>
  <si>
    <t>31420645</t>
  </si>
  <si>
    <t>Администрация сельского поселения "Богомягковское"</t>
  </si>
  <si>
    <t>7527007163</t>
  </si>
  <si>
    <t>31550097</t>
  </si>
  <si>
    <t>Администрация сельского поселения "Будулан"</t>
  </si>
  <si>
    <t>8001003175</t>
  </si>
  <si>
    <t>31651899</t>
  </si>
  <si>
    <t>Администрация сельского поселения "Верхнеумыкэйское"</t>
  </si>
  <si>
    <t>7513005511</t>
  </si>
  <si>
    <t>31776418</t>
  </si>
  <si>
    <t>Администрация сельского поселения "Верхнехилинское"</t>
  </si>
  <si>
    <t>7527007156</t>
  </si>
  <si>
    <t>26537978</t>
  </si>
  <si>
    <t>Администрация сельского поселения "Гаурское"</t>
  </si>
  <si>
    <t>7525004720</t>
  </si>
  <si>
    <t>26607908</t>
  </si>
  <si>
    <t>Администрация сельского поселения "Долгокычинское"</t>
  </si>
  <si>
    <t>7515006172</t>
  </si>
  <si>
    <t>26612022</t>
  </si>
  <si>
    <t>Администрация сельского поселения "Единенское"</t>
  </si>
  <si>
    <t>7515006133</t>
  </si>
  <si>
    <t>26531283</t>
  </si>
  <si>
    <t>Администрация сельского поселения "Жидкинское"</t>
  </si>
  <si>
    <t>7528004849</t>
  </si>
  <si>
    <t>26498279</t>
  </si>
  <si>
    <t>Администрация сельского поселения "Илимское"</t>
  </si>
  <si>
    <t>7513005494</t>
  </si>
  <si>
    <t>27574207</t>
  </si>
  <si>
    <t>Администрация сельского поселения "Кайластуйское"</t>
  </si>
  <si>
    <t>7530010720</t>
  </si>
  <si>
    <t>30377268</t>
  </si>
  <si>
    <t>Администрация сельского поселения "Красновеликанское"</t>
  </si>
  <si>
    <t>7505004360</t>
  </si>
  <si>
    <t>31544379</t>
  </si>
  <si>
    <t>Администрация сельского поселения "Кункур"</t>
  </si>
  <si>
    <t>8001003168</t>
  </si>
  <si>
    <t>31520486</t>
  </si>
  <si>
    <t>Администрация сельского поселения "Любавинское"</t>
  </si>
  <si>
    <t>7510002576</t>
  </si>
  <si>
    <t>25-12-2008 00:00:00</t>
  </si>
  <si>
    <t>26320255</t>
  </si>
  <si>
    <t>Администрация сельского поселения "Мирнинское"</t>
  </si>
  <si>
    <t>7515005965</t>
  </si>
  <si>
    <t>31641743</t>
  </si>
  <si>
    <t>Администрация сельского поселения "Нижнекокуйское"</t>
  </si>
  <si>
    <t>7528004782</t>
  </si>
  <si>
    <t>30-11-2005 00:00:00</t>
  </si>
  <si>
    <t>26320256</t>
  </si>
  <si>
    <t>Администрация сельского поселения "Новоильинское"</t>
  </si>
  <si>
    <t>7525004713</t>
  </si>
  <si>
    <t>31646031</t>
  </si>
  <si>
    <t>Администрация сельского поселения "Номоконовское"</t>
  </si>
  <si>
    <t>7527007195</t>
  </si>
  <si>
    <t>20-12-2005 00:00:00</t>
  </si>
  <si>
    <t>31641182</t>
  </si>
  <si>
    <t>Администрация сельского поселения "Сахюрта"</t>
  </si>
  <si>
    <t>8001003104</t>
  </si>
  <si>
    <t>26375576</t>
  </si>
  <si>
    <t>Администрация сельского поселения "Среднеаргунское"</t>
  </si>
  <si>
    <t>7530010776</t>
  </si>
  <si>
    <t>26375520</t>
  </si>
  <si>
    <t>Администрация сельского поселения "Степнинское"</t>
  </si>
  <si>
    <t>7515006140</t>
  </si>
  <si>
    <t>31090065</t>
  </si>
  <si>
    <t>Администрация сельского поселения "Судунтуй"</t>
  </si>
  <si>
    <t>8001003062</t>
  </si>
  <si>
    <t>05-11-2002 00:00:00</t>
  </si>
  <si>
    <t>27551818</t>
  </si>
  <si>
    <t>Администрация сельского поселения "Таптанай"</t>
  </si>
  <si>
    <t>8002018505</t>
  </si>
  <si>
    <t>27551814</t>
  </si>
  <si>
    <t>Администрация сельского поселения "Токчин"</t>
  </si>
  <si>
    <t>8002018047</t>
  </si>
  <si>
    <t>31473975</t>
  </si>
  <si>
    <t>Администрация сельского поселения "Укурейское"</t>
  </si>
  <si>
    <t>7525004826</t>
  </si>
  <si>
    <t>26375519</t>
  </si>
  <si>
    <t>Администрация сельского поселения "Уртуйское"</t>
  </si>
  <si>
    <t>7515006126</t>
  </si>
  <si>
    <t>31035937</t>
  </si>
  <si>
    <t>Администрация сельского поселения "Урульгинское"</t>
  </si>
  <si>
    <t>7508004921</t>
  </si>
  <si>
    <t>31550109</t>
  </si>
  <si>
    <t>Администрация сельского поселения "Усть-Наринзорское"</t>
  </si>
  <si>
    <t>7519003581</t>
  </si>
  <si>
    <t>26531294</t>
  </si>
  <si>
    <t>Администрация сельского поселения "Хада-Булакское"</t>
  </si>
  <si>
    <t>7515006020</t>
  </si>
  <si>
    <t>31090070</t>
  </si>
  <si>
    <t>Администрация сельского поселения "Хойто-Ага"</t>
  </si>
  <si>
    <t>8001002453</t>
  </si>
  <si>
    <t>31597839</t>
  </si>
  <si>
    <t>Администрация сельского поселения "Хохотуйское"</t>
  </si>
  <si>
    <t>7531004052</t>
  </si>
  <si>
    <t>31377832</t>
  </si>
  <si>
    <t>Администрация сельского поселения "Цокто-Хангил"</t>
  </si>
  <si>
    <t>8001003023</t>
  </si>
  <si>
    <t>11-09-2000 00:00:00</t>
  </si>
  <si>
    <t>31459685</t>
  </si>
  <si>
    <t>Администрация сельского поселения "Черно-Озёрское"</t>
  </si>
  <si>
    <t>7505004377</t>
  </si>
  <si>
    <t>30-11-2020 00:00:00</t>
  </si>
  <si>
    <t>27505211</t>
  </si>
  <si>
    <t>Администрация сельского поселения "Чиндалей"</t>
  </si>
  <si>
    <t>8002018054</t>
  </si>
  <si>
    <t>28511343</t>
  </si>
  <si>
    <t>Администрация сельского поселения "Южный Аргалей"</t>
  </si>
  <si>
    <t>8001003136</t>
  </si>
  <si>
    <t>28-11-2002 00:00:00</t>
  </si>
  <si>
    <t>26375517</t>
  </si>
  <si>
    <t>Администрация сельского поселения "Яснинское"</t>
  </si>
  <si>
    <t>7515006038</t>
  </si>
  <si>
    <t>28079002</t>
  </si>
  <si>
    <t>Администрация сельского поселения «Абагайтуйское»</t>
  </si>
  <si>
    <t>7505004338</t>
  </si>
  <si>
    <t>28791882</t>
  </si>
  <si>
    <t>Администрация сельского поселения Ундино-Посельское</t>
  </si>
  <si>
    <t>7528004800</t>
  </si>
  <si>
    <t>27711893</t>
  </si>
  <si>
    <t>Администрация сп "Рудник-Абагайтуйское"</t>
  </si>
  <si>
    <t>7505004345</t>
  </si>
  <si>
    <t>31377160</t>
  </si>
  <si>
    <t>Акционерное общество "Племенной завод "Комсомолец"</t>
  </si>
  <si>
    <t>7525006439</t>
  </si>
  <si>
    <t>30-09-2016 00:00:00</t>
  </si>
  <si>
    <t>26375539</t>
  </si>
  <si>
    <t>ГАУСО "Сохондинский специальный дом-интернат для престарелых и инвалидов" Забайкальского края</t>
  </si>
  <si>
    <t>7524008320</t>
  </si>
  <si>
    <t>31520490</t>
  </si>
  <si>
    <t>ГСУСО "Зыковский ПНДИ"</t>
  </si>
  <si>
    <t>7536084855</t>
  </si>
  <si>
    <t>05-09-2007 00:00:00</t>
  </si>
  <si>
    <t>31728197</t>
  </si>
  <si>
    <t>ИП Антонов Сергей Владимирович</t>
  </si>
  <si>
    <t>751200450539</t>
  </si>
  <si>
    <t>30-09-2022 00:00:00</t>
  </si>
  <si>
    <t>28492162</t>
  </si>
  <si>
    <t>ИП Белоусов Д.В.</t>
  </si>
  <si>
    <t>752600555665</t>
  </si>
  <si>
    <t>14-01-2025 00:00:00</t>
  </si>
  <si>
    <t>28446621</t>
  </si>
  <si>
    <t>ИП Бондарь В.П.</t>
  </si>
  <si>
    <t>750600239056</t>
  </si>
  <si>
    <t>31728144</t>
  </si>
  <si>
    <t>ИП Буров Николай Андреевич</t>
  </si>
  <si>
    <t>750803388543</t>
  </si>
  <si>
    <t>29-09-2023 00:00:00</t>
  </si>
  <si>
    <t>31914569</t>
  </si>
  <si>
    <t>ИП Бусыгин Павел Анатольевич</t>
  </si>
  <si>
    <t>751202842771</t>
  </si>
  <si>
    <t>08-06-2011 00:00:00</t>
  </si>
  <si>
    <t>31728191</t>
  </si>
  <si>
    <t>ИП Воробьев Александр Викторович</t>
  </si>
  <si>
    <t>750800903073</t>
  </si>
  <si>
    <t>18-05-2023 00:00:00</t>
  </si>
  <si>
    <t>23-09-2025 00:00:00</t>
  </si>
  <si>
    <t>31547648</t>
  </si>
  <si>
    <t>ИП Гармаев Р.Л.</t>
  </si>
  <si>
    <t>752405612292</t>
  </si>
  <si>
    <t>30-04-2020 00:00:00</t>
  </si>
  <si>
    <t>30-07-2025 00:00:00</t>
  </si>
  <si>
    <t>28486305</t>
  </si>
  <si>
    <t>ИП Каратуев Юрий Михайлович</t>
  </si>
  <si>
    <t>750801074703</t>
  </si>
  <si>
    <t>19-03-2025 00:00:00</t>
  </si>
  <si>
    <t>31646060</t>
  </si>
  <si>
    <t>ИП Колесник Т.Н.</t>
  </si>
  <si>
    <t>750400472880</t>
  </si>
  <si>
    <t>25-02-2022 00:00:00</t>
  </si>
  <si>
    <t>30-09-2025 00:00:00</t>
  </si>
  <si>
    <t>31646041</t>
  </si>
  <si>
    <t>ИП Кострубов С.И.</t>
  </si>
  <si>
    <t>753611332503</t>
  </si>
  <si>
    <t>20-10-2021 00:00:00</t>
  </si>
  <si>
    <t>31252406</t>
  </si>
  <si>
    <t>ИП Лаврентьев А. В.</t>
  </si>
  <si>
    <t>753705694837</t>
  </si>
  <si>
    <t>27505215</t>
  </si>
  <si>
    <t>ИП Лаврентьев В.Г.</t>
  </si>
  <si>
    <t>753700211437</t>
  </si>
  <si>
    <t>31646064</t>
  </si>
  <si>
    <t>ИП Лоншаков А.А.</t>
  </si>
  <si>
    <t>750803213536</t>
  </si>
  <si>
    <t>30-08-2021 00:00:00</t>
  </si>
  <si>
    <t>31646046</t>
  </si>
  <si>
    <t>ИП Макеева Г.В.</t>
  </si>
  <si>
    <t>752200491576</t>
  </si>
  <si>
    <t>31551423</t>
  </si>
  <si>
    <t>ИП Маятникова Е.Н.</t>
  </si>
  <si>
    <t>753800615793</t>
  </si>
  <si>
    <t>31093116</t>
  </si>
  <si>
    <t>ИП Ожогова О.В.</t>
  </si>
  <si>
    <t>752300668428</t>
  </si>
  <si>
    <t>28876839</t>
  </si>
  <si>
    <t>ИП Почтарев С.А.</t>
  </si>
  <si>
    <t>750801635483</t>
  </si>
  <si>
    <t>31915350</t>
  </si>
  <si>
    <t>ИП Слепченко Олег Дмитриевич</t>
  </si>
  <si>
    <t>751800022486</t>
  </si>
  <si>
    <t>04-02-2025 00:00:00</t>
  </si>
  <si>
    <t>31728221</t>
  </si>
  <si>
    <t>ИП Черепанов Александр Николаевич</t>
  </si>
  <si>
    <t>751900874660</t>
  </si>
  <si>
    <t>28751925</t>
  </si>
  <si>
    <t>ИП Шабаев Е.В.</t>
  </si>
  <si>
    <t>750800039390</t>
  </si>
  <si>
    <t>30874108</t>
  </si>
  <si>
    <t>ИП Широков</t>
  </si>
  <si>
    <t>751800160408</t>
  </si>
  <si>
    <t>25-06-2014 00:00:00</t>
  </si>
  <si>
    <t>31646052</t>
  </si>
  <si>
    <t>ИП Ярославцев Е.В.</t>
  </si>
  <si>
    <t>751900011488</t>
  </si>
  <si>
    <t>11-03-2022 00:00:00</t>
  </si>
  <si>
    <t>31922266</t>
  </si>
  <si>
    <t>Кооператив ПСК(Колхоз) "Хадабулак"</t>
  </si>
  <si>
    <t>7529009173</t>
  </si>
  <si>
    <t>28-04-2021 00:00:00</t>
  </si>
  <si>
    <t>31914553</t>
  </si>
  <si>
    <t>МАУ "ЦЕНТР МТО" ГО "ПОСЕЛОК АГИНСКОЕ"</t>
  </si>
  <si>
    <t>8001018407</t>
  </si>
  <si>
    <t>18-01-2017 00:00:00</t>
  </si>
  <si>
    <t>31915287</t>
  </si>
  <si>
    <t>МБУ "Служба МТО"</t>
  </si>
  <si>
    <t>7500001245</t>
  </si>
  <si>
    <t>16-02-2022 00:00:00</t>
  </si>
  <si>
    <t>31728148</t>
  </si>
  <si>
    <t>7518007456</t>
  </si>
  <si>
    <t>05-03-2021 00:00:00</t>
  </si>
  <si>
    <t>31890215</t>
  </si>
  <si>
    <t>МБУ "Центр Бумто"</t>
  </si>
  <si>
    <t>7522004730</t>
  </si>
  <si>
    <t>07-02-2017 00:00:00</t>
  </si>
  <si>
    <t>31914125</t>
  </si>
  <si>
    <t>МБУ АХС</t>
  </si>
  <si>
    <t>7528006003</t>
  </si>
  <si>
    <t>30-04-2015 00:00:00</t>
  </si>
  <si>
    <t>31909014</t>
  </si>
  <si>
    <t>МБУ БОСТ</t>
  </si>
  <si>
    <t>7500018383</t>
  </si>
  <si>
    <t>04-09-2024 00:00:00</t>
  </si>
  <si>
    <t>31551427</t>
  </si>
  <si>
    <t>МКУ "ЦАМТО"</t>
  </si>
  <si>
    <t>8002021459</t>
  </si>
  <si>
    <t>31831161</t>
  </si>
  <si>
    <t>МКУ "Центр Бухгалтерского Учета и МТО"</t>
  </si>
  <si>
    <t>7500005112</t>
  </si>
  <si>
    <t>11-08-2022 00:00:00</t>
  </si>
  <si>
    <t>31728171</t>
  </si>
  <si>
    <t>МКУ "Центр МТО"</t>
  </si>
  <si>
    <t>7500001735</t>
  </si>
  <si>
    <t>15-03-2022 00:00:00</t>
  </si>
  <si>
    <t>31798765</t>
  </si>
  <si>
    <t>7500008219</t>
  </si>
  <si>
    <t>09-02-2023 00:00:00</t>
  </si>
  <si>
    <t>31520184</t>
  </si>
  <si>
    <t>7528006123</t>
  </si>
  <si>
    <t>22-12-2017 00:00:00</t>
  </si>
  <si>
    <t>31914130</t>
  </si>
  <si>
    <t>МКУ Служба МТО</t>
  </si>
  <si>
    <t>7500003108</t>
  </si>
  <si>
    <t>04-05-2022 00:00:00</t>
  </si>
  <si>
    <t>31257530</t>
  </si>
  <si>
    <t>МУ "Администрация муниципального района "Хилокский район"</t>
  </si>
  <si>
    <t>7523003030</t>
  </si>
  <si>
    <t>07-12-2002 00:00:00</t>
  </si>
  <si>
    <t>31910325</t>
  </si>
  <si>
    <t>МУ "ЦЕНТР БО И МТО"</t>
  </si>
  <si>
    <t>7526003230</t>
  </si>
  <si>
    <t>22-05-2017 00:00:00</t>
  </si>
  <si>
    <t>26382824</t>
  </si>
  <si>
    <t>МУП "Благоустройство"</t>
  </si>
  <si>
    <t>7525005185</t>
  </si>
  <si>
    <t>10-04-2025 00:00:00</t>
  </si>
  <si>
    <t>28812941</t>
  </si>
  <si>
    <t>МУП "Обелиск"</t>
  </si>
  <si>
    <t>7528005169</t>
  </si>
  <si>
    <t>24-04-2008 00:00:00</t>
  </si>
  <si>
    <t>27500881</t>
  </si>
  <si>
    <t>МУП "Угольный"</t>
  </si>
  <si>
    <t>7513005695</t>
  </si>
  <si>
    <t>19-05-2006 00:00:00</t>
  </si>
  <si>
    <t>07-03-2025 00:00:00</t>
  </si>
  <si>
    <t>31804201</t>
  </si>
  <si>
    <t>ООО  "Партнер"</t>
  </si>
  <si>
    <t>7500022319</t>
  </si>
  <si>
    <t>30375360</t>
  </si>
  <si>
    <t>ООО "Аквастоки"</t>
  </si>
  <si>
    <t>7529012779</t>
  </si>
  <si>
    <t>16-02-2015 00:00:00</t>
  </si>
  <si>
    <t>28871618</t>
  </si>
  <si>
    <t>ООО "Водоканал"</t>
  </si>
  <si>
    <t>7531006959</t>
  </si>
  <si>
    <t>16-09-2014 00:00:00</t>
  </si>
  <si>
    <t>26612107</t>
  </si>
  <si>
    <t>ООО "Забайкалье"</t>
  </si>
  <si>
    <t>7515005130</t>
  </si>
  <si>
    <t>31914110</t>
  </si>
  <si>
    <t>ООО "ИНТЕГРАЛ"</t>
  </si>
  <si>
    <t>7529013162</t>
  </si>
  <si>
    <t>10-08-2018 00:00:00</t>
  </si>
  <si>
    <t>31282511</t>
  </si>
  <si>
    <t>ООО "Иркутский масложиркомбинат"</t>
  </si>
  <si>
    <t>3811185573</t>
  </si>
  <si>
    <t>31097612</t>
  </si>
  <si>
    <t>ООО "Кадахта"</t>
  </si>
  <si>
    <t>7508004625</t>
  </si>
  <si>
    <t>18-03-2003 00:00:00</t>
  </si>
  <si>
    <t>31520155</t>
  </si>
  <si>
    <t>ООО "МЕРОВИНГС"</t>
  </si>
  <si>
    <t>7536172124</t>
  </si>
  <si>
    <t>19-07-2018 00:00:00</t>
  </si>
  <si>
    <t>26772704</t>
  </si>
  <si>
    <t>ООО "Нерчинско-Заводское ЖКХ"</t>
  </si>
  <si>
    <t>7514002802</t>
  </si>
  <si>
    <t>29-01-2026 00:00:00</t>
  </si>
  <si>
    <t>26652884</t>
  </si>
  <si>
    <t>ООО "Очистные"</t>
  </si>
  <si>
    <t>7531006613</t>
  </si>
  <si>
    <t>08-09-2025 00:00:00</t>
  </si>
  <si>
    <t>28502986</t>
  </si>
  <si>
    <t>ООО "Прогресс"</t>
  </si>
  <si>
    <t>7504002225</t>
  </si>
  <si>
    <t>31824858</t>
  </si>
  <si>
    <t>ООО "Развитие"</t>
  </si>
  <si>
    <t>7500016121</t>
  </si>
  <si>
    <t>09-01-2024 00:00:00</t>
  </si>
  <si>
    <t>31398341</t>
  </si>
  <si>
    <t>ООО "Сервис уголь"</t>
  </si>
  <si>
    <t>7524187912</t>
  </si>
  <si>
    <t>05-07-2017 00:00:00</t>
  </si>
  <si>
    <t>26644536</t>
  </si>
  <si>
    <t>ООО "Эксплуатационник-ремонтник"</t>
  </si>
  <si>
    <t>7529011800</t>
  </si>
  <si>
    <t>31905354</t>
  </si>
  <si>
    <t>ООО «Водопровод Краснокаменска»</t>
  </si>
  <si>
    <t>7500025976</t>
  </si>
  <si>
    <t>27-02-2025 00:00:00</t>
  </si>
  <si>
    <t>31728233</t>
  </si>
  <si>
    <t>ООО УК "Домоправление"</t>
  </si>
  <si>
    <t>7500014950</t>
  </si>
  <si>
    <t>07-11-2023 00:00:00</t>
  </si>
  <si>
    <t>30878885</t>
  </si>
  <si>
    <t>ООО УК "ЛУЧ"</t>
  </si>
  <si>
    <t>7515008211</t>
  </si>
  <si>
    <t>09-07-2015 00:00:00</t>
  </si>
  <si>
    <t>31322937</t>
  </si>
  <si>
    <t>Общество с ограниченной ответственностью "Благоустройство"</t>
  </si>
  <si>
    <t>7513007212</t>
  </si>
  <si>
    <t>04-02-2019 00:00:00</t>
  </si>
  <si>
    <t>26772682</t>
  </si>
  <si>
    <t>ПСХА "Бурулятуй"</t>
  </si>
  <si>
    <t>7515001270</t>
  </si>
  <si>
    <t>28151522</t>
  </si>
  <si>
    <t>Производственный сельскохозяйственный кооператив "Хадабулак"</t>
  </si>
  <si>
    <t>7529010179</t>
  </si>
  <si>
    <t>26774211</t>
  </si>
  <si>
    <t>СХА "Улан-Сэсэг"</t>
  </si>
  <si>
    <t>7515000438</t>
  </si>
  <si>
    <t>26375513</t>
  </si>
  <si>
    <t>Сельскохозяйственная артель "Объединение"</t>
  </si>
  <si>
    <t>7515000318</t>
  </si>
  <si>
    <t>26645851</t>
  </si>
  <si>
    <t>УО ООО "ЖЭУ Хилок"</t>
  </si>
  <si>
    <t>7538001727</t>
  </si>
  <si>
    <t>26375493</t>
  </si>
  <si>
    <t>ФГКУ Комбинат "Байкал"</t>
  </si>
  <si>
    <t>7508002850</t>
  </si>
  <si>
    <t>26375538</t>
  </si>
  <si>
    <t>ФГКУ Комбинат "Луч"</t>
  </si>
  <si>
    <t>7524007920</t>
  </si>
  <si>
    <t>31486283</t>
  </si>
  <si>
    <t>АДМИНИСТРАЦИЯ ГОРОДСКОГО ПОСЕЛЕНИЯ "Борзинское"</t>
  </si>
  <si>
    <t>7529010250</t>
  </si>
  <si>
    <t>31483818</t>
  </si>
  <si>
    <t>Администрация городского поселения "Калангуйское"</t>
  </si>
  <si>
    <t>7515005972</t>
  </si>
  <si>
    <t>12-12-2005 00:00:00</t>
  </si>
  <si>
    <t>31090048</t>
  </si>
  <si>
    <t>Администрация сельского поселения "Амитхаша"</t>
  </si>
  <si>
    <t>8001004595</t>
  </si>
  <si>
    <t>04-12-2002 00:00:00</t>
  </si>
  <si>
    <t>31545263</t>
  </si>
  <si>
    <t>ИП Дианов С.Н.</t>
  </si>
  <si>
    <t>753800118745</t>
  </si>
  <si>
    <t>10-03-2021 00:00:00</t>
  </si>
  <si>
    <t>31544396</t>
  </si>
  <si>
    <t>ИП Либанова Н.В.</t>
  </si>
  <si>
    <t>752300653735</t>
  </si>
  <si>
    <t>10-01-2025 00:00:00</t>
  </si>
  <si>
    <t>31910285</t>
  </si>
  <si>
    <t>Индивидуальный предприниматель Никитин Сергей Анатольевич</t>
  </si>
  <si>
    <t>752504266131</t>
  </si>
  <si>
    <t>15-08-2024 00:00:00</t>
  </si>
  <si>
    <t>30417804</t>
  </si>
  <si>
    <t>МП "Служба заказчика п. Приаргунск"</t>
  </si>
  <si>
    <t>7518005498</t>
  </si>
  <si>
    <t>22-08-2025 00:00:00</t>
  </si>
  <si>
    <t>28496127</t>
  </si>
  <si>
    <t>МУП "Жилищно -коммунальные услуги" пгт.Первомайский</t>
  </si>
  <si>
    <t>7527009121</t>
  </si>
  <si>
    <t>31339316</t>
  </si>
  <si>
    <t>МУП «Шерловогорское ЖКХ»</t>
  </si>
  <si>
    <t>7529013236</t>
  </si>
  <si>
    <t>24-06-2019 00:00:00</t>
  </si>
  <si>
    <t>31771585</t>
  </si>
  <si>
    <t>Муниципальное бюджетное учреждение "Благоустройство г. Шилка"</t>
  </si>
  <si>
    <t>7500022446</t>
  </si>
  <si>
    <t>27-09-2024 00:00:00</t>
  </si>
  <si>
    <t>27588030</t>
  </si>
  <si>
    <t>ОАО "103 БТРЗ"</t>
  </si>
  <si>
    <t>7524015624</t>
  </si>
  <si>
    <t>26530941</t>
  </si>
  <si>
    <t>ООО "Жилсервис"</t>
  </si>
  <si>
    <t>8001015766</t>
  </si>
  <si>
    <t>26530917</t>
  </si>
  <si>
    <t>ООО "Очистные сооружения"</t>
  </si>
  <si>
    <t>7525005717</t>
  </si>
  <si>
    <t>28-10-2009 00:00:00</t>
  </si>
  <si>
    <t>26381452</t>
  </si>
  <si>
    <t>ООО "Приаргунск-Водоканал"</t>
  </si>
  <si>
    <t>7518005804</t>
  </si>
  <si>
    <t>17-02-2025 00:00:00</t>
  </si>
  <si>
    <t>26647344</t>
  </si>
  <si>
    <t>ООО "Строитель"</t>
  </si>
  <si>
    <t>7531003147</t>
  </si>
  <si>
    <t>31802537</t>
  </si>
  <si>
    <t>ООО "Турмалин"</t>
  </si>
  <si>
    <t>7500018489</t>
  </si>
  <si>
    <t>12-04-2024 00:00:00</t>
  </si>
  <si>
    <t>30867663</t>
  </si>
  <si>
    <t>ООО "Управляющая компания п.Приаргунск"</t>
  </si>
  <si>
    <t>7518006734</t>
  </si>
  <si>
    <t>20-03-2003 00:00:00</t>
  </si>
  <si>
    <t>31525037</t>
  </si>
  <si>
    <t>ООО УК "Коммунальные системы"</t>
  </si>
  <si>
    <t>7518007230</t>
  </si>
  <si>
    <t>26-03-2015 00:00:00</t>
  </si>
  <si>
    <t>31277018</t>
  </si>
  <si>
    <t>Общество с ограниченной ответственностью "Жилищно-коммунальное хозяйство" пгт. Первомайский</t>
  </si>
  <si>
    <t>7527009467</t>
  </si>
  <si>
    <t>02-11-2018 00:00:00</t>
  </si>
  <si>
    <t>31530313</t>
  </si>
  <si>
    <t>ИП Андреевский В. А.</t>
  </si>
  <si>
    <t>752300860139</t>
  </si>
  <si>
    <t>31705668</t>
  </si>
  <si>
    <t>ИП Соколов Д.И.</t>
  </si>
  <si>
    <t>753402887283</t>
  </si>
  <si>
    <t>24-11-2016 00:00:00</t>
  </si>
  <si>
    <t>31779751</t>
  </si>
  <si>
    <t>Муниципальное бюджетное учреждение "ДорСервис"</t>
  </si>
  <si>
    <t>7500022527</t>
  </si>
  <si>
    <t>01-04-2021 00:00:00</t>
  </si>
  <si>
    <t>31530372</t>
  </si>
  <si>
    <t>ООО "АвтоЛидер"</t>
  </si>
  <si>
    <t>7536119265</t>
  </si>
  <si>
    <t>771701001</t>
  </si>
  <si>
    <t>15-06-2011 00:00:00</t>
  </si>
  <si>
    <t>28485664</t>
  </si>
  <si>
    <t>ООО "Автохозяйство технологического транспорта"</t>
  </si>
  <si>
    <t>7530012484</t>
  </si>
  <si>
    <t>31463354</t>
  </si>
  <si>
    <t>ООО "Бизнес Консалт"</t>
  </si>
  <si>
    <t>7524188560</t>
  </si>
  <si>
    <t>31507155</t>
  </si>
  <si>
    <t>ООО "Кедр"</t>
  </si>
  <si>
    <t>7504002480</t>
  </si>
  <si>
    <t>04-08-2017 00:00:00</t>
  </si>
  <si>
    <t>31864279</t>
  </si>
  <si>
    <t>ООО "МЕХУБОРКА ЗАБАЙКАЛЬЕ"</t>
  </si>
  <si>
    <t>7536171441</t>
  </si>
  <si>
    <t>07-06-2018 00:00:00</t>
  </si>
  <si>
    <t>31458495</t>
  </si>
  <si>
    <t>ООО "Полигон-2"</t>
  </si>
  <si>
    <t>7536179560</t>
  </si>
  <si>
    <t>16-12-2019 00:00:00</t>
  </si>
  <si>
    <t>31530344</t>
  </si>
  <si>
    <t>ООО "САТЕНИК"</t>
  </si>
  <si>
    <t>7506005599</t>
  </si>
  <si>
    <t>26-06-2019 00:00:00</t>
  </si>
  <si>
    <t>31705526</t>
  </si>
  <si>
    <t>ООО "ТрансВэй"</t>
  </si>
  <si>
    <t>7536128157</t>
  </si>
  <si>
    <t>29-06-2012 00:00:00</t>
  </si>
  <si>
    <t>31903537</t>
  </si>
  <si>
    <t>ООО "ЭКОРЕСУРС"</t>
  </si>
  <si>
    <t>7536183172</t>
  </si>
  <si>
    <t>31705521</t>
  </si>
  <si>
    <t>ООО "Эко-Гарант"</t>
  </si>
  <si>
    <t>7500002496</t>
  </si>
  <si>
    <t>12-04-2022 00:00:00</t>
  </si>
  <si>
    <t>31353607</t>
  </si>
  <si>
    <t>Общество с ограниченной ответственностью "Олерон+"</t>
  </si>
  <si>
    <t>7714922050</t>
  </si>
  <si>
    <t>771401001</t>
  </si>
  <si>
    <t>26-11-2013 00:00:00</t>
  </si>
  <si>
    <t>NSRF</t>
  </si>
  <si>
    <t>MR_NAME</t>
  </si>
  <si>
    <t>OKTMO_MR_NAME</t>
  </si>
  <si>
    <t>MO_NAME</t>
  </si>
  <si>
    <t>OKTMO_NAME</t>
  </si>
  <si>
    <t>TYPE</t>
  </si>
  <si>
    <t>MR_ID</t>
  </si>
  <si>
    <t>Агинский муниципальный округ</t>
  </si>
  <si>
    <t>76502000</t>
  </si>
  <si>
    <t>муниципальный округ</t>
  </si>
  <si>
    <t>Агинский муниципальный район</t>
  </si>
  <si>
    <t>76602000</t>
  </si>
  <si>
    <t>муниципальный район</t>
  </si>
  <si>
    <t>Амитхаша</t>
  </si>
  <si>
    <t>76602402</t>
  </si>
  <si>
    <t>сельское поселение</t>
  </si>
  <si>
    <t>Будулан</t>
  </si>
  <si>
    <t>76602404</t>
  </si>
  <si>
    <t>Гунэй</t>
  </si>
  <si>
    <t>76602408</t>
  </si>
  <si>
    <t>Кункур</t>
  </si>
  <si>
    <t>76602412</t>
  </si>
  <si>
    <t>Новоорловск</t>
  </si>
  <si>
    <t>76602153</t>
  </si>
  <si>
    <t>городское поселение, в состав которого входит поселок</t>
  </si>
  <si>
    <t>Орловский</t>
  </si>
  <si>
    <t>76602154</t>
  </si>
  <si>
    <t>Сахюрта</t>
  </si>
  <si>
    <t>76602416</t>
  </si>
  <si>
    <t>Судунтуй</t>
  </si>
  <si>
    <t>76602420</t>
  </si>
  <si>
    <t>Урда-Ага</t>
  </si>
  <si>
    <t>76602424</t>
  </si>
  <si>
    <t>Хойто-Ага</t>
  </si>
  <si>
    <t>76602428</t>
  </si>
  <si>
    <t>Цокто-Хангил</t>
  </si>
  <si>
    <t>76602432</t>
  </si>
  <si>
    <t>Челутай</t>
  </si>
  <si>
    <t>76602436</t>
  </si>
  <si>
    <t>Южный Аргалей</t>
  </si>
  <si>
    <t>76602440</t>
  </si>
  <si>
    <t>Акшинский муниципальный округ</t>
  </si>
  <si>
    <t>76503000</t>
  </si>
  <si>
    <t>Александрово-Заводский муниципальный округ</t>
  </si>
  <si>
    <t>76504000</t>
  </si>
  <si>
    <t>Балейский муниципальный округ</t>
  </si>
  <si>
    <t>76506000</t>
  </si>
  <si>
    <t>Балейский муниципальный район</t>
  </si>
  <si>
    <t>76606000</t>
  </si>
  <si>
    <t>Городское поселение "Город Балей"</t>
  </si>
  <si>
    <t>76606101</t>
  </si>
  <si>
    <t>городское поселение, в состав которого входит город</t>
  </si>
  <si>
    <t>Жидкинское</t>
  </si>
  <si>
    <t>76606410</t>
  </si>
  <si>
    <t>Казаковское</t>
  </si>
  <si>
    <t>76606405</t>
  </si>
  <si>
    <t>Матусовское</t>
  </si>
  <si>
    <t>76606425</t>
  </si>
  <si>
    <t>Нижнегирюнинское</t>
  </si>
  <si>
    <t>76606430</t>
  </si>
  <si>
    <t>Нижнеильдиканское</t>
  </si>
  <si>
    <t>76606415</t>
  </si>
  <si>
    <t>Нижнекокуйское</t>
  </si>
  <si>
    <t>76606435</t>
  </si>
  <si>
    <t>Подойницинское</t>
  </si>
  <si>
    <t>76606440</t>
  </si>
  <si>
    <t>Ундино-Посельское</t>
  </si>
  <si>
    <t>76606445</t>
  </si>
  <si>
    <t>Ундинское</t>
  </si>
  <si>
    <t>76606450</t>
  </si>
  <si>
    <t>Борзинский муниципальный округ</t>
  </si>
  <si>
    <t>76509000</t>
  </si>
  <si>
    <t>76609000</t>
  </si>
  <si>
    <t>Акурайское</t>
  </si>
  <si>
    <t>76609408</t>
  </si>
  <si>
    <t>Биликтуйское</t>
  </si>
  <si>
    <t>76609414</t>
  </si>
  <si>
    <t>Борзинское</t>
  </si>
  <si>
    <t>76609101</t>
  </si>
  <si>
    <t>Ключевское</t>
  </si>
  <si>
    <t>76609420</t>
  </si>
  <si>
    <t>Кондуйское</t>
  </si>
  <si>
    <t>76609424</t>
  </si>
  <si>
    <t>Курунзулайское</t>
  </si>
  <si>
    <t>76609436</t>
  </si>
  <si>
    <t>Новоборзинское</t>
  </si>
  <si>
    <t>76609440</t>
  </si>
  <si>
    <t>Переднебыркинское</t>
  </si>
  <si>
    <t>76609460</t>
  </si>
  <si>
    <t>Приозёрное</t>
  </si>
  <si>
    <t>76609462</t>
  </si>
  <si>
    <t>Соловьёвское</t>
  </si>
  <si>
    <t>76609464</t>
  </si>
  <si>
    <t>Усть-Озёрское</t>
  </si>
  <si>
    <t>76609468</t>
  </si>
  <si>
    <t>Хада-Булакское</t>
  </si>
  <si>
    <t>76609472</t>
  </si>
  <si>
    <t>Цаган-Олуйское</t>
  </si>
  <si>
    <t>76609476</t>
  </si>
  <si>
    <t>Чиндантское</t>
  </si>
  <si>
    <t>76609480</t>
  </si>
  <si>
    <t>Шоноктуйское</t>
  </si>
  <si>
    <t>76609488</t>
  </si>
  <si>
    <t>Южное</t>
  </si>
  <si>
    <t>76609452</t>
  </si>
  <si>
    <t>Газимуро-Заводский муниципальный округ</t>
  </si>
  <si>
    <t>76510000</t>
  </si>
  <si>
    <t>Газимуро-Заводский муниципальный район</t>
  </si>
  <si>
    <t>76610000</t>
  </si>
  <si>
    <t>Батаканское</t>
  </si>
  <si>
    <t>76610403</t>
  </si>
  <si>
    <t>Буруканское</t>
  </si>
  <si>
    <t>76610405</t>
  </si>
  <si>
    <t>Газимуро-Заводское</t>
  </si>
  <si>
    <t>76610409</t>
  </si>
  <si>
    <t>Зеренское</t>
  </si>
  <si>
    <t>76610412</t>
  </si>
  <si>
    <t>Кактолгинское</t>
  </si>
  <si>
    <t>76610418</t>
  </si>
  <si>
    <t>Новоширокинское</t>
  </si>
  <si>
    <t>76610433</t>
  </si>
  <si>
    <t>Солонеченское</t>
  </si>
  <si>
    <t>76610420</t>
  </si>
  <si>
    <t>Трубачевское</t>
  </si>
  <si>
    <t>76610426</t>
  </si>
  <si>
    <t>Ушмунское</t>
  </si>
  <si>
    <t>76610430</t>
  </si>
  <si>
    <t>Город Краснокаменск и Краснокаменский муниципальный район</t>
  </si>
  <si>
    <t>76621000</t>
  </si>
  <si>
    <t>Богдановское</t>
  </si>
  <si>
    <t>76621408</t>
  </si>
  <si>
    <t>60</t>
  </si>
  <si>
    <t>61</t>
  </si>
  <si>
    <t>Кайластуйское</t>
  </si>
  <si>
    <t>76621420</t>
  </si>
  <si>
    <t>62</t>
  </si>
  <si>
    <t>Капцегайтуйское</t>
  </si>
  <si>
    <t>76621424</t>
  </si>
  <si>
    <t>63</t>
  </si>
  <si>
    <t>Ковылинское</t>
  </si>
  <si>
    <t>76621402</t>
  </si>
  <si>
    <t>64</t>
  </si>
  <si>
    <t>Краснокаменское</t>
  </si>
  <si>
    <t>76621101</t>
  </si>
  <si>
    <t>65</t>
  </si>
  <si>
    <t>Маргуцекское</t>
  </si>
  <si>
    <t>76621427</t>
  </si>
  <si>
    <t>Соктуй-Милозанское</t>
  </si>
  <si>
    <t>76621430</t>
  </si>
  <si>
    <t>67</t>
  </si>
  <si>
    <t>Среднеаргунское</t>
  </si>
  <si>
    <t>76621434</t>
  </si>
  <si>
    <t>Целиннинское</t>
  </si>
  <si>
    <t>76621445</t>
  </si>
  <si>
    <t>Юбилейнинское</t>
  </si>
  <si>
    <t>76621450</t>
  </si>
  <si>
    <t>70</t>
  </si>
  <si>
    <t>Городской округ "Город Петровск-Забайкальский"</t>
  </si>
  <si>
    <t>76715000</t>
  </si>
  <si>
    <t>городской округ</t>
  </si>
  <si>
    <t>71</t>
  </si>
  <si>
    <t>72</t>
  </si>
  <si>
    <t>Городской округ "Посёлок Горный (ЗАТО)"</t>
  </si>
  <si>
    <t>76785000</t>
  </si>
  <si>
    <t>73</t>
  </si>
  <si>
    <t>Городской округ "Поселок Агинское"</t>
  </si>
  <si>
    <t>76702000</t>
  </si>
  <si>
    <t>74</t>
  </si>
  <si>
    <t>Дульдургинский муниципальный округ</t>
  </si>
  <si>
    <t>76511000</t>
  </si>
  <si>
    <t>75</t>
  </si>
  <si>
    <t>Дульдургинский муниципальный район</t>
  </si>
  <si>
    <t>76611000</t>
  </si>
  <si>
    <t>Алханай</t>
  </si>
  <si>
    <t>76611404</t>
  </si>
  <si>
    <t>76</t>
  </si>
  <si>
    <t>Ара-Иля</t>
  </si>
  <si>
    <t>76611408</t>
  </si>
  <si>
    <t>77</t>
  </si>
  <si>
    <t>Бальзино</t>
  </si>
  <si>
    <t>76611412</t>
  </si>
  <si>
    <t>78</t>
  </si>
  <si>
    <t>Дульдурга</t>
  </si>
  <si>
    <t>76611416</t>
  </si>
  <si>
    <t>79</t>
  </si>
  <si>
    <t>80</t>
  </si>
  <si>
    <t>Зуткулей</t>
  </si>
  <si>
    <t>76611420</t>
  </si>
  <si>
    <t>81</t>
  </si>
  <si>
    <t>Иля</t>
  </si>
  <si>
    <t>76611422</t>
  </si>
  <si>
    <t>82</t>
  </si>
  <si>
    <t>Таптанай</t>
  </si>
  <si>
    <t>76611424</t>
  </si>
  <si>
    <t>83</t>
  </si>
  <si>
    <t>Токчин</t>
  </si>
  <si>
    <t>76611428</t>
  </si>
  <si>
    <t>84</t>
  </si>
  <si>
    <t>Узон</t>
  </si>
  <si>
    <t>76611432</t>
  </si>
  <si>
    <t>85</t>
  </si>
  <si>
    <t>Чиндалей</t>
  </si>
  <si>
    <t>76611436</t>
  </si>
  <si>
    <t>86</t>
  </si>
  <si>
    <t>Забайкальский муниципальный округ</t>
  </si>
  <si>
    <t>76512000</t>
  </si>
  <si>
    <t>Забайкальский муниципальный район</t>
  </si>
  <si>
    <t>76612000</t>
  </si>
  <si>
    <t>Абагайтуйское</t>
  </si>
  <si>
    <t>76612405</t>
  </si>
  <si>
    <t>88</t>
  </si>
  <si>
    <t>Билитуйское</t>
  </si>
  <si>
    <t>76612415</t>
  </si>
  <si>
    <t>89</t>
  </si>
  <si>
    <t>Даурское</t>
  </si>
  <si>
    <t>76612425</t>
  </si>
  <si>
    <t>90</t>
  </si>
  <si>
    <t>91</t>
  </si>
  <si>
    <t>Забайкальское</t>
  </si>
  <si>
    <t>76612151</t>
  </si>
  <si>
    <t>92</t>
  </si>
  <si>
    <t>Красновеликанское</t>
  </si>
  <si>
    <t>76612420</t>
  </si>
  <si>
    <t>93</t>
  </si>
  <si>
    <t>Рудник-Абагайтуйское</t>
  </si>
  <si>
    <t>76612410</t>
  </si>
  <si>
    <t>94</t>
  </si>
  <si>
    <t>Степное</t>
  </si>
  <si>
    <t>76612445</t>
  </si>
  <si>
    <t>95</t>
  </si>
  <si>
    <t>Черно-Озерское</t>
  </si>
  <si>
    <t>76612455</t>
  </si>
  <si>
    <t>96</t>
  </si>
  <si>
    <t>Каларский муниципальный округ</t>
  </si>
  <si>
    <t>76515000</t>
  </si>
  <si>
    <t>97</t>
  </si>
  <si>
    <t>Калганский муниципальный округ</t>
  </si>
  <si>
    <t>76518000</t>
  </si>
  <si>
    <t>98</t>
  </si>
  <si>
    <t>Калганский муниципальный район</t>
  </si>
  <si>
    <t>76618000</t>
  </si>
  <si>
    <t>Буринское</t>
  </si>
  <si>
    <t>76618411</t>
  </si>
  <si>
    <t>99</t>
  </si>
  <si>
    <t>Верхне-Калгуканское</t>
  </si>
  <si>
    <t>76618414</t>
  </si>
  <si>
    <t>100</t>
  </si>
  <si>
    <t>Доновское</t>
  </si>
  <si>
    <t>76618422</t>
  </si>
  <si>
    <t>101</t>
  </si>
  <si>
    <t>Кадаинское</t>
  </si>
  <si>
    <t>76618430</t>
  </si>
  <si>
    <t>102</t>
  </si>
  <si>
    <t>103</t>
  </si>
  <si>
    <t>Калганское</t>
  </si>
  <si>
    <t>76618433</t>
  </si>
  <si>
    <t>104</t>
  </si>
  <si>
    <t>Козловское</t>
  </si>
  <si>
    <t>76618444</t>
  </si>
  <si>
    <t>105</t>
  </si>
  <si>
    <t>Нижне-Калгуканское</t>
  </si>
  <si>
    <t>76618455</t>
  </si>
  <si>
    <t>106</t>
  </si>
  <si>
    <t>Средне-Борзинское</t>
  </si>
  <si>
    <t>76618466</t>
  </si>
  <si>
    <t>107</t>
  </si>
  <si>
    <t>Чингильтуйское</t>
  </si>
  <si>
    <t>76618477</t>
  </si>
  <si>
    <t>108</t>
  </si>
  <si>
    <t>Чупровское</t>
  </si>
  <si>
    <t>76618488</t>
  </si>
  <si>
    <t>109</t>
  </si>
  <si>
    <t>Шивиинское</t>
  </si>
  <si>
    <t>76618490</t>
  </si>
  <si>
    <t>110</t>
  </si>
  <si>
    <t>Карымский муниципальный округ</t>
  </si>
  <si>
    <t>76520000</t>
  </si>
  <si>
    <t>Карымский муниципальный район</t>
  </si>
  <si>
    <t>76620000</t>
  </si>
  <si>
    <t>Адриановское</t>
  </si>
  <si>
    <t>76620405</t>
  </si>
  <si>
    <t>112</t>
  </si>
  <si>
    <t>Большетуринское</t>
  </si>
  <si>
    <t>76620409</t>
  </si>
  <si>
    <t>113</t>
  </si>
  <si>
    <t>Дарасунское</t>
  </si>
  <si>
    <t>76620153</t>
  </si>
  <si>
    <t>114</t>
  </si>
  <si>
    <t>Жимбиринское</t>
  </si>
  <si>
    <t>76620420</t>
  </si>
  <si>
    <t>115</t>
  </si>
  <si>
    <t>Кадахтинское</t>
  </si>
  <si>
    <t>76620425</t>
  </si>
  <si>
    <t>116</t>
  </si>
  <si>
    <t>Кайдаловское</t>
  </si>
  <si>
    <t>76620430</t>
  </si>
  <si>
    <t>117</t>
  </si>
  <si>
    <t>118</t>
  </si>
  <si>
    <t>Карымское</t>
  </si>
  <si>
    <t>76620151</t>
  </si>
  <si>
    <t>119</t>
  </si>
  <si>
    <t>Курорт-Дарасунское</t>
  </si>
  <si>
    <t>76620157</t>
  </si>
  <si>
    <t>120</t>
  </si>
  <si>
    <t>Маякинское</t>
  </si>
  <si>
    <t>76620435</t>
  </si>
  <si>
    <t>121</t>
  </si>
  <si>
    <t>Нарын-Талачинское</t>
  </si>
  <si>
    <t>76620440</t>
  </si>
  <si>
    <t>122</t>
  </si>
  <si>
    <t>Новодоронинское</t>
  </si>
  <si>
    <t>76620445</t>
  </si>
  <si>
    <t>123</t>
  </si>
  <si>
    <t>Тыргетуйское</t>
  </si>
  <si>
    <t>76620450</t>
  </si>
  <si>
    <t>124</t>
  </si>
  <si>
    <t>Урульгинское</t>
  </si>
  <si>
    <t>76620455</t>
  </si>
  <si>
    <t>125</t>
  </si>
  <si>
    <t>Краснокаменский муниципальный округ</t>
  </si>
  <si>
    <t>76521000</t>
  </si>
  <si>
    <t>126</t>
  </si>
  <si>
    <t>Красночикойский муниципальный округ</t>
  </si>
  <si>
    <t>76522000</t>
  </si>
  <si>
    <t>127</t>
  </si>
  <si>
    <t>Красночикойский муниципальный район</t>
  </si>
  <si>
    <t>76622000</t>
  </si>
  <si>
    <t>Альбитуйское</t>
  </si>
  <si>
    <t>76622405</t>
  </si>
  <si>
    <t>128</t>
  </si>
  <si>
    <t>Архангельское</t>
  </si>
  <si>
    <t>76622410</t>
  </si>
  <si>
    <t>129</t>
  </si>
  <si>
    <t>Байхорское</t>
  </si>
  <si>
    <t>76622415</t>
  </si>
  <si>
    <t>130</t>
  </si>
  <si>
    <t>Большеречинское</t>
  </si>
  <si>
    <t>76622420</t>
  </si>
  <si>
    <t>131</t>
  </si>
  <si>
    <t>Верхнешергольджинское</t>
  </si>
  <si>
    <t>76622425</t>
  </si>
  <si>
    <t>132</t>
  </si>
  <si>
    <t>Жиндойское</t>
  </si>
  <si>
    <t>76622430</t>
  </si>
  <si>
    <t>133</t>
  </si>
  <si>
    <t>Захаровское</t>
  </si>
  <si>
    <t>76622435</t>
  </si>
  <si>
    <t>134</t>
  </si>
  <si>
    <t>Конкинское</t>
  </si>
  <si>
    <t>76622470</t>
  </si>
  <si>
    <t>135</t>
  </si>
  <si>
    <t>Коротковское</t>
  </si>
  <si>
    <t>76622440</t>
  </si>
  <si>
    <t>136</t>
  </si>
  <si>
    <t>137</t>
  </si>
  <si>
    <t>Красночикойское</t>
  </si>
  <si>
    <t>76622445</t>
  </si>
  <si>
    <t>138</t>
  </si>
  <si>
    <t>Малоархангельское</t>
  </si>
  <si>
    <t>76622450</t>
  </si>
  <si>
    <t>139</t>
  </si>
  <si>
    <t>Межселенная территория Красночикойского муниципального района, находящаяся вне границ сельских поселений, с расположенным на этой территории с Семиозёрье</t>
  </si>
  <si>
    <t>76622701</t>
  </si>
  <si>
    <t>межселенная территория</t>
  </si>
  <si>
    <t>140</t>
  </si>
  <si>
    <t>Мензинское</t>
  </si>
  <si>
    <t>76622455</t>
  </si>
  <si>
    <t>141</t>
  </si>
  <si>
    <t>Урлукское</t>
  </si>
  <si>
    <t>76622460</t>
  </si>
  <si>
    <t>142</t>
  </si>
  <si>
    <t>Черемховское</t>
  </si>
  <si>
    <t>76622475</t>
  </si>
  <si>
    <t>143</t>
  </si>
  <si>
    <t>Шимбиликское</t>
  </si>
  <si>
    <t>76622480</t>
  </si>
  <si>
    <t>144</t>
  </si>
  <si>
    <t>Кыринский муниципальный округ</t>
  </si>
  <si>
    <t>76524000</t>
  </si>
  <si>
    <t>145</t>
  </si>
  <si>
    <t>Кыринский муниципальный район</t>
  </si>
  <si>
    <t>76624000</t>
  </si>
  <si>
    <t>Алтанское</t>
  </si>
  <si>
    <t>76624405</t>
  </si>
  <si>
    <t>146</t>
  </si>
  <si>
    <t>Билютуйское</t>
  </si>
  <si>
    <t>76624410</t>
  </si>
  <si>
    <t>147</t>
  </si>
  <si>
    <t>Верхне-Ульхунское</t>
  </si>
  <si>
    <t>76624415</t>
  </si>
  <si>
    <t>148</t>
  </si>
  <si>
    <t>Гаваньское</t>
  </si>
  <si>
    <t>76624420</t>
  </si>
  <si>
    <t>149</t>
  </si>
  <si>
    <t>150</t>
  </si>
  <si>
    <t>Кыринское</t>
  </si>
  <si>
    <t>76624425</t>
  </si>
  <si>
    <t>151</t>
  </si>
  <si>
    <t>Любавинское</t>
  </si>
  <si>
    <t>76624430</t>
  </si>
  <si>
    <t>152</t>
  </si>
  <si>
    <t>Мангутское</t>
  </si>
  <si>
    <t>76624435</t>
  </si>
  <si>
    <t>153</t>
  </si>
  <si>
    <t>Михайло-Павловское</t>
  </si>
  <si>
    <t>76624440</t>
  </si>
  <si>
    <t>154</t>
  </si>
  <si>
    <t>Мордойское</t>
  </si>
  <si>
    <t>76624445</t>
  </si>
  <si>
    <t>155</t>
  </si>
  <si>
    <t>Надежнинское</t>
  </si>
  <si>
    <t>76624450</t>
  </si>
  <si>
    <t>156</t>
  </si>
  <si>
    <t>Тарбальджейское</t>
  </si>
  <si>
    <t>76624451</t>
  </si>
  <si>
    <t>157</t>
  </si>
  <si>
    <t>Ульхун-Партионское</t>
  </si>
  <si>
    <t>76624453</t>
  </si>
  <si>
    <t>158</t>
  </si>
  <si>
    <t>Хапчерангинское</t>
  </si>
  <si>
    <t>76624452</t>
  </si>
  <si>
    <t>159</t>
  </si>
  <si>
    <t>Шумундинское</t>
  </si>
  <si>
    <t>76624455</t>
  </si>
  <si>
    <t>160</t>
  </si>
  <si>
    <t>Могойтуйский муниципальный округ</t>
  </si>
  <si>
    <t>76525000</t>
  </si>
  <si>
    <t>161</t>
  </si>
  <si>
    <t>Могойтуйский муниципальный район</t>
  </si>
  <si>
    <t>76625000</t>
  </si>
  <si>
    <t>Ага-Хангил</t>
  </si>
  <si>
    <t>76625404</t>
  </si>
  <si>
    <t>162</t>
  </si>
  <si>
    <t>Боржигантай</t>
  </si>
  <si>
    <t>76625408</t>
  </si>
  <si>
    <t>163</t>
  </si>
  <si>
    <t>Догой</t>
  </si>
  <si>
    <t>76625412</t>
  </si>
  <si>
    <t>164</t>
  </si>
  <si>
    <t>Зугалай</t>
  </si>
  <si>
    <t>76625416</t>
  </si>
  <si>
    <t>165</t>
  </si>
  <si>
    <t>Кусоча</t>
  </si>
  <si>
    <t>76625448</t>
  </si>
  <si>
    <t>166</t>
  </si>
  <si>
    <t>Могойтуй</t>
  </si>
  <si>
    <t>76625151</t>
  </si>
  <si>
    <t>167</t>
  </si>
  <si>
    <t>168</t>
  </si>
  <si>
    <t>Нуринск</t>
  </si>
  <si>
    <t>76625418</t>
  </si>
  <si>
    <t>169</t>
  </si>
  <si>
    <t>Ортуй</t>
  </si>
  <si>
    <t>76625420</t>
  </si>
  <si>
    <t>170</t>
  </si>
  <si>
    <t>Усть-Нарин</t>
  </si>
  <si>
    <t>76625422</t>
  </si>
  <si>
    <t>171</t>
  </si>
  <si>
    <t>Ушарбай</t>
  </si>
  <si>
    <t>76625424</t>
  </si>
  <si>
    <t>172</t>
  </si>
  <si>
    <t>Хара-Шибирь</t>
  </si>
  <si>
    <t>76625428</t>
  </si>
  <si>
    <t>173</t>
  </si>
  <si>
    <t>Хила</t>
  </si>
  <si>
    <t>76625432</t>
  </si>
  <si>
    <t>174</t>
  </si>
  <si>
    <t>Цаган-Ола</t>
  </si>
  <si>
    <t>76625436</t>
  </si>
  <si>
    <t>175</t>
  </si>
  <si>
    <t>Цаган-Челутай</t>
  </si>
  <si>
    <t>76625440</t>
  </si>
  <si>
    <t>176</t>
  </si>
  <si>
    <t>Цугол</t>
  </si>
  <si>
    <t>76625444</t>
  </si>
  <si>
    <t>177</t>
  </si>
  <si>
    <t>Могочинский муниципальный округ</t>
  </si>
  <si>
    <t>76526000</t>
  </si>
  <si>
    <t>178</t>
  </si>
  <si>
    <t>Могочинский муниципальный район</t>
  </si>
  <si>
    <t>76626000</t>
  </si>
  <si>
    <t>Амазарское</t>
  </si>
  <si>
    <t>76626154</t>
  </si>
  <si>
    <t>179</t>
  </si>
  <si>
    <t>Давендинское</t>
  </si>
  <si>
    <t>76626156</t>
  </si>
  <si>
    <t>180</t>
  </si>
  <si>
    <t>76626160</t>
  </si>
  <si>
    <t>181</t>
  </si>
  <si>
    <t>Ксеньевское</t>
  </si>
  <si>
    <t>76626162</t>
  </si>
  <si>
    <t>182</t>
  </si>
  <si>
    <t>Межселенная территория Могочинского муниципального района, находящаяся вне границ городских и сельских поселений</t>
  </si>
  <si>
    <t>76626701</t>
  </si>
  <si>
    <t>183</t>
  </si>
  <si>
    <t>184</t>
  </si>
  <si>
    <t>Могочинское</t>
  </si>
  <si>
    <t>76626101</t>
  </si>
  <si>
    <t>185</t>
  </si>
  <si>
    <t>Сбегинское</t>
  </si>
  <si>
    <t>76626410</t>
  </si>
  <si>
    <t>186</t>
  </si>
  <si>
    <t>Семиозернинское</t>
  </si>
  <si>
    <t>76626408</t>
  </si>
  <si>
    <t>187</t>
  </si>
  <si>
    <t>Нерчинский муниципальный округ</t>
  </si>
  <si>
    <t>76528000</t>
  </si>
  <si>
    <t>188</t>
  </si>
  <si>
    <t>Нерчинский муниципальный район</t>
  </si>
  <si>
    <t>76628000</t>
  </si>
  <si>
    <t>Андронниковское</t>
  </si>
  <si>
    <t>76628415</t>
  </si>
  <si>
    <t>189</t>
  </si>
  <si>
    <t>Бишигинское</t>
  </si>
  <si>
    <t>76628405</t>
  </si>
  <si>
    <t>190</t>
  </si>
  <si>
    <t>Верхнеключевское</t>
  </si>
  <si>
    <t>76628410</t>
  </si>
  <si>
    <t>191</t>
  </si>
  <si>
    <t>Верхнеумыкейское</t>
  </si>
  <si>
    <t>76628450</t>
  </si>
  <si>
    <t>192</t>
  </si>
  <si>
    <t>Зареченское</t>
  </si>
  <si>
    <t>76628420</t>
  </si>
  <si>
    <t>193</t>
  </si>
  <si>
    <t>Знаменское</t>
  </si>
  <si>
    <t>76628425</t>
  </si>
  <si>
    <t>194</t>
  </si>
  <si>
    <t>Зюльзинское</t>
  </si>
  <si>
    <t>76628430</t>
  </si>
  <si>
    <t>195</t>
  </si>
  <si>
    <t>Илимское</t>
  </si>
  <si>
    <t>76628435</t>
  </si>
  <si>
    <t>196</t>
  </si>
  <si>
    <t>Кумакинское</t>
  </si>
  <si>
    <t>76628445</t>
  </si>
  <si>
    <t>197</t>
  </si>
  <si>
    <t>198</t>
  </si>
  <si>
    <t>Нерчинское</t>
  </si>
  <si>
    <t>76628101</t>
  </si>
  <si>
    <t>199</t>
  </si>
  <si>
    <t>Нижнеключевское</t>
  </si>
  <si>
    <t>76628455</t>
  </si>
  <si>
    <t>200</t>
  </si>
  <si>
    <t>Олеканское</t>
  </si>
  <si>
    <t>76628460</t>
  </si>
  <si>
    <t>201</t>
  </si>
  <si>
    <t>Олинское</t>
  </si>
  <si>
    <t>76628465</t>
  </si>
  <si>
    <t>202</t>
  </si>
  <si>
    <t>Пешковское</t>
  </si>
  <si>
    <t>76628470</t>
  </si>
  <si>
    <t>203</t>
  </si>
  <si>
    <t>Приисковское</t>
  </si>
  <si>
    <t>76628153</t>
  </si>
  <si>
    <t>204</t>
  </si>
  <si>
    <t>Нерчинско-Заводский муниципальный округ</t>
  </si>
  <si>
    <t>76530000</t>
  </si>
  <si>
    <t>205</t>
  </si>
  <si>
    <t>Оловяннинский муниципальный округ</t>
  </si>
  <si>
    <t>76532000</t>
  </si>
  <si>
    <t>206</t>
  </si>
  <si>
    <t>Оловяннинский муниципальный район</t>
  </si>
  <si>
    <t>76632000</t>
  </si>
  <si>
    <t>Безречнинское</t>
  </si>
  <si>
    <t>76632408</t>
  </si>
  <si>
    <t>207</t>
  </si>
  <si>
    <t>Булумское</t>
  </si>
  <si>
    <t>76632410</t>
  </si>
  <si>
    <t>208</t>
  </si>
  <si>
    <t>Бурулятуйское</t>
  </si>
  <si>
    <t>76632415</t>
  </si>
  <si>
    <t>209</t>
  </si>
  <si>
    <t>Долгокычинское</t>
  </si>
  <si>
    <t>76632425</t>
  </si>
  <si>
    <t>210</t>
  </si>
  <si>
    <t>Единенское</t>
  </si>
  <si>
    <t>76632430</t>
  </si>
  <si>
    <t>211</t>
  </si>
  <si>
    <t>Золотореченское</t>
  </si>
  <si>
    <t>76632152</t>
  </si>
  <si>
    <t>212</t>
  </si>
  <si>
    <t>Калангуйское</t>
  </si>
  <si>
    <t>76632153</t>
  </si>
  <si>
    <t>213</t>
  </si>
  <si>
    <t>Мирнинское</t>
  </si>
  <si>
    <t>76632435</t>
  </si>
  <si>
    <t>214</t>
  </si>
  <si>
    <t>215</t>
  </si>
  <si>
    <t>Оловяннинское</t>
  </si>
  <si>
    <t>76632151</t>
  </si>
  <si>
    <t>216</t>
  </si>
  <si>
    <t>Ононское</t>
  </si>
  <si>
    <t>76632440</t>
  </si>
  <si>
    <t>217</t>
  </si>
  <si>
    <t>Степнинское</t>
  </si>
  <si>
    <t>76632445</t>
  </si>
  <si>
    <t>218</t>
  </si>
  <si>
    <t>Тургинское</t>
  </si>
  <si>
    <t>76632450</t>
  </si>
  <si>
    <t>219</t>
  </si>
  <si>
    <t>Улан-Цацыкское</t>
  </si>
  <si>
    <t>76632453</t>
  </si>
  <si>
    <t>220</t>
  </si>
  <si>
    <t>Улятуйское</t>
  </si>
  <si>
    <t>76632455</t>
  </si>
  <si>
    <t>221</t>
  </si>
  <si>
    <t>Уртуйское</t>
  </si>
  <si>
    <t>76632457</t>
  </si>
  <si>
    <t>222</t>
  </si>
  <si>
    <t>76632460</t>
  </si>
  <si>
    <t>223</t>
  </si>
  <si>
    <t>Хара-Быркинское</t>
  </si>
  <si>
    <t>76632465</t>
  </si>
  <si>
    <t>224</t>
  </si>
  <si>
    <t>Яснинское</t>
  </si>
  <si>
    <t>76632470</t>
  </si>
  <si>
    <t>225</t>
  </si>
  <si>
    <t>Ясногорское</t>
  </si>
  <si>
    <t>76632170</t>
  </si>
  <si>
    <t>226</t>
  </si>
  <si>
    <t>Ононский муниципальный округ</t>
  </si>
  <si>
    <t>76534000</t>
  </si>
  <si>
    <t>227</t>
  </si>
  <si>
    <t>Ононский муниципальный район</t>
  </si>
  <si>
    <t>76634000</t>
  </si>
  <si>
    <t>Большевистское</t>
  </si>
  <si>
    <t>76634405</t>
  </si>
  <si>
    <t>228</t>
  </si>
  <si>
    <t>Буйлэсанское</t>
  </si>
  <si>
    <t>76634410</t>
  </si>
  <si>
    <t>229</t>
  </si>
  <si>
    <t>Верхнецасучейское</t>
  </si>
  <si>
    <t>76634412</t>
  </si>
  <si>
    <t>230</t>
  </si>
  <si>
    <t>Дурулгуйское</t>
  </si>
  <si>
    <t>76634425</t>
  </si>
  <si>
    <t>231</t>
  </si>
  <si>
    <t>Ималкинское</t>
  </si>
  <si>
    <t>76634415</t>
  </si>
  <si>
    <t>232</t>
  </si>
  <si>
    <t>Кулусутайское</t>
  </si>
  <si>
    <t>76634422</t>
  </si>
  <si>
    <t>233</t>
  </si>
  <si>
    <t>Нижнецасучейское</t>
  </si>
  <si>
    <t>76634445</t>
  </si>
  <si>
    <t>234</t>
  </si>
  <si>
    <t>Новозоринское</t>
  </si>
  <si>
    <t>76634430</t>
  </si>
  <si>
    <t>235</t>
  </si>
  <si>
    <t>236</t>
  </si>
  <si>
    <t>Тут-Халтуйское</t>
  </si>
  <si>
    <t>76634440</t>
  </si>
  <si>
    <t>237</t>
  </si>
  <si>
    <t>Холуй-Базинское</t>
  </si>
  <si>
    <t>76634435</t>
  </si>
  <si>
    <t>238</t>
  </si>
  <si>
    <t>76634450</t>
  </si>
  <si>
    <t>239</t>
  </si>
  <si>
    <t>Петровск-Забайкальский муниципальный округ</t>
  </si>
  <si>
    <t>76536000</t>
  </si>
  <si>
    <t>240</t>
  </si>
  <si>
    <t>Петровск-Забайкальский муниципальный район</t>
  </si>
  <si>
    <t>76636000</t>
  </si>
  <si>
    <t>Баляга-Катангарское</t>
  </si>
  <si>
    <t>76636406</t>
  </si>
  <si>
    <t>241</t>
  </si>
  <si>
    <t>Балягинское сельское поселение</t>
  </si>
  <si>
    <t>76636402</t>
  </si>
  <si>
    <t>Зугмарское</t>
  </si>
  <si>
    <t>76636421</t>
  </si>
  <si>
    <t>243</t>
  </si>
  <si>
    <t>Катаевское</t>
  </si>
  <si>
    <t>76636425</t>
  </si>
  <si>
    <t>244</t>
  </si>
  <si>
    <t>Катангарское</t>
  </si>
  <si>
    <t>76636430</t>
  </si>
  <si>
    <t>245</t>
  </si>
  <si>
    <t>Малетинское</t>
  </si>
  <si>
    <t>76636440</t>
  </si>
  <si>
    <t>246</t>
  </si>
  <si>
    <t>Новопавловское</t>
  </si>
  <si>
    <t>76636156</t>
  </si>
  <si>
    <t>247</t>
  </si>
  <si>
    <t>Песчанское</t>
  </si>
  <si>
    <t>76636450</t>
  </si>
  <si>
    <t>248</t>
  </si>
  <si>
    <t>249</t>
  </si>
  <si>
    <t>Тарбагатайское сельское поселение</t>
  </si>
  <si>
    <t>76636452</t>
  </si>
  <si>
    <t>250</t>
  </si>
  <si>
    <t>Толбагинское</t>
  </si>
  <si>
    <t>76636455</t>
  </si>
  <si>
    <t>251</t>
  </si>
  <si>
    <t>Усть-Оборское</t>
  </si>
  <si>
    <t>76636457</t>
  </si>
  <si>
    <t>252</t>
  </si>
  <si>
    <t>Хараузское</t>
  </si>
  <si>
    <t>76636460</t>
  </si>
  <si>
    <t>253</t>
  </si>
  <si>
    <t>Хохотуйское</t>
  </si>
  <si>
    <t>76636470</t>
  </si>
  <si>
    <t>254</t>
  </si>
  <si>
    <t>255</t>
  </si>
  <si>
    <t>Сретенский муниципальный район</t>
  </si>
  <si>
    <t>76640000</t>
  </si>
  <si>
    <t>Алиянское</t>
  </si>
  <si>
    <t>76640435</t>
  </si>
  <si>
    <t>256</t>
  </si>
  <si>
    <t>Ботовское</t>
  </si>
  <si>
    <t>76640405</t>
  </si>
  <si>
    <t>257</t>
  </si>
  <si>
    <t>Верхне-Куларкинское</t>
  </si>
  <si>
    <t>76640410</t>
  </si>
  <si>
    <t>258</t>
  </si>
  <si>
    <t>Верхне-Куэнгинское</t>
  </si>
  <si>
    <t>76640415</t>
  </si>
  <si>
    <t>259</t>
  </si>
  <si>
    <t>Дунаевское</t>
  </si>
  <si>
    <t>76640420</t>
  </si>
  <si>
    <t>260</t>
  </si>
  <si>
    <t>Кокуйское</t>
  </si>
  <si>
    <t>76640154</t>
  </si>
  <si>
    <t>261</t>
  </si>
  <si>
    <t>Межселенная территория Сретенского муниципального района, находящаяся вне границ городских и сельских поселений</t>
  </si>
  <si>
    <t>76640701</t>
  </si>
  <si>
    <t>262</t>
  </si>
  <si>
    <t>Молодовское</t>
  </si>
  <si>
    <t>76640430</t>
  </si>
  <si>
    <t>263</t>
  </si>
  <si>
    <t>264</t>
  </si>
  <si>
    <t>Сретенское</t>
  </si>
  <si>
    <t>76640101</t>
  </si>
  <si>
    <t>265</t>
  </si>
  <si>
    <t>Усть-Карское</t>
  </si>
  <si>
    <t>76640156</t>
  </si>
  <si>
    <t>266</t>
  </si>
  <si>
    <t>Усть-Наринзорское</t>
  </si>
  <si>
    <t>76640440</t>
  </si>
  <si>
    <t>267</t>
  </si>
  <si>
    <t>Усть-Начинское</t>
  </si>
  <si>
    <t>76640441</t>
  </si>
  <si>
    <t>268</t>
  </si>
  <si>
    <t>Фирсовское</t>
  </si>
  <si>
    <t>76640445</t>
  </si>
  <si>
    <t>269</t>
  </si>
  <si>
    <t>Чикичейское</t>
  </si>
  <si>
    <t>76640450</t>
  </si>
  <si>
    <t>270</t>
  </si>
  <si>
    <t>Шилко-Заводское</t>
  </si>
  <si>
    <t>76640455</t>
  </si>
  <si>
    <t>271</t>
  </si>
  <si>
    <t>Тунгиро-Олёкминский муниципальный район</t>
  </si>
  <si>
    <t>76642000</t>
  </si>
  <si>
    <t>76642415</t>
  </si>
  <si>
    <t>272</t>
  </si>
  <si>
    <t>Межселенная территория Тунгиро-Олёкминского муниципального района, находящаяся вне границ сельских поселений, с расположенными на этой территории с Моклакан, с Средняя Олёкма, с Гуля</t>
  </si>
  <si>
    <t>76642701</t>
  </si>
  <si>
    <t>273</t>
  </si>
  <si>
    <t>274</t>
  </si>
  <si>
    <t>Тупикское</t>
  </si>
  <si>
    <t>76642401</t>
  </si>
  <si>
    <t>275</t>
  </si>
  <si>
    <t>Тунгокоченский муниципальный округ</t>
  </si>
  <si>
    <t>76544000</t>
  </si>
  <si>
    <t>276</t>
  </si>
  <si>
    <t>Улётовский муниципальный округ</t>
  </si>
  <si>
    <t>76546000</t>
  </si>
  <si>
    <t>277</t>
  </si>
  <si>
    <t>Улётовский муниципальный район</t>
  </si>
  <si>
    <t>76646000</t>
  </si>
  <si>
    <t>Аблатуйское</t>
  </si>
  <si>
    <t>76646402</t>
  </si>
  <si>
    <t>278</t>
  </si>
  <si>
    <t>Артинское</t>
  </si>
  <si>
    <t>76646405</t>
  </si>
  <si>
    <t>279</t>
  </si>
  <si>
    <t>Горекацанское</t>
  </si>
  <si>
    <t>76646415</t>
  </si>
  <si>
    <t>280</t>
  </si>
  <si>
    <t>Доронинское</t>
  </si>
  <si>
    <t>76646420</t>
  </si>
  <si>
    <t>281</t>
  </si>
  <si>
    <t>Дровянинское</t>
  </si>
  <si>
    <t>76646153</t>
  </si>
  <si>
    <t>282</t>
  </si>
  <si>
    <t>Ленинское</t>
  </si>
  <si>
    <t>76646425</t>
  </si>
  <si>
    <t>283</t>
  </si>
  <si>
    <t>Николаевское</t>
  </si>
  <si>
    <t>76646430</t>
  </si>
  <si>
    <t>284</t>
  </si>
  <si>
    <t>Тангинское</t>
  </si>
  <si>
    <t>76646440</t>
  </si>
  <si>
    <t>285</t>
  </si>
  <si>
    <t>286</t>
  </si>
  <si>
    <t>Улетовское</t>
  </si>
  <si>
    <t>76646450</t>
  </si>
  <si>
    <t>287</t>
  </si>
  <si>
    <t>Хадактинское</t>
  </si>
  <si>
    <t>76646455</t>
  </si>
  <si>
    <t>288</t>
  </si>
  <si>
    <t>Хилокский муниципальный округ</t>
  </si>
  <si>
    <t>76547000</t>
  </si>
  <si>
    <t>289</t>
  </si>
  <si>
    <t>Хилокский муниципальный район</t>
  </si>
  <si>
    <t>76647000</t>
  </si>
  <si>
    <t>Бадинское</t>
  </si>
  <si>
    <t>76647405</t>
  </si>
  <si>
    <t>290</t>
  </si>
  <si>
    <t>Глинкинское</t>
  </si>
  <si>
    <t>76647410</t>
  </si>
  <si>
    <t>291</t>
  </si>
  <si>
    <t>Жипхегенское</t>
  </si>
  <si>
    <t>76647415</t>
  </si>
  <si>
    <t>292</t>
  </si>
  <si>
    <t>Закультинское</t>
  </si>
  <si>
    <t>76647420</t>
  </si>
  <si>
    <t>293</t>
  </si>
  <si>
    <t>Линево-Озёрское</t>
  </si>
  <si>
    <t>76647430</t>
  </si>
  <si>
    <t>294</t>
  </si>
  <si>
    <t>Могзонское</t>
  </si>
  <si>
    <t>76647154</t>
  </si>
  <si>
    <t>295</t>
  </si>
  <si>
    <t>Укурикское</t>
  </si>
  <si>
    <t>76647436</t>
  </si>
  <si>
    <t>296</t>
  </si>
  <si>
    <t>Харагунское</t>
  </si>
  <si>
    <t>76647440</t>
  </si>
  <si>
    <t>297</t>
  </si>
  <si>
    <t>Хилогосонское</t>
  </si>
  <si>
    <t>76647442</t>
  </si>
  <si>
    <t>298</t>
  </si>
  <si>
    <t>299</t>
  </si>
  <si>
    <t>Хилокское</t>
  </si>
  <si>
    <t>76647101</t>
  </si>
  <si>
    <t>300</t>
  </si>
  <si>
    <t>Хушенгинское</t>
  </si>
  <si>
    <t>76647445</t>
  </si>
  <si>
    <t>301</t>
  </si>
  <si>
    <t>Энгорокское</t>
  </si>
  <si>
    <t>76647450</t>
  </si>
  <si>
    <t>302</t>
  </si>
  <si>
    <t>Чернышевский муниципальный округ</t>
  </si>
  <si>
    <t>76548000</t>
  </si>
  <si>
    <t>303</t>
  </si>
  <si>
    <t>Чернышевский муниципальный район</t>
  </si>
  <si>
    <t>76648000</t>
  </si>
  <si>
    <t>Аксеново-Зиловское</t>
  </si>
  <si>
    <t>76648154</t>
  </si>
  <si>
    <t>304</t>
  </si>
  <si>
    <t>Алеурское</t>
  </si>
  <si>
    <t>76648405</t>
  </si>
  <si>
    <t>305</t>
  </si>
  <si>
    <t>Байгульское</t>
  </si>
  <si>
    <t>76648410</t>
  </si>
  <si>
    <t>306</t>
  </si>
  <si>
    <t>Букачачинское</t>
  </si>
  <si>
    <t>76648156</t>
  </si>
  <si>
    <t>307</t>
  </si>
  <si>
    <t>Бушулейское</t>
  </si>
  <si>
    <t>76648420</t>
  </si>
  <si>
    <t>308</t>
  </si>
  <si>
    <t>Гаурское</t>
  </si>
  <si>
    <t>76648425</t>
  </si>
  <si>
    <t>309</t>
  </si>
  <si>
    <t>Жирекенское</t>
  </si>
  <si>
    <t>76648158</t>
  </si>
  <si>
    <t>310</t>
  </si>
  <si>
    <t>Икшицкое</t>
  </si>
  <si>
    <t>76648430</t>
  </si>
  <si>
    <t>311</t>
  </si>
  <si>
    <t>Комсомольское</t>
  </si>
  <si>
    <t>76648432</t>
  </si>
  <si>
    <t>312</t>
  </si>
  <si>
    <t>Курлыченское</t>
  </si>
  <si>
    <t>76648433</t>
  </si>
  <si>
    <t>313</t>
  </si>
  <si>
    <t>Мильгидунское</t>
  </si>
  <si>
    <t>76648435</t>
  </si>
  <si>
    <t>314</t>
  </si>
  <si>
    <t>Новоильинское</t>
  </si>
  <si>
    <t>76648440</t>
  </si>
  <si>
    <t>315</t>
  </si>
  <si>
    <t>Новооловское</t>
  </si>
  <si>
    <t>76648445</t>
  </si>
  <si>
    <t>316</t>
  </si>
  <si>
    <t>Старооловское</t>
  </si>
  <si>
    <t>76648450</t>
  </si>
  <si>
    <t>317</t>
  </si>
  <si>
    <t>Укурейское</t>
  </si>
  <si>
    <t>76648455</t>
  </si>
  <si>
    <t>318</t>
  </si>
  <si>
    <t>Урюмское</t>
  </si>
  <si>
    <t>76648460</t>
  </si>
  <si>
    <t>319</t>
  </si>
  <si>
    <t>Утанское</t>
  </si>
  <si>
    <t>76648470</t>
  </si>
  <si>
    <t>320</t>
  </si>
  <si>
    <t>321</t>
  </si>
  <si>
    <t>Чернышевское</t>
  </si>
  <si>
    <t>76648151</t>
  </si>
  <si>
    <t>322</t>
  </si>
  <si>
    <t>Читинский муниципальный округ</t>
  </si>
  <si>
    <t>76550000</t>
  </si>
  <si>
    <t>323</t>
  </si>
  <si>
    <t>Читинский муниципальный район</t>
  </si>
  <si>
    <t>76650000</t>
  </si>
  <si>
    <t>Александровское</t>
  </si>
  <si>
    <t>76650405</t>
  </si>
  <si>
    <t>324</t>
  </si>
  <si>
    <t>Арахлейское</t>
  </si>
  <si>
    <t>76650485</t>
  </si>
  <si>
    <t>325</t>
  </si>
  <si>
    <t>Атамановское</t>
  </si>
  <si>
    <t>76650154</t>
  </si>
  <si>
    <t>326</t>
  </si>
  <si>
    <t>Беклемишевское</t>
  </si>
  <si>
    <t>76650410</t>
  </si>
  <si>
    <t>327</t>
  </si>
  <si>
    <t>Верх-Читинское</t>
  </si>
  <si>
    <t>76650415</t>
  </si>
  <si>
    <t>328</t>
  </si>
  <si>
    <t>Домнинское</t>
  </si>
  <si>
    <t>76650420</t>
  </si>
  <si>
    <t>329</t>
  </si>
  <si>
    <t>Елизаветинское</t>
  </si>
  <si>
    <t>76650425</t>
  </si>
  <si>
    <t>330</t>
  </si>
  <si>
    <t>Засопкинское</t>
  </si>
  <si>
    <t>76650430</t>
  </si>
  <si>
    <t>331</t>
  </si>
  <si>
    <t>Ингодинское</t>
  </si>
  <si>
    <t>76650435</t>
  </si>
  <si>
    <t>332</t>
  </si>
  <si>
    <t>Колочнинское</t>
  </si>
  <si>
    <t>76650440</t>
  </si>
  <si>
    <t>333</t>
  </si>
  <si>
    <t>76650445</t>
  </si>
  <si>
    <t>334</t>
  </si>
  <si>
    <t>Леснинское</t>
  </si>
  <si>
    <t>76650450</t>
  </si>
  <si>
    <t>335</t>
  </si>
  <si>
    <t>Маккавеевское</t>
  </si>
  <si>
    <t>76650455</t>
  </si>
  <si>
    <t>336</t>
  </si>
  <si>
    <t>Новокручининское</t>
  </si>
  <si>
    <t>76650158</t>
  </si>
  <si>
    <t>337</t>
  </si>
  <si>
    <t>Новокукинское</t>
  </si>
  <si>
    <t>76650460</t>
  </si>
  <si>
    <t>338</t>
  </si>
  <si>
    <t>Новотроицкое</t>
  </si>
  <si>
    <t>76650465</t>
  </si>
  <si>
    <t>339</t>
  </si>
  <si>
    <t>Оленгуйское</t>
  </si>
  <si>
    <t>76650470</t>
  </si>
  <si>
    <t>340</t>
  </si>
  <si>
    <t>Сивяковское</t>
  </si>
  <si>
    <t>76650473</t>
  </si>
  <si>
    <t>341</t>
  </si>
  <si>
    <t>Смоленское</t>
  </si>
  <si>
    <t>76650475</t>
  </si>
  <si>
    <t>342</t>
  </si>
  <si>
    <t>Сохондинское</t>
  </si>
  <si>
    <t>76650480</t>
  </si>
  <si>
    <t>343</t>
  </si>
  <si>
    <t>Угданское</t>
  </si>
  <si>
    <t>76650487</t>
  </si>
  <si>
    <t>344</t>
  </si>
  <si>
    <t>345</t>
  </si>
  <si>
    <t>Шишкинское</t>
  </si>
  <si>
    <t>76650490</t>
  </si>
  <si>
    <t>346</t>
  </si>
  <si>
    <t>Яблоновское</t>
  </si>
  <si>
    <t>76650495</t>
  </si>
  <si>
    <t>347</t>
  </si>
  <si>
    <t>Шелопугинский муниципальный округ</t>
  </si>
  <si>
    <t>76552000</t>
  </si>
  <si>
    <t>348</t>
  </si>
  <si>
    <t>Шелопугинский муниципальный район</t>
  </si>
  <si>
    <t>76652000</t>
  </si>
  <si>
    <t>Вершино-Шахтаминское</t>
  </si>
  <si>
    <t>76652410</t>
  </si>
  <si>
    <t>349</t>
  </si>
  <si>
    <t>Глинянское</t>
  </si>
  <si>
    <t>76652425</t>
  </si>
  <si>
    <t>350</t>
  </si>
  <si>
    <t>Копунское</t>
  </si>
  <si>
    <t>76652435</t>
  </si>
  <si>
    <t>351</t>
  </si>
  <si>
    <t>Мало-Тонтойское</t>
  </si>
  <si>
    <t>76652460</t>
  </si>
  <si>
    <t>352</t>
  </si>
  <si>
    <t>Мироновское</t>
  </si>
  <si>
    <t>76652440</t>
  </si>
  <si>
    <t>353</t>
  </si>
  <si>
    <t>Нижне-Шахтаминское</t>
  </si>
  <si>
    <t>76652445</t>
  </si>
  <si>
    <t>354</t>
  </si>
  <si>
    <t>355</t>
  </si>
  <si>
    <t>Шелопугинское</t>
  </si>
  <si>
    <t>76652475</t>
  </si>
  <si>
    <t>356</t>
  </si>
  <si>
    <t>76652480</t>
  </si>
  <si>
    <t>357</t>
  </si>
  <si>
    <t>Шилкинский муниципальный район</t>
  </si>
  <si>
    <t>76654000</t>
  </si>
  <si>
    <t>Богомягковское</t>
  </si>
  <si>
    <t>76654405</t>
  </si>
  <si>
    <t>358</t>
  </si>
  <si>
    <t>Верхнехилинское</t>
  </si>
  <si>
    <t>76654410</t>
  </si>
  <si>
    <t>359</t>
  </si>
  <si>
    <t>Галкинское</t>
  </si>
  <si>
    <t>76654415</t>
  </si>
  <si>
    <t>360</t>
  </si>
  <si>
    <t>Казановское</t>
  </si>
  <si>
    <t>76654420</t>
  </si>
  <si>
    <t>361</t>
  </si>
  <si>
    <t>Мирсановское</t>
  </si>
  <si>
    <t>76654425</t>
  </si>
  <si>
    <t>362</t>
  </si>
  <si>
    <t>Новоберёзовское</t>
  </si>
  <si>
    <t>76654435</t>
  </si>
  <si>
    <t>363</t>
  </si>
  <si>
    <t>Номоконовское</t>
  </si>
  <si>
    <t>76654440</t>
  </si>
  <si>
    <t>364</t>
  </si>
  <si>
    <t>76654445</t>
  </si>
  <si>
    <t>365</t>
  </si>
  <si>
    <t>Первомайское</t>
  </si>
  <si>
    <t>76654158</t>
  </si>
  <si>
    <t>366</t>
  </si>
  <si>
    <t>Размахнинское</t>
  </si>
  <si>
    <t>76654450</t>
  </si>
  <si>
    <t>367</t>
  </si>
  <si>
    <t>Усть-Теленгуйское</t>
  </si>
  <si>
    <t>76654455</t>
  </si>
  <si>
    <t>368</t>
  </si>
  <si>
    <t>Холбонское</t>
  </si>
  <si>
    <t>76654164</t>
  </si>
  <si>
    <t>369</t>
  </si>
  <si>
    <t>Чиронское</t>
  </si>
  <si>
    <t>76654460</t>
  </si>
  <si>
    <t>370</t>
  </si>
  <si>
    <t>371</t>
  </si>
  <si>
    <t>Шилкинское</t>
  </si>
  <si>
    <t>76654101</t>
  </si>
  <si>
    <t>372</t>
  </si>
  <si>
    <t>NUMBER_POINT</t>
  </si>
  <si>
    <t>INVP_NAME</t>
  </si>
  <si>
    <t>INVP_ID</t>
  </si>
  <si>
    <t>L_START_DATE</t>
  </si>
  <si>
    <t>L_END_DATE</t>
  </si>
  <si>
    <t>L_DECISION_NAME</t>
  </si>
  <si>
    <t>L_DECISION_TYPE</t>
  </si>
  <si>
    <t>L_DECISION_NMBR</t>
  </si>
  <si>
    <t>L_DECISION_DATE</t>
  </si>
  <si>
    <t>7547824192</t>
  </si>
  <si>
    <t>Об утверждении инвестиционной программы ПАО "ТГК-14», осуществляющего регулируемые виды деятельности на территории Забайкальского края в сфере теплоснабжения, на 2024-2028 годы</t>
  </si>
  <si>
    <t>Инвестиционная программа № 227-НПА от 30.10.2025 ООО "ТРС" в сфере теплоснабжения по модернизации и реконструкции котельных, на территории муниципального округа Читинский на 2026-2032 годы</t>
  </si>
  <si>
    <t>01.01.2026</t>
  </si>
  <si>
    <t>31.12.2032</t>
  </si>
  <si>
    <t>Инвестиционная программа № 528-НПА от 17.12.2025 ООО "ИСТОК" в сфере теплоснабжения по модернизации и реконструкции объектов, на территории муниципального округа Агинский на 2026-2030 годы</t>
  </si>
  <si>
    <t>31.12.2030</t>
  </si>
  <si>
    <t>Инвестиционная программа № 543 от 18.12.2025 АО "ЧИТАЭНЕРГОСБЫТ" в сфере теплоснабжения по модернизации и реконструкции объектов, на территории п.ст Даурия, Забайкальский муниципальный округ, Забайкальский муниципальный округ на 2026-2031 годы</t>
  </si>
  <si>
    <t>31.12.2031</t>
  </si>
  <si>
    <t>Инвестиционная программа № 545-НПА от 18.12.2025 АО "ЧИТАЭНЕРГОСБЫТ" в сфере теплоснабжения по модернизации и реконструкции систем коммунальной инфраструктуры, на территории п.ст Билитуй, Забайкальский муниципальный округ, Забайкальский муниципальный округ на 2026-2031 годы</t>
  </si>
  <si>
    <t>31.01.2031</t>
  </si>
  <si>
    <t>4546106072</t>
  </si>
  <si>
    <t>Об утверждении инвестиционной программы ПАО "Территориальная генерирующая компания № 14" в сфере теплоснабжения на 2019 - 2028 годы по объектам муниципального имущества (котельные с тепловыми сетями) г. Читы, включенным в Концессионное соглашение</t>
  </si>
  <si>
    <t>Инвестиционная программа от 30.10.2025 ПАО "ТГК-14" в сфере теплоснабжения по реконструкции и модернизации существующих объектов систем теплоснабжения, на территории муниципального округа Борзинский на 2026-2030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</si>
  <si>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</si>
  <si>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</si>
  <si>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</si>
  <si>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</si>
  <si>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</si>
  <si>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</si>
  <si>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</si>
  <si>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</si>
  <si>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</si>
  <si>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</si>
  <si>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</si>
  <si>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</si>
  <si>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</si>
  <si>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</si>
  <si>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</si>
  <si>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</si>
  <si>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</si>
  <si>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</si>
  <si>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</si>
  <si>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</si>
  <si>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</si>
  <si>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</si>
  <si>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</si>
  <si>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</si>
  <si>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</si>
  <si>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</si>
  <si>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</si>
  <si>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</si>
  <si>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</si>
  <si>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</si>
  <si>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</si>
  <si>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</si>
  <si>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частная собственность</t>
  </si>
  <si>
    <t>собственное имущество</t>
  </si>
  <si>
    <t>эксплуатируется</t>
  </si>
  <si>
    <t>свидетельство</t>
  </si>
  <si>
    <t>собственность</t>
  </si>
  <si>
    <t>75АБ169438</t>
  </si>
  <si>
    <t>12.01.2007</t>
  </si>
  <si>
    <t>https://portal.eias.ru/Portal/DownloadPage.aspx?type=12&amp;guid=91a0ca53-c950-4893-a5b0-0ec23ce4960b</t>
  </si>
  <si>
    <t>35.164011</t>
  </si>
  <si>
    <t>[Уголь бурый] :: [Мазут М-100]</t>
  </si>
  <si>
    <t>35.335168</t>
  </si>
  <si>
    <t>Котельная Антипиха</t>
  </si>
  <si>
    <t>Каларская</t>
  </si>
  <si>
    <t>муниципальное имущество</t>
  </si>
  <si>
    <t>концессионное соглашение</t>
  </si>
  <si>
    <t>соглашение</t>
  </si>
  <si>
    <t>АУ-799-19</t>
  </si>
  <si>
    <t>01.02.2019</t>
  </si>
  <si>
    <t>https://portal.eias.ru/Portal/DownloadPage.aspx?type=12&amp;guid=32569386-6d7c-42e8-b7ce-f171783ccbbf</t>
  </si>
  <si>
    <t>4.565679</t>
  </si>
  <si>
    <t>[Уголь бурый]</t>
  </si>
  <si>
    <t>6.4</t>
  </si>
  <si>
    <t>4.559578</t>
  </si>
  <si>
    <t>Котельная Гайдара-5</t>
  </si>
  <si>
    <t>Гайдара</t>
  </si>
  <si>
    <t>3 "в"</t>
  </si>
  <si>
    <t>7.09</t>
  </si>
  <si>
    <t>5.455201</t>
  </si>
  <si>
    <t>8.0116595013</t>
  </si>
  <si>
    <t>5.456535</t>
  </si>
  <si>
    <t>.518</t>
  </si>
  <si>
    <t>.163772</t>
  </si>
  <si>
    <t>.164</t>
  </si>
  <si>
    <t>Котельная Каларская</t>
  </si>
  <si>
    <t>7 "а"</t>
  </si>
  <si>
    <t>1.387</t>
  </si>
  <si>
    <t>.590444</t>
  </si>
  <si>
    <t>.589948</t>
  </si>
  <si>
    <t>1.312</t>
  </si>
  <si>
    <t>.368344</t>
  </si>
  <si>
    <t>2.192</t>
  </si>
  <si>
    <t>.660883</t>
  </si>
  <si>
    <t>3.295919</t>
  </si>
  <si>
    <t>3.297</t>
  </si>
  <si>
    <t>3.324177</t>
  </si>
  <si>
    <t>4.52652</t>
  </si>
  <si>
    <t>4.605458</t>
  </si>
  <si>
    <t>Котельная Песчанка</t>
  </si>
  <si>
    <t>п. Песчанка, ул. Дивизионная</t>
  </si>
  <si>
    <t>5, стр. 1</t>
  </si>
  <si>
    <t>17.2</t>
  </si>
  <si>
    <t>13.666593</t>
  </si>
  <si>
    <t>14.040679</t>
  </si>
  <si>
    <t>4.14</t>
  </si>
  <si>
    <t>2.138063</t>
  </si>
  <si>
    <t>2.085015</t>
  </si>
  <si>
    <t>.673</t>
  </si>
  <si>
    <t>.074363</t>
  </si>
  <si>
    <t>.074</t>
  </si>
  <si>
    <t>13.372945</t>
  </si>
  <si>
    <t>13.342997</t>
  </si>
  <si>
    <t>1.768</t>
  </si>
  <si>
    <t>.571238</t>
  </si>
  <si>
    <t>.567641</t>
  </si>
  <si>
    <t>.568</t>
  </si>
  <si>
    <t>Котельная р.Кадала</t>
  </si>
  <si>
    <t>Абаканская</t>
  </si>
  <si>
    <t>3.048</t>
  </si>
  <si>
    <t>1.138748</t>
  </si>
  <si>
    <t>1.139</t>
  </si>
  <si>
    <t>1.127721</t>
  </si>
  <si>
    <t>аренда</t>
  </si>
  <si>
    <t>договор</t>
  </si>
  <si>
    <t>ЧЭК-2182-18</t>
  </si>
  <si>
    <t>20.12.2018</t>
  </si>
  <si>
    <t>https://portal.eias.ru/Portal/DownloadPage.aspx?type=12&amp;guid=f79d3cab-a76d-47f3-be3e-cef2f486a557</t>
  </si>
  <si>
    <t>.01</t>
  </si>
  <si>
    <t>75АБ190027</t>
  </si>
  <si>
    <t>01.11.2006</t>
  </si>
  <si>
    <t>1072</t>
  </si>
  <si>
    <t>1064.304472</t>
  </si>
  <si>
    <t>1034.070994</t>
  </si>
  <si>
    <t>75АБ190035</t>
  </si>
  <si>
    <t>233.4</t>
  </si>
  <si>
    <t>240.661658</t>
  </si>
  <si>
    <t>[Уголь бурый] :: [Дизельное топливо З (зимнее)] :: [Дизельное топливо Л (летнее)]</t>
  </si>
  <si>
    <t>239.700383</t>
  </si>
  <si>
    <t>27.1</t>
  </si>
  <si>
    <t>17.267056</t>
  </si>
  <si>
    <t>[Уголь бурый] :: [Дизельное топливо З (зимнее)]</t>
  </si>
  <si>
    <t>16.97607</t>
  </si>
  <si>
    <t>сети от ЧТЭЦ-2</t>
  </si>
  <si>
    <t>75АБ164340</t>
  </si>
  <si>
    <t>15.01.2007</t>
  </si>
  <si>
    <t>36.598722</t>
  </si>
  <si>
    <t>36.200733</t>
  </si>
  <si>
    <t>36.2</t>
  </si>
  <si>
    <t>TER_NAME</t>
  </si>
  <si>
    <t>Территория 1</t>
  </si>
  <si>
    <t>Территория 2</t>
  </si>
  <si>
    <t>Территория 3</t>
  </si>
  <si>
    <t>ID_TARIFF_NAME</t>
  </si>
  <si>
    <t>TARIFF_NAME</t>
  </si>
  <si>
    <t>VED_NAME</t>
  </si>
  <si>
    <t>4190064</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</si>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</sst>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04" formatCode="_-* #,##0.00\ _₽_-;\-* #,##0.00\ _₽_-;_-* &quot;-&quot;??\ _₽_-;_-@_-"/>
    <numFmt numFmtId="205" formatCode="_-* #,##0\ _₽_-;\-* #,##0\ _₽_-;_-* &quot;-&quot;\ _₽_-;_-@_-"/>
    <numFmt numFmtId="206" formatCode="_-* #,##0.00\ &quot;₽&quot;_-;\-* #,##0.00\ &quot;₽&quot;_-;_-* &quot;-&quot;??\ &quot;₽&quot;_-;_-@_-"/>
    <numFmt numFmtId="207" formatCode="_-* #,##0\ &quot;₽&quot;_-;\-* #,##0\ &quot;₽&quot;_-;_-* &quot;-&quot;\ &quot;₽&quot;_-;_-@_-"/>
    <numFmt numFmtId="208" formatCode="_-* #,##0.00[$€-1]_-;\-* #,##0.00[$€-1]_-;_-* &quot;-&quot;??[$€-1]_-"/>
    <numFmt numFmtId="209" formatCode="#,##0.0"/>
    <numFmt numFmtId="210" formatCode="#,##0.000"/>
    <numFmt numFmtId="211" formatCode="#,##0.0000"/>
    <numFmt numFmtId="212" formatCode="dd\.mm\.yyyy"/>
    <numFmt numFmtId="213" formatCode="000000"/>
    <numFmt numFmtId="214"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04" fontId="6" fillId="0" borderId="0" applyFont="0" applyFill="0" applyBorder="0" applyNumberFormat="1">
      <alignment vertical="top"/>
    </xf>
    <xf numFmtId="205" fontId="6" fillId="0" borderId="0" applyFont="0" applyFill="0" applyBorder="0" applyNumberFormat="1">
      <alignment vertical="top"/>
    </xf>
    <xf numFmtId="206" fontId="6" fillId="0" borderId="0" applyFont="0" applyFill="0" applyBorder="0" applyNumberFormat="1">
      <alignment vertical="top"/>
    </xf>
    <xf numFmtId="20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08" fontId="20" fillId="0" borderId="0" applyFont="1" applyFill="0" applyBorder="0" applyNumberFormat="1"/>
    <xf numFmtId="38" fontId="21" fillId="0" borderId="0" applyFont="1" applyFill="0" applyBorder="0" applyNumberFormat="1">
      <alignment vertical="top"/>
    </xf>
    <xf numFmtId="209" fontId="22" fillId="33" borderId="0" applyFont="1" applyFill="1" applyBorder="0" applyNumberFormat="1">
      <protection locked="0"/>
    </xf>
    <xf numFmtId="0" fontId="23" fillId="0" borderId="0" applyFont="1" applyFill="0" applyBorder="0">
      <alignment vertical="center"/>
    </xf>
    <xf numFmtId="210" fontId="22" fillId="33" borderId="0" applyFont="1" applyFill="1" applyBorder="0" applyNumberFormat="1">
      <protection locked="0"/>
    </xf>
    <xf numFmtId="21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868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4" fontId="6" fillId="0" borderId="0" xfId="28" applyFont="0" applyNumberFormat="1">
      <alignment vertical="top"/>
    </xf>
    <xf numFmtId="205" fontId="6" fillId="0" borderId="0" xfId="29" applyFont="0" applyNumberFormat="1">
      <alignment vertical="top"/>
    </xf>
    <xf numFmtId="206" fontId="6" fillId="0" borderId="0" xfId="30" applyFont="0" applyNumberFormat="1">
      <alignment vertical="top"/>
    </xf>
    <xf numFmtId="207"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08" fontId="20" fillId="0" borderId="0" xfId="49" applyFont="1" applyNumberFormat="1"/>
    <xf numFmtId="38" fontId="21" fillId="0" borderId="0" xfId="50" applyFont="1" applyNumberFormat="1">
      <alignment vertical="top"/>
    </xf>
    <xf numFmtId="209" fontId="22" fillId="33" borderId="0" xfId="51" applyFont="1" applyFill="1" applyNumberFormat="1">
      <protection locked="0"/>
    </xf>
    <xf numFmtId="0" fontId="23" fillId="0" borderId="0" xfId="52" applyFont="1">
      <alignment vertical="center"/>
    </xf>
    <xf numFmtId="210" fontId="22" fillId="33" borderId="0" xfId="53" applyFont="1" applyFill="1" applyNumberFormat="1">
      <protection locked="0"/>
    </xf>
    <xf numFmtId="21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204" fontId="31" fillId="0" borderId="0" xfId="28" applyFont="1" applyNumberFormat="1">
      <alignment vertical="top"/>
    </xf>
    <xf numFmtId="205" fontId="31" fillId="0" borderId="0" xfId="29" applyFont="1" applyNumberFormat="1">
      <alignment vertical="top"/>
    </xf>
    <xf numFmtId="206" fontId="31" fillId="0" borderId="0" xfId="30" applyFont="1" applyNumberFormat="1">
      <alignment vertical="top"/>
    </xf>
    <xf numFmtId="207"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4" fontId="31" fillId="0" borderId="0" xfId="28" applyFont="1" applyNumberFormat="1">
      <alignment vertical="top"/>
    </xf>
    <xf numFmtId="205" fontId="31" fillId="0" borderId="0" xfId="29" applyFont="1" applyNumberFormat="1">
      <alignment vertical="top"/>
    </xf>
    <xf numFmtId="206" fontId="31" fillId="0" borderId="0" xfId="30" applyFont="1" applyNumberFormat="1">
      <alignment vertical="top"/>
    </xf>
    <xf numFmtId="207"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4" fontId="31" fillId="0" borderId="0" xfId="28" applyFont="1" applyNumberFormat="1">
      <alignment vertical="top"/>
    </xf>
    <xf numFmtId="205" fontId="31" fillId="0" borderId="0" xfId="29" applyFont="1" applyNumberFormat="1">
      <alignment vertical="top"/>
    </xf>
    <xf numFmtId="206" fontId="31" fillId="0" borderId="0" xfId="30" applyFont="1" applyNumberFormat="1">
      <alignment vertical="top"/>
    </xf>
    <xf numFmtId="207"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213"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1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11"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211"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211"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13"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11"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11" fontId="22" fillId="39" borderId="13" xfId="0" applyFont="1" applyFill="1" applyBorder="1" applyNumberFormat="1">
      <alignment horizontal="right" vertical="center" wrapText="1"/>
      <protection locked="0"/>
    </xf>
    <xf numFmtId="21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10"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10"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10"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210" fontId="48" fillId="0" borderId="12" xfId="0" applyFont="1" applyBorder="1" applyNumberFormat="1">
      <alignment horizontal="right" vertical="center" wrapText="1"/>
    </xf>
    <xf numFmtId="210"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210"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1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13"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213"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12" fontId="0" fillId="39" borderId="12" xfId="0" applyFont="1" applyFill="1" applyBorder="1" applyNumberFormat="1">
      <alignment horizontal="left" vertical="center" wrapText="1" indent="1"/>
      <protection locked="0"/>
    </xf>
    <xf numFmtId="212" fontId="0" fillId="0" borderId="12" xfId="0" applyFont="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212" fontId="48" fillId="0" borderId="0" xfId="0" applyFont="1" applyNumberFormat="1">
      <alignment horizontal="center" vertical="center" wrapText="1"/>
    </xf>
    <xf numFmtId="212" fontId="48" fillId="0" borderId="12" xfId="0" applyFont="1" applyBorder="1" applyNumberFormat="1">
      <alignment horizontal="center" vertical="center" wrapText="1"/>
    </xf>
    <xf numFmtId="212" fontId="0" fillId="39" borderId="12" xfId="0" applyFont="1" applyFill="1" applyBorder="1" applyNumberFormat="1">
      <alignment horizontal="left" vertical="center" wrapText="1"/>
      <protection locked="0"/>
    </xf>
    <xf numFmtId="212" fontId="0" fillId="36" borderId="12" xfId="0" applyFont="1" applyFill="1" applyBorder="1" applyNumberFormat="1">
      <alignment horizontal="left" vertical="center" wrapText="1" indent="1"/>
      <protection locked="0"/>
    </xf>
    <xf numFmtId="21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12" fontId="0" fillId="39" borderId="14" xfId="0" applyFont="1" applyFill="1" applyBorder="1" applyNumberFormat="1">
      <alignment horizontal="left" vertical="center" wrapText="1"/>
      <protection locked="0"/>
    </xf>
    <xf numFmtId="21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213"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213"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13" fontId="45" fillId="0" borderId="19" xfId="0" applyFont="1" applyBorder="1" applyNumberFormat="1">
      <alignment horizontal="center" vertical="center" wrapText="1"/>
    </xf>
    <xf numFmtId="213" fontId="45" fillId="0" borderId="20" xfId="0" applyFont="1" applyBorder="1" applyNumberFormat="1">
      <alignment horizontal="center" vertical="center" wrapText="1"/>
    </xf>
    <xf numFmtId="214" fontId="22" fillId="39" borderId="12" xfId="0" applyFont="1" applyFill="1" applyBorder="1" applyNumberFormat="1">
      <alignment horizontal="left" vertical="center" wrapText="1" indent="1"/>
      <protection locked="0"/>
    </xf>
    <xf numFmtId="21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21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1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10"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211"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12" fontId="22" fillId="34" borderId="12" xfId="0" applyFont="1" applyFill="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1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21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21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13" fontId="22" fillId="0" borderId="17" xfId="0" applyFont="1" applyBorder="1" applyNumberFormat="1">
      <alignment horizontal="center" vertical="center" wrapText="1"/>
    </xf>
    <xf numFmtId="213" fontId="22" fillId="0" borderId="23"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5" xfId="0" applyFont="1" applyBorder="1" applyNumberFormat="1">
      <alignment horizontal="center" vertical="center" wrapText="1"/>
    </xf>
    <xf numFmtId="21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13" fontId="22" fillId="0" borderId="36" xfId="0" applyFont="1" applyBorder="1" applyNumberFormat="1">
      <alignment horizontal="center" vertical="center" wrapText="1"/>
    </xf>
    <xf numFmtId="213" fontId="22" fillId="0" borderId="12" xfId="0" applyFont="1" applyBorder="1" applyNumberFormat="1">
      <alignment horizontal="center" vertical="center" wrapText="1"/>
    </xf>
    <xf numFmtId="213"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1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1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12"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12"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12"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12"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0" fontId="22" fillId="36" borderId="12" xfId="0" applyFont="1" applyFill="1" applyBorder="1" applyNumberFormat="1">
      <alignment horizontal="right" vertical="center" wrapText="1"/>
      <protection locked="0"/>
    </xf>
    <xf numFmtId="212"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0" fontId="47" fillId="0" borderId="12" xfId="0" applyFont="1" applyBorder="1" applyNumberFormat="1">
      <alignment horizontal="right" vertical="center" wrapText="1"/>
    </xf>
    <xf numFmtId="21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1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1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10"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10" fontId="22" fillId="36" borderId="23" xfId="0" applyFont="1" applyFill="1" applyBorder="1" applyNumberFormat="1">
      <alignment horizontal="right" vertical="center" wrapText="1"/>
      <protection locked="0"/>
    </xf>
    <xf numFmtId="21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1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1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1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10" fontId="48" fillId="0" borderId="12" xfId="0" applyFont="1" applyBorder="1" applyNumberFormat="1">
      <alignment horizontal="right" vertical="center" wrapText="1"/>
    </xf>
    <xf numFmtId="21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1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11"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1"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11"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11" fontId="22" fillId="34" borderId="13" xfId="0" applyFont="1" applyFill="1" applyBorder="1" applyNumberFormat="1">
      <alignment horizontal="right" vertical="center" wrapText="1"/>
    </xf>
    <xf numFmtId="211"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11"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49" fontId="22" fillId="0" borderId="0" xfId="0" applyFont="1" applyNumberFormat="1">
      <alignment horizontal="center" vertical="center" wrapText="1"/>
    </xf>
    <xf numFmtId="49" fontId="0" fillId="0" borderId="12" xfId="0" applyFont="1" applyBorder="1" applyNumberFormat="1">
      <alignment horizontal="left" vertical="center" wrapText="1"/>
    </xf>
    <xf numFmtId="0" fontId="22" fillId="0" borderId="13" xfId="0" applyFont="1" applyBorder="1">
      <alignment horizontal="center"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49" fontId="0"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211" fontId="22" fillId="0" borderId="12" xfId="0" applyFont="1" applyBorder="1" applyNumberFormat="1">
      <alignment horizontal="right" vertical="center"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8"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1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4"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0" fontId="0" fillId="36" borderId="12" xfId="0" applyFont="1" applyFill="1" applyBorder="1">
      <alignment horizontal="left" vertical="center" wrapText="1" indent="2"/>
      <protection locked="0"/>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12"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12" fontId="0" fillId="39" borderId="13" xfId="0" applyFont="1" applyFill="1" applyBorder="1" applyNumberFormat="1">
      <alignment horizontal="left" vertical="center" wrapText="1"/>
      <protection locked="0"/>
    </xf>
    <xf numFmtId="212"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0" fillId="56" borderId="0" xfId="0" applyFont="1" applyFill="1" applyNumberFormat="1">
      <alignment vertical="center" wrapText="1"/>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13" fontId="22" fillId="0" borderId="37" xfId="0" applyFont="1" applyBorder="1" applyNumberFormat="1">
      <alignment horizontal="center" vertical="center" wrapText="1"/>
    </xf>
    <xf numFmtId="21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12" fontId="0" fillId="39" borderId="15" xfId="0" applyFont="1" applyFill="1" applyBorder="1" applyNumberFormat="1">
      <alignment horizontal="left" vertical="center" wrapText="1" indent="1"/>
      <protection locked="0"/>
    </xf>
    <xf numFmtId="214" fontId="22" fillId="39" borderId="12" xfId="0" applyFont="1" applyFill="1" applyBorder="1" applyNumberFormat="1">
      <alignment horizontal="left" vertical="center" wrapText="1" indent="1"/>
      <protection locked="0"/>
    </xf>
    <xf numFmtId="212" fontId="48" fillId="0" borderId="0" xfId="0" applyFont="1" applyNumberFormat="1">
      <alignment horizontal="center" vertical="center" wrapText="1"/>
    </xf>
    <xf numFmtId="213" fontId="22" fillId="0" borderId="17"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5" xfId="0" applyFont="1" applyBorder="1" applyNumberFormat="1">
      <alignment horizontal="center" vertical="center" wrapText="1"/>
    </xf>
    <xf numFmtId="21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3" fontId="22" fillId="0" borderId="23" xfId="0" applyFont="1" applyBorder="1" applyNumberFormat="1">
      <alignment horizontal="center" vertical="center" wrapText="1"/>
    </xf>
    <xf numFmtId="213"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13"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13" fontId="45" fillId="0" borderId="19" xfId="0" applyFont="1" applyBorder="1" applyNumberFormat="1">
      <alignment horizontal="center" vertical="center" wrapText="1"/>
    </xf>
    <xf numFmtId="213" fontId="45" fillId="0" borderId="19" xfId="0" applyFont="1" applyBorder="1" applyNumberFormat="1">
      <alignment horizontal="center" vertical="center" wrapText="1"/>
    </xf>
    <xf numFmtId="213" fontId="45" fillId="0" borderId="20" xfId="0" applyFont="1" applyBorder="1" applyNumberFormat="1">
      <alignment horizontal="center" vertical="center" wrapText="1"/>
    </xf>
    <xf numFmtId="0" fontId="48" fillId="0" borderId="0" xfId="0" applyFont="1">
      <alignment horizontal="center" vertical="center"/>
    </xf>
    <xf numFmtId="213" fontId="22" fillId="0" borderId="12" xfId="0" applyFont="1" applyBorder="1" applyNumberFormat="1">
      <alignment horizontal="center" vertical="center" wrapText="1"/>
    </xf>
    <xf numFmtId="213" fontId="22" fillId="0" borderId="36" xfId="0" applyFont="1" applyBorder="1" applyNumberFormat="1">
      <alignment horizontal="center" vertical="center" wrapText="1"/>
    </xf>
    <xf numFmtId="213"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12" fontId="0" fillId="39" borderId="12" xfId="0" applyFont="1" applyFill="1" applyBorder="1" applyNumberFormat="1">
      <alignment horizontal="center" vertical="top" wrapText="1"/>
      <protection locked="0"/>
    </xf>
    <xf numFmtId="21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5"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1" fontId="22" fillId="39" borderId="17" xfId="0" applyFont="1" applyFill="1" applyBorder="1" applyNumberFormat="1">
      <alignment vertical="center" wrapText="1"/>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1" fontId="22" fillId="39" borderId="36" xfId="0" applyFont="1" applyFill="1" applyBorder="1" applyNumberFormat="1">
      <alignmen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1" fontId="22" fillId="39" borderId="23" xfId="0" applyFont="1" applyFill="1" applyBorder="1" applyNumberFormat="1">
      <alignment vertical="center" wrapText="1"/>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1" fontId="22" fillId="39" borderId="63" xfId="0" applyFont="1" applyFill="1" applyBorder="1" applyNumberFormat="1">
      <alignment vertical="center" wrapText="1"/>
      <protection locked="0"/>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1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12"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12"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12"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0" fontId="22" fillId="36" borderId="12" xfId="0" applyFont="1" applyFill="1" applyBorder="1" applyNumberFormat="1">
      <alignment horizontal="right" vertical="center" wrapText="1"/>
      <protection locked="0"/>
    </xf>
    <xf numFmtId="212"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0" fontId="47" fillId="0" borderId="12" xfId="0" applyFont="1" applyBorder="1" applyNumberFormat="1">
      <alignment horizontal="right" vertical="center" wrapText="1"/>
    </xf>
    <xf numFmtId="21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1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1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10"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10" fontId="22" fillId="36" borderId="23" xfId="0" applyFont="1" applyFill="1" applyBorder="1" applyNumberFormat="1">
      <alignment horizontal="right" vertical="center" wrapText="1"/>
      <protection locked="0"/>
    </xf>
    <xf numFmtId="21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1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1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1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10" fontId="48" fillId="0" borderId="12" xfId="0" applyFont="1" applyBorder="1" applyNumberFormat="1">
      <alignment horizontal="right" vertical="center" wrapText="1"/>
    </xf>
    <xf numFmtId="21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1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11"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1"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11"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11" fontId="22" fillId="34" borderId="13" xfId="0" applyFont="1" applyFill="1" applyBorder="1" applyNumberFormat="1">
      <alignment horizontal="right" vertical="center" wrapText="1"/>
    </xf>
    <xf numFmtId="211"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11"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49" fontId="22" fillId="0" borderId="0" xfId="0" applyFont="1" applyNumberFormat="1">
      <alignment horizontal="center" vertical="center" wrapText="1"/>
    </xf>
    <xf numFmtId="49" fontId="0" fillId="0" borderId="12" xfId="0" applyFont="1" applyBorder="1" applyNumberFormat="1">
      <alignment horizontal="left" vertical="center" wrapText="1"/>
    </xf>
    <xf numFmtId="0" fontId="22" fillId="0" borderId="13" xfId="0" applyFont="1" applyBorder="1">
      <alignment horizontal="center"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49" fontId="0"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211" fontId="22" fillId="0" borderId="12" xfId="0" applyFont="1" applyBorder="1" applyNumberFormat="1">
      <alignment horizontal="right" vertical="center"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8"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1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4"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0" fontId="0" fillId="36" borderId="12" xfId="0" applyFont="1" applyFill="1" applyBorder="1">
      <alignment horizontal="left" vertical="center" wrapText="1" indent="2"/>
      <protection locked="0"/>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12"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12" fontId="0" fillId="39" borderId="13" xfId="0" applyFont="1" applyFill="1" applyBorder="1" applyNumberFormat="1">
      <alignment horizontal="left" vertical="center" wrapText="1"/>
      <protection locked="0"/>
    </xf>
    <xf numFmtId="212"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0" fillId="56" borderId="0" xfId="0" applyFont="1" applyFill="1" applyNumberFormat="1">
      <alignment vertical="center" wrapText="1"/>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13" fontId="22" fillId="0" borderId="37" xfId="0" applyFont="1" applyBorder="1" applyNumberFormat="1">
      <alignment horizontal="center" vertical="center" wrapText="1"/>
    </xf>
    <xf numFmtId="21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12" fontId="0" fillId="39" borderId="15" xfId="0" applyFont="1" applyFill="1" applyBorder="1" applyNumberFormat="1">
      <alignment horizontal="left" vertical="center" wrapText="1" indent="1"/>
      <protection locked="0"/>
    </xf>
    <xf numFmtId="214" fontId="22" fillId="39" borderId="12" xfId="0" applyFont="1" applyFill="1" applyBorder="1" applyNumberFormat="1">
      <alignment horizontal="left" vertical="center" wrapText="1" indent="1"/>
      <protection locked="0"/>
    </xf>
    <xf numFmtId="212" fontId="48" fillId="0" borderId="0" xfId="0" applyFont="1" applyNumberFormat="1">
      <alignment horizontal="center" vertical="center" wrapText="1"/>
    </xf>
    <xf numFmtId="213" fontId="22" fillId="0" borderId="17"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5" xfId="0" applyFont="1" applyBorder="1" applyNumberFormat="1">
      <alignment horizontal="center" vertical="center" wrapText="1"/>
    </xf>
    <xf numFmtId="21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3" fontId="22" fillId="0" borderId="23" xfId="0" applyFont="1" applyBorder="1" applyNumberFormat="1">
      <alignment horizontal="center" vertical="center" wrapText="1"/>
    </xf>
    <xf numFmtId="213"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13"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13" fontId="45" fillId="0" borderId="19" xfId="0" applyFont="1" applyBorder="1" applyNumberFormat="1">
      <alignment horizontal="center" vertical="center" wrapText="1"/>
    </xf>
    <xf numFmtId="213" fontId="45" fillId="0" borderId="19" xfId="0" applyFont="1" applyBorder="1" applyNumberFormat="1">
      <alignment horizontal="center" vertical="center" wrapText="1"/>
    </xf>
    <xf numFmtId="213"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13" fontId="22" fillId="0" borderId="12" xfId="0" applyFont="1" applyBorder="1" applyNumberFormat="1">
      <alignment horizontal="center" vertical="center" wrapText="1"/>
    </xf>
    <xf numFmtId="213" fontId="22" fillId="0" borderId="36" xfId="0" applyFont="1" applyBorder="1" applyNumberFormat="1">
      <alignment horizontal="center" vertical="center" wrapText="1"/>
    </xf>
    <xf numFmtId="213"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12" fontId="0" fillId="39" borderId="12" xfId="0" applyFont="1" applyFill="1" applyBorder="1" applyNumberFormat="1">
      <alignment horizontal="center" vertical="top" wrapText="1"/>
      <protection locked="0"/>
    </xf>
    <xf numFmtId="21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5"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1" fontId="22" fillId="39" borderId="17" xfId="0" applyFont="1" applyFill="1" applyBorder="1" applyNumberFormat="1">
      <alignment vertical="center" wrapText="1"/>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1" fontId="22" fillId="39" borderId="36" xfId="0" applyFont="1" applyFill="1" applyBorder="1" applyNumberFormat="1">
      <alignmen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1" fontId="22" fillId="39" borderId="23" xfId="0" applyFont="1" applyFill="1" applyBorder="1" applyNumberFormat="1">
      <alignment vertical="center" wrapText="1"/>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1" fontId="22" fillId="39" borderId="63" xfId="0" applyFont="1" applyFill="1" applyBorder="1" applyNumberFormat="1">
      <alignment vertical="center" wrapText="1"/>
      <protection locked="0"/>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1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212" fontId="0" fillId="39" borderId="12" xfId="0" applyFont="1" applyFill="1" applyBorder="1" applyNumberFormat="1">
      <alignment horizontal="left" vertical="center" wrapText="1" indent="1"/>
      <protection locked="0"/>
    </xf>
    <xf numFmtId="212" fontId="0" fillId="39" borderId="11"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0" fillId="0" borderId="12" xfId="0" applyFont="1" applyBorder="1" applyNumberFormat="1">
      <alignment horizontal="left" vertical="center" wrapText="1"/>
    </xf>
    <xf numFmtId="212" fontId="0" fillId="0" borderId="12" xfId="0" applyFont="1" applyBorder="1" applyNumberFormat="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3"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4" xfId="0" applyFont="1" applyFill="1" applyBorder="1" applyNumberFormat="1">
      <alignment horizontal="lef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2" xfId="0" applyFont="1" applyFill="1" applyBorder="1" applyNumberFormat="1">
      <alignment horizontal="left" vertical="center" wrapText="1"/>
      <protection locked="0"/>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5"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quotePrefix="1">
      <alignment horizontal="left" vertical="center" wrapText="1"/>
      <protection locked="0"/>
    </xf>
    <xf numFmtId="1" fontId="22" fillId="39" borderId="12" xfId="0" applyFont="1" applyFill="1" applyBorder="1" applyNumberFormat="1">
      <alignment horizontal="center" vertical="center" wrapText="1"/>
      <protection locked="0"/>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63" xfId="0" applyFont="1" applyFill="1" applyBorder="1" applyNumberFormat="1">
      <alignment vertical="center" wrapText="1"/>
      <protection locked="0"/>
    </xf>
    <xf numFmtId="1" fontId="22" fillId="39" borderId="12" xfId="0" applyFont="1" applyFill="1" applyBorder="1" applyNumberFormat="1">
      <alignment horizontal="center" vertical="center" wrapText="1"/>
      <protection locked="0"/>
    </xf>
    <xf numFmtId="49" fontId="22" fillId="35" borderId="17" xfId="0" applyFont="1" applyFill="1" applyBorder="1" applyNumberFormat="1">
      <alignment horizontal="left" vertical="center" wrapText="1" indent="1"/>
    </xf>
    <xf numFmtId="1" fontId="22" fillId="36" borderId="12" xfId="0" applyFont="1" applyFill="1" applyBorder="1" applyNumberFormat="1">
      <alignment horizontal="center" vertical="center" wrapText="1"/>
      <protection locked="0"/>
    </xf>
    <xf numFmtId="1" fontId="22" fillId="36"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1" fontId="22" fillId="36"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6"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1" fontId="22" fillId="36" borderId="63" xfId="0" applyFont="1" applyFill="1" applyBorder="1" applyNumberFormat="1">
      <alignmen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49" fontId="27" fillId="36" borderId="14"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1" fontId="22" fillId="39" borderId="12" xfId="0" applyFont="1" applyFill="1" applyBorder="1" applyNumberFormat="1">
      <alignment horizontal="center" vertical="center" wrapText="1"/>
      <protection locked="0"/>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7d62a0f8-be04-4598-b90d-df12e4a5bc89" TargetMode="External"/><Relationship Id="rId2" Type="http://schemas.openxmlformats.org/officeDocument/2006/relationships/hyperlink" Target="https://portal.eias.ru/Portal/DownloadPage.aspx?type=12&amp;guid=7d62a0f8-be04-4598-b90d-df12e4a5bc89" TargetMode="External"/><Relationship Id="rId3" Type="http://schemas.openxmlformats.org/officeDocument/2006/relationships/hyperlink" Target="https://portal.eias.ru/Portal/DownloadPage.aspx?type=12&amp;guid=7d62a0f8-be04-4598-b90d-df12e4a5bc89" TargetMode="External"/><Relationship Id="rId4" Type="http://schemas.openxmlformats.org/officeDocument/2006/relationships/hyperlink" Target="https://portal.eias.ru/Portal/DownloadPage.aspx?type=12&amp;guid=7d62a0f8-be04-4598-b90d-df12e4a5bc89" TargetMode="External"/><Relationship Id="rId5" Type="http://schemas.openxmlformats.org/officeDocument/2006/relationships/hyperlink" Target="https://portal.eias.ru/Portal/DownloadPage.aspx?type=12&amp;guid=7d62a0f8-be04-4598-b90d-df12e4a5bc89" TargetMode="External"/><Relationship Id="rId6" Type="http://schemas.openxmlformats.org/officeDocument/2006/relationships/hyperlink" Target="https://portal.eias.ru/Portal/DownloadPage.aspx?type=12&amp;guid=7d62a0f8-be04-4598-b90d-df12e4a5bc89"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df621e15-4841-4a96-b99f-cb15480e4e50" TargetMode="External"/><Relationship Id="rId2" Type="http://schemas.openxmlformats.org/officeDocument/2006/relationships/hyperlink" Target="&apos;&#1055;&#1086;&#1082;&#1072;&#1079;&#1072;&#1090;&#1077;&#1083;&#1080; &#1050;&#1053;&#1069;&apos;!$L$19" TargetMode="External"/><Relationship Id="rId3" Type="http://schemas.openxmlformats.org/officeDocument/2006/relationships/hyperlink" Target="&apos;&#1055;&#1086;&#1082;&#1072;&#1079;&#1072;&#1090;&#1077;&#1083;&#1080; &#1050;&#1053;&#1069;&apos;!$N$19" TargetMode="External"/><Relationship Id="rId4" Type="http://schemas.openxmlformats.org/officeDocument/2006/relationships/hyperlink" Target="https://portal.eias.ru/Portal/DownloadPage.aspx?type=12&amp;guid=f876ef5d-41ed-471a-934f-9508ad168a5c" TargetMode="External"/><Relationship Id="rId5" Type="http://schemas.openxmlformats.org/officeDocument/2006/relationships/hyperlink" Target="&apos;&#1055;&#1086;&#1082;&#1072;&#1079;&#1072;&#1090;&#1077;&#1083;&#1080; &#1050;&#1053;&#1069;&apos;!$R$19" TargetMode="External"/><Relationship Id="rId6" Type="http://schemas.openxmlformats.org/officeDocument/2006/relationships/hyperlink" Target="&apos;&#1055;&#1086;&#1082;&#1072;&#1079;&#1072;&#1090;&#1077;&#1083;&#1080; &#1050;&#1053;&#1069;&apos;!$T$1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5B748D-FB7C-7921-F823-0.A2EF9BB3}"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7967" width="5.421875" customWidth="1"/>
    <col min="2" max="2" style="7967" width="9.140625" customWidth="1"/>
    <col min="3" max="3" style="7967" width="16.421875" customWidth="1"/>
    <col min="4" max="25" style="7967" width="6.28125" customWidth="1"/>
    <col min="26" max="28" style="7967" width="11.00390625"/>
  </cols>
  <sheetData>
    <row customHeight="1" ht="15.75">
      <c r="A1" s="1845"/>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7"/>
      <c r="Z1" s="1846"/>
      <c r="AA1" s="1848" t="s">
        <v>0</v>
      </c>
      <c r="AB1" s="1846"/>
    </row>
    <row customHeight="1" ht="17.25">
      <c r="A2" s="1846"/>
      <c r="B2" s="2236" t="s">
        <v>1</v>
      </c>
      <c r="C2" s="2236"/>
      <c r="D2" s="2236"/>
      <c r="E2" s="2236"/>
      <c r="F2" s="2236"/>
      <c r="G2" s="2236"/>
      <c r="H2" s="2236"/>
      <c r="I2" s="2236"/>
      <c r="J2" s="2236"/>
      <c r="K2" s="2236"/>
      <c r="L2" s="2236"/>
      <c r="M2" s="2236"/>
      <c r="N2" s="2236"/>
      <c r="O2" s="2236"/>
      <c r="P2" s="2236"/>
      <c r="Q2" s="1850"/>
      <c r="R2" s="1850"/>
      <c r="S2" s="1850"/>
      <c r="T2" s="1850"/>
      <c r="U2" s="1850"/>
      <c r="V2" s="1851"/>
      <c r="W2" s="1850"/>
      <c r="X2" s="1850"/>
      <c r="Y2" s="1847"/>
      <c r="Z2" s="1846"/>
      <c r="AA2" s="1848"/>
      <c r="AB2" s="1846"/>
    </row>
    <row customHeight="1" ht="15.75">
      <c r="A3" s="1846"/>
      <c r="B3" s="2237" t="s">
        <v>2</v>
      </c>
      <c r="C3" s="2237"/>
      <c r="D3" s="2237"/>
      <c r="E3" s="2237"/>
      <c r="F3" s="2237"/>
      <c r="G3" s="2237"/>
      <c r="H3" s="2237"/>
      <c r="I3" s="2237"/>
      <c r="J3" s="2237"/>
      <c r="K3" s="2237"/>
      <c r="L3" s="2237"/>
      <c r="M3" s="2237"/>
      <c r="N3" s="2237"/>
      <c r="O3" s="2237"/>
      <c r="P3" s="2237"/>
      <c r="Q3" s="1851"/>
      <c r="R3" s="1851"/>
      <c r="S3" s="1850"/>
      <c r="T3" s="1850"/>
      <c r="U3" s="1850"/>
      <c r="V3" s="1851"/>
      <c r="W3" s="1851"/>
      <c r="X3" s="1851"/>
      <c r="Y3" s="1851"/>
      <c r="Z3" s="1846"/>
      <c r="AA3" s="1848"/>
      <c r="AB3" s="1846"/>
    </row>
    <row customHeight="1" ht="17.25">
      <c r="A4" s="1846"/>
      <c r="B4" s="1852"/>
      <c r="C4" s="1846"/>
      <c r="D4" s="1851"/>
      <c r="E4" s="1851"/>
      <c r="F4" s="1851"/>
      <c r="G4" s="1851"/>
      <c r="H4" s="1851"/>
      <c r="I4" s="1851"/>
      <c r="J4" s="1851"/>
      <c r="K4" s="1851"/>
      <c r="L4" s="1851"/>
      <c r="M4" s="1851"/>
      <c r="N4" s="1851"/>
      <c r="O4" s="1851"/>
      <c r="P4" s="1851"/>
      <c r="Q4" s="1851"/>
      <c r="R4" s="1851"/>
      <c r="S4" s="1851"/>
      <c r="T4" s="1851"/>
      <c r="U4" s="1851"/>
      <c r="V4" s="1851"/>
      <c r="W4" s="1851"/>
      <c r="X4" s="1851"/>
      <c r="Y4" s="1851"/>
      <c r="Z4" s="1846"/>
      <c r="AA4" s="1848"/>
      <c r="AB4" s="1846"/>
    </row>
    <row customHeight="1" ht="22.5">
      <c r="A5" s="1853"/>
      <c r="B5" s="223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39"/>
      <c r="D5" s="2239"/>
      <c r="E5" s="2239"/>
      <c r="F5" s="2239"/>
      <c r="G5" s="2239"/>
      <c r="H5" s="2239"/>
      <c r="I5" s="2239"/>
      <c r="J5" s="2239"/>
      <c r="K5" s="2239"/>
      <c r="L5" s="2239"/>
      <c r="M5" s="2239"/>
      <c r="N5" s="2239"/>
      <c r="O5" s="2239"/>
      <c r="P5" s="2239"/>
      <c r="Q5" s="2239"/>
      <c r="R5" s="2239"/>
      <c r="S5" s="2239"/>
      <c r="T5" s="2239"/>
      <c r="U5" s="2239"/>
      <c r="V5" s="2239"/>
      <c r="W5" s="2239"/>
      <c r="X5" s="2239"/>
      <c r="Y5" s="2240"/>
      <c r="Z5" s="1853"/>
      <c r="AA5" s="1848"/>
      <c r="AB5" s="1853"/>
    </row>
    <row customHeight="1" ht="15">
      <c r="A6" s="1854"/>
      <c r="B6" s="2241" t="s">
        <v>3</v>
      </c>
      <c r="C6" s="2242"/>
      <c r="D6" s="1855"/>
      <c r="E6" s="1855"/>
      <c r="F6" s="1855"/>
      <c r="G6" s="1855"/>
      <c r="H6" s="1855"/>
      <c r="I6" s="1855"/>
      <c r="J6" s="1855"/>
      <c r="K6" s="1855"/>
      <c r="L6" s="1855"/>
      <c r="M6" s="1855"/>
      <c r="N6" s="1855"/>
      <c r="O6" s="1855"/>
      <c r="P6" s="1855"/>
      <c r="Q6" s="1855"/>
      <c r="R6" s="1855"/>
      <c r="S6" s="1855"/>
      <c r="T6" s="1855"/>
      <c r="U6" s="1855"/>
      <c r="V6" s="1855"/>
      <c r="W6" s="1855"/>
      <c r="X6" s="1855"/>
      <c r="Y6" s="1856"/>
      <c r="Z6" s="1857"/>
      <c r="AA6" s="1858"/>
      <c r="AB6" s="1858"/>
    </row>
    <row customHeight="1" ht="15">
      <c r="A7" s="1854"/>
      <c r="B7" s="2241"/>
      <c r="C7" s="2242"/>
      <c r="D7" s="1855"/>
      <c r="E7" s="1855"/>
      <c r="F7" s="1859"/>
      <c r="G7" s="1859"/>
      <c r="H7" s="1859"/>
      <c r="I7" s="1859"/>
      <c r="J7" s="1859"/>
      <c r="K7" s="1859"/>
      <c r="L7" s="1859"/>
      <c r="M7" s="1859"/>
      <c r="N7" s="1859"/>
      <c r="O7" s="1855"/>
      <c r="P7" s="1859"/>
      <c r="Q7" s="1859"/>
      <c r="R7" s="1859"/>
      <c r="S7" s="1859"/>
      <c r="T7" s="1859"/>
      <c r="U7" s="1859"/>
      <c r="V7" s="1859"/>
      <c r="W7" s="1859"/>
      <c r="X7" s="1859"/>
      <c r="Y7" s="1856"/>
      <c r="Z7" s="1857"/>
      <c r="AA7" s="1858"/>
      <c r="AB7" s="1858"/>
    </row>
    <row customHeight="1" ht="15">
      <c r="A8" s="1854"/>
      <c r="B8" s="2241"/>
      <c r="C8" s="2242"/>
      <c r="D8" s="1860"/>
      <c r="E8" s="1861" t="s">
        <v>4</v>
      </c>
      <c r="F8" s="2244" t="s">
        <v>5</v>
      </c>
      <c r="G8" s="2245"/>
      <c r="H8" s="2245"/>
      <c r="I8" s="2245"/>
      <c r="J8" s="2245"/>
      <c r="K8" s="2245"/>
      <c r="L8" s="2245"/>
      <c r="M8" s="2245"/>
      <c r="N8" s="1860"/>
      <c r="O8" s="1862" t="s">
        <v>4</v>
      </c>
      <c r="P8" s="2246" t="s">
        <v>6</v>
      </c>
      <c r="Q8" s="2247"/>
      <c r="R8" s="2247"/>
      <c r="S8" s="2247"/>
      <c r="T8" s="2247"/>
      <c r="U8" s="2247"/>
      <c r="V8" s="2247"/>
      <c r="W8" s="2247"/>
      <c r="X8" s="2247"/>
      <c r="Y8" s="1856"/>
      <c r="Z8" s="1857"/>
      <c r="AA8" s="1858"/>
      <c r="AB8" s="1858"/>
    </row>
    <row customHeight="1" ht="15">
      <c r="A9" s="1854"/>
      <c r="B9" s="2241"/>
      <c r="C9" s="2242"/>
      <c r="D9" s="1860"/>
      <c r="E9" s="1863" t="s">
        <v>4</v>
      </c>
      <c r="F9" s="2244" t="s">
        <v>7</v>
      </c>
      <c r="G9" s="2245"/>
      <c r="H9" s="2245"/>
      <c r="I9" s="2245"/>
      <c r="J9" s="2245"/>
      <c r="K9" s="2245"/>
      <c r="L9" s="2245"/>
      <c r="M9" s="2245"/>
      <c r="N9" s="1860"/>
      <c r="O9" s="1864" t="s">
        <v>4</v>
      </c>
      <c r="P9" s="2246" t="s">
        <v>8</v>
      </c>
      <c r="Q9" s="2247"/>
      <c r="R9" s="2247"/>
      <c r="S9" s="2247"/>
      <c r="T9" s="2247"/>
      <c r="U9" s="2247"/>
      <c r="V9" s="2247"/>
      <c r="W9" s="2247"/>
      <c r="X9" s="2247"/>
      <c r="Y9" s="1856"/>
      <c r="Z9" s="1857"/>
      <c r="AA9" s="1858"/>
      <c r="AB9" s="1858"/>
    </row>
    <row customHeight="1" ht="30">
      <c r="A10" s="1854"/>
      <c r="B10" s="2241"/>
      <c r="C10" s="2243"/>
      <c r="D10" s="1865"/>
      <c r="E10" s="1866"/>
      <c r="F10" s="1859"/>
      <c r="G10" s="1859"/>
      <c r="H10" s="1859"/>
      <c r="I10" s="1859"/>
      <c r="J10" s="1859"/>
      <c r="K10" s="1859"/>
      <c r="L10" s="1859"/>
      <c r="M10" s="1859"/>
      <c r="N10" s="1859"/>
      <c r="O10" s="1866"/>
      <c r="P10" s="1859"/>
      <c r="Q10" s="1859"/>
      <c r="R10" s="1859"/>
      <c r="S10" s="1859"/>
      <c r="T10" s="1859"/>
      <c r="U10" s="1859"/>
      <c r="V10" s="1859"/>
      <c r="W10" s="1859"/>
      <c r="X10" s="1859"/>
      <c r="Y10" s="1856"/>
      <c r="Z10" s="1857"/>
      <c r="AA10" s="1858"/>
      <c r="AB10" s="1858"/>
    </row>
    <row customHeight="1" ht="19.5">
      <c r="A11" s="1854"/>
      <c r="B11" s="2248" t="s">
        <v>9</v>
      </c>
      <c r="C11" s="2249"/>
      <c r="D11" s="1860"/>
      <c r="E11" s="1867"/>
      <c r="F11" s="1867"/>
      <c r="G11" s="1867"/>
      <c r="H11" s="1867"/>
      <c r="I11" s="1867"/>
      <c r="J11" s="1867"/>
      <c r="K11" s="1867"/>
      <c r="L11" s="1867"/>
      <c r="M11" s="1867"/>
      <c r="N11" s="1867"/>
      <c r="O11" s="1867"/>
      <c r="P11" s="1867"/>
      <c r="Q11" s="1867"/>
      <c r="R11" s="1867"/>
      <c r="S11" s="1867"/>
      <c r="T11" s="1867"/>
      <c r="U11" s="1867"/>
      <c r="V11" s="1867"/>
      <c r="W11" s="1867"/>
      <c r="X11" s="1867"/>
      <c r="Y11" s="1856"/>
      <c r="Z11" s="1857"/>
      <c r="AA11" s="1858"/>
      <c r="AB11" s="1858"/>
    </row>
    <row customHeight="1" ht="69">
      <c r="A12" s="1854"/>
      <c r="B12" s="2241"/>
      <c r="C12" s="2243"/>
      <c r="D12" s="1868"/>
      <c r="E12" s="2245" t="s">
        <v>10</v>
      </c>
      <c r="F12" s="2245"/>
      <c r="G12" s="2245"/>
      <c r="H12" s="2245"/>
      <c r="I12" s="2245"/>
      <c r="J12" s="2245"/>
      <c r="K12" s="2245"/>
      <c r="L12" s="2245"/>
      <c r="M12" s="2245"/>
      <c r="N12" s="2245"/>
      <c r="O12" s="2245"/>
      <c r="P12" s="2245"/>
      <c r="Q12" s="2245"/>
      <c r="R12" s="2245"/>
      <c r="S12" s="2245"/>
      <c r="T12" s="2245"/>
      <c r="U12" s="2245"/>
      <c r="V12" s="2245"/>
      <c r="W12" s="2245"/>
      <c r="X12" s="2245"/>
      <c r="Y12" s="1856"/>
      <c r="Z12" s="1857"/>
      <c r="AA12" s="1858"/>
      <c r="AB12" s="1858"/>
    </row>
    <row customHeight="1" ht="15">
      <c r="A13" s="1854"/>
      <c r="B13" s="2248" t="s">
        <v>11</v>
      </c>
      <c r="C13" s="2249"/>
      <c r="D13" s="1855"/>
      <c r="E13" s="1867"/>
      <c r="F13" s="1867"/>
      <c r="G13" s="1867"/>
      <c r="H13" s="1867"/>
      <c r="I13" s="1867"/>
      <c r="J13" s="1867"/>
      <c r="K13" s="1867"/>
      <c r="L13" s="1867"/>
      <c r="M13" s="1867"/>
      <c r="N13" s="1867"/>
      <c r="O13" s="1867"/>
      <c r="P13" s="1867"/>
      <c r="Q13" s="1867"/>
      <c r="R13" s="1867"/>
      <c r="S13" s="1867"/>
      <c r="T13" s="1867"/>
      <c r="U13" s="1867"/>
      <c r="V13" s="1867"/>
      <c r="W13" s="1867"/>
      <c r="X13" s="1867"/>
      <c r="Y13" s="1856"/>
      <c r="Z13" s="1857"/>
      <c r="AA13" s="1858"/>
      <c r="AB13" s="1858"/>
    </row>
    <row customHeight="1" ht="57">
      <c r="A14" s="1854"/>
      <c r="B14" s="2241"/>
      <c r="C14" s="2242"/>
      <c r="D14" s="1860"/>
      <c r="E14" s="2252" t="s">
        <v>12</v>
      </c>
      <c r="F14" s="2252"/>
      <c r="G14" s="2252"/>
      <c r="H14" s="2252"/>
      <c r="I14" s="2252"/>
      <c r="J14" s="2252"/>
      <c r="K14" s="2252"/>
      <c r="L14" s="2252"/>
      <c r="M14" s="2252"/>
      <c r="N14" s="2252"/>
      <c r="O14" s="2252"/>
      <c r="P14" s="2252"/>
      <c r="Q14" s="2252"/>
      <c r="R14" s="2252"/>
      <c r="S14" s="2252"/>
      <c r="T14" s="2252"/>
      <c r="U14" s="2252"/>
      <c r="V14" s="2252"/>
      <c r="W14" s="2252"/>
      <c r="X14" s="2252"/>
      <c r="Y14" s="1856"/>
      <c r="Z14" s="1857"/>
      <c r="AA14" s="1858"/>
      <c r="AB14" s="1858"/>
    </row>
    <row customHeight="1" ht="16.5">
      <c r="A15" s="1854"/>
      <c r="B15" s="2250"/>
      <c r="C15" s="2251"/>
      <c r="D15" s="1869"/>
      <c r="E15" s="1870"/>
      <c r="F15" s="1870"/>
      <c r="G15" s="1870"/>
      <c r="H15" s="1870"/>
      <c r="I15" s="1870"/>
      <c r="J15" s="1870"/>
      <c r="K15" s="1870"/>
      <c r="L15" s="1870"/>
      <c r="M15" s="1870"/>
      <c r="N15" s="1870"/>
      <c r="O15" s="1870"/>
      <c r="P15" s="1870"/>
      <c r="Q15" s="1870"/>
      <c r="R15" s="1870"/>
      <c r="S15" s="1870"/>
      <c r="T15" s="1870"/>
      <c r="U15" s="1870"/>
      <c r="V15" s="1870"/>
      <c r="W15" s="1870"/>
      <c r="X15" s="1870"/>
      <c r="Y15" s="1871"/>
      <c r="Z15" s="1857"/>
      <c r="AA15" s="1872"/>
      <c r="AB15" s="1858"/>
    </row>
    <row customHeight="1" ht="95.25">
      <c r="A16" s="1846"/>
      <c r="B16" s="2252"/>
      <c r="C16" s="2253"/>
      <c r="D16" s="2253"/>
      <c r="E16" s="2253"/>
      <c r="F16" s="2253"/>
      <c r="G16" s="2253"/>
      <c r="H16" s="2253"/>
      <c r="I16" s="2253"/>
      <c r="J16" s="2253"/>
      <c r="K16" s="2253"/>
      <c r="L16" s="2253"/>
      <c r="M16" s="2253"/>
      <c r="N16" s="2253"/>
      <c r="O16" s="2253"/>
      <c r="P16" s="2253"/>
      <c r="Q16" s="2253"/>
      <c r="R16" s="2253"/>
      <c r="S16" s="2253"/>
      <c r="T16" s="2253"/>
      <c r="U16" s="2253"/>
      <c r="V16" s="2253"/>
      <c r="W16" s="2253"/>
      <c r="X16" s="2253"/>
      <c r="Y16" s="2253"/>
      <c r="Z16" s="1846"/>
      <c r="AA16" s="1848"/>
      <c r="AB16" s="1846"/>
    </row>
    <row customHeight="1" ht="14.25">
      <c r="A17" s="1846"/>
      <c r="B17" s="1846"/>
      <c r="C17" s="1846"/>
      <c r="D17" s="1846"/>
      <c r="E17" s="1846"/>
      <c r="F17" s="1846"/>
      <c r="G17" s="1846"/>
      <c r="H17" s="1846"/>
      <c r="I17" s="1846"/>
      <c r="J17" s="1846"/>
      <c r="K17" s="1846"/>
      <c r="L17" s="1846"/>
      <c r="M17" s="1846"/>
      <c r="N17" s="1846"/>
      <c r="O17" s="1846"/>
      <c r="P17" s="1846"/>
      <c r="Q17" s="1846"/>
      <c r="R17" s="1846"/>
      <c r="S17" s="1846"/>
      <c r="T17" s="1846"/>
      <c r="U17" s="1846"/>
      <c r="V17" s="1846"/>
      <c r="W17" s="1846"/>
      <c r="X17" s="1846"/>
      <c r="Y17" s="1847"/>
      <c r="Z17" s="1846"/>
      <c r="AA17" s="1848"/>
      <c r="AB17" s="1846"/>
    </row>
    <row customHeight="1" ht="14.25">
      <c r="A18" s="1846"/>
      <c r="B18" s="1846"/>
      <c r="C18" s="1846"/>
      <c r="D18" s="1846"/>
      <c r="E18" s="1846"/>
      <c r="F18" s="1846"/>
      <c r="G18" s="1846"/>
      <c r="H18" s="1846"/>
      <c r="I18" s="1846"/>
      <c r="J18" s="1846"/>
      <c r="K18" s="1846"/>
      <c r="L18" s="1846"/>
      <c r="M18" s="1846"/>
      <c r="N18" s="1846"/>
      <c r="O18" s="1846"/>
      <c r="P18" s="1846"/>
      <c r="Q18" s="1846"/>
      <c r="R18" s="1846"/>
      <c r="S18" s="1846"/>
      <c r="T18" s="1846"/>
      <c r="U18" s="1846"/>
      <c r="V18" s="1846"/>
      <c r="W18" s="1846"/>
      <c r="X18" s="1846"/>
      <c r="Y18" s="1847"/>
      <c r="Z18" s="1846"/>
      <c r="AA18" s="1848"/>
      <c r="AB18" s="1846"/>
    </row>
    <row customHeight="1" ht="14.25">
      <c r="A19" s="1846"/>
      <c r="B19" s="1846"/>
      <c r="C19" s="1846"/>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7"/>
      <c r="Z19" s="1846"/>
      <c r="AA19" s="1848"/>
      <c r="AB19" s="1846"/>
    </row>
    <row customHeight="1" ht="14.25">
      <c r="A20" s="1846"/>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7"/>
      <c r="Z20" s="1846"/>
      <c r="AA20" s="1848"/>
      <c r="AB20" s="1846"/>
    </row>
    <row customHeight="1" ht="14.25">
      <c r="A21" s="1846"/>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7"/>
      <c r="Z21" s="1846"/>
      <c r="AA21" s="1848"/>
      <c r="AB21" s="184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2623B5-1C49-6167-9698-0.0DE314AB}"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7486" width="9.140625" hidden="1" customWidth="1"/>
    <col min="2" max="3" style="7235" width="9.140625" hidden="1" customWidth="1"/>
    <col min="4" max="4" style="7758" width="3.00390625" customWidth="1"/>
    <col min="5" max="5" style="7235" width="6.00390625" customWidth="1"/>
    <col min="6" max="6" style="7235" width="1.7109375" hidden="1" customWidth="1"/>
    <col min="7" max="8" style="7235" width="30.00390625" customWidth="1"/>
    <col min="9" max="9" style="7235" width="8.00390625" customWidth="1"/>
    <col min="10" max="10" style="7235" width="12.140625" customWidth="1"/>
    <col min="11" max="11" style="7235" width="46.00390625" customWidth="1"/>
    <col min="12" max="12" style="7235" width="100.00390625" customWidth="1"/>
    <col min="13" max="13" style="6055" width="7.00390625" customWidth="1"/>
    <col min="14" max="22" style="7235" width="10.00390625" customWidth="1"/>
    <col min="23" max="23" style="7235" width="10.57421875" hidden="1"/>
  </cols>
  <sheetData>
    <row s="6720" customFormat="1" customHeight="1" ht="5.25" hidden="1">
      <c r="C1" s="657"/>
      <c r="D1" s="640"/>
      <c r="F1" s="657"/>
      <c r="G1" s="635" t="s">
        <v>84</v>
      </c>
      <c r="H1" s="635" t="s">
        <v>85</v>
      </c>
      <c r="I1" s="635" t="s">
        <v>86</v>
      </c>
      <c r="P1" s="635" t="s">
        <v>84</v>
      </c>
      <c r="Q1" s="635" t="s">
        <v>85</v>
      </c>
      <c r="R1" s="635" t="s">
        <v>86</v>
      </c>
      <c r="W1" s="635" t="s">
        <v>14</v>
      </c>
    </row>
    <row s="6720" customFormat="1" customHeight="1" ht="5.25" hidden="1">
      <c r="C2" s="657"/>
      <c r="D2" s="640"/>
      <c r="F2" s="657"/>
      <c r="W2" s="635">
        <v>0</v>
      </c>
    </row>
    <row s="6075" customFormat="1" customHeight="1" ht="5.25">
      <c r="A3" s="625"/>
      <c r="D3" s="632"/>
      <c r="E3" s="627"/>
      <c r="F3" s="627"/>
      <c r="G3" s="627"/>
      <c r="H3" s="627"/>
      <c r="I3" s="628"/>
      <c r="J3" s="629"/>
      <c r="K3" s="629"/>
      <c r="L3" s="629"/>
      <c r="W3" s="626">
        <v>5</v>
      </c>
    </row>
    <row customHeight="1" ht="23.25">
      <c r="D4" s="596"/>
      <c r="E4" s="2397" t="s">
        <v>410</v>
      </c>
      <c r="F4" s="2397"/>
      <c r="G4" s="2398"/>
      <c r="H4" s="2398"/>
      <c r="I4" s="2399"/>
      <c r="J4" s="637"/>
      <c r="K4" s="599"/>
      <c r="L4" s="599"/>
      <c r="W4" s="593">
        <v>22</v>
      </c>
    </row>
    <row s="7235" customFormat="1" customHeight="1" ht="18">
      <c r="A5" s="905"/>
      <c r="D5" s="968"/>
      <c r="E5" s="2373" t="str">
        <f>IF(org=0,"Не определено",org)</f>
        <v>ПАО "ТГК-14"</v>
      </c>
      <c r="F5" s="2373"/>
      <c r="G5" s="2374"/>
      <c r="H5" s="2374"/>
      <c r="I5" s="2375"/>
      <c r="J5" s="637"/>
      <c r="K5" s="599"/>
      <c r="L5" s="599"/>
      <c r="M5" s="653"/>
      <c r="W5" s="904">
        <v>17</v>
      </c>
    </row>
    <row s="6075" customFormat="1" customHeight="1" ht="11.549999999999999">
      <c r="A6" s="625"/>
      <c r="D6" s="632"/>
      <c r="E6" s="627"/>
      <c r="F6" s="627"/>
      <c r="G6" s="630"/>
      <c r="H6" s="630"/>
      <c r="I6" s="631"/>
      <c r="J6" s="631"/>
      <c r="K6" s="898"/>
      <c r="L6" s="631"/>
      <c r="W6" s="626">
        <v>11</v>
      </c>
    </row>
    <row customHeight="1" ht="14.699999999999998">
      <c r="D7" s="596"/>
      <c r="E7" s="2367" t="s">
        <v>322</v>
      </c>
      <c r="F7" s="2367"/>
      <c r="G7" s="2368"/>
      <c r="H7" s="2368"/>
      <c r="I7" s="2368"/>
      <c r="J7" s="2368"/>
      <c r="K7" s="2368"/>
      <c r="L7" s="2382" t="s">
        <v>323</v>
      </c>
      <c r="W7" s="593">
        <v>14</v>
      </c>
    </row>
    <row customHeight="1" ht="48.29999999999999">
      <c r="D8" s="596"/>
      <c r="E8" s="619" t="s">
        <v>89</v>
      </c>
      <c r="F8" s="969"/>
      <c r="G8" s="611" t="s">
        <v>87</v>
      </c>
      <c r="H8" s="611" t="s">
        <v>88</v>
      </c>
      <c r="I8" s="560" t="s">
        <v>86</v>
      </c>
      <c r="J8" s="560" t="s">
        <v>411</v>
      </c>
      <c r="K8" s="560" t="s">
        <v>412</v>
      </c>
      <c r="L8" s="2382"/>
      <c r="W8" s="593">
        <v>46</v>
      </c>
    </row>
    <row customHeight="1" ht="12" hidden="1">
      <c r="D9" s="633"/>
      <c r="E9" s="639"/>
      <c r="F9" s="976"/>
      <c r="G9" s="639"/>
      <c r="H9" s="639"/>
      <c r="I9" s="639"/>
      <c r="J9" s="639"/>
      <c r="K9" s="639"/>
      <c r="L9" s="639"/>
      <c r="M9" s="593"/>
      <c r="W9" s="593">
        <v>0</v>
      </c>
    </row>
    <row customHeight="1" ht="14.25" hidden="1">
      <c r="A10" s="651"/>
      <c r="B10" s="651"/>
      <c r="D10" s="652"/>
      <c r="E10" s="658">
        <v>0</v>
      </c>
      <c r="F10" s="967"/>
      <c r="G10" s="654"/>
      <c r="H10" s="654"/>
      <c r="I10" s="654"/>
      <c r="J10" s="654"/>
      <c r="K10" s="654"/>
      <c r="L10" s="2380" t="s">
        <v>413</v>
      </c>
      <c r="M10" s="653"/>
      <c r="N10" s="651"/>
      <c r="O10" s="651"/>
      <c r="P10" s="651"/>
      <c r="Q10" s="651"/>
      <c r="R10" s="651"/>
      <c r="S10" s="651"/>
      <c r="T10" s="651"/>
      <c r="U10" s="651"/>
      <c r="V10" s="651"/>
      <c r="W10" s="593">
        <v>0</v>
      </c>
    </row>
    <row customHeight="1" ht="15" hidden="1">
      <c r="A11" s="2258"/>
      <c r="B11" s="650"/>
      <c r="C11" s="650"/>
      <c r="D11" s="1011"/>
      <c r="E11" s="659"/>
      <c r="F11" s="659"/>
      <c r="G11" s="659"/>
      <c r="H11" s="659"/>
      <c r="I11" s="660"/>
      <c r="J11" s="661"/>
      <c r="K11" s="859"/>
      <c r="L11" s="2400"/>
      <c r="M11" s="657"/>
      <c r="N11" s="657"/>
      <c r="O11" s="657"/>
      <c r="P11" s="662"/>
      <c r="Q11" s="662"/>
      <c r="R11" s="663"/>
      <c r="S11" s="657"/>
      <c r="T11" s="657"/>
      <c r="U11" s="657"/>
      <c r="V11" s="657"/>
      <c r="W11" s="593">
        <v>0</v>
      </c>
    </row>
    <row s="6075" customFormat="1" customHeight="1" ht="15">
      <c r="A12" s="2258"/>
      <c r="B12" s="650"/>
      <c r="C12" s="650"/>
      <c r="D12" s="1012"/>
      <c r="E12" s="969">
        <v>1</v>
      </c>
      <c r="F12" s="1010">
        <v>23</v>
      </c>
      <c r="G12" s="1009"/>
      <c r="H12" s="939"/>
      <c r="I12" s="937"/>
      <c r="J12" s="666" t="s">
        <v>63</v>
      </c>
      <c r="K12" s="1310" t="s">
        <v>22</v>
      </c>
      <c r="L12" s="2400"/>
      <c r="M12" s="657"/>
      <c r="N12" s="657"/>
      <c r="O12" s="657"/>
      <c r="P12" s="662" t="s">
        <v>414</v>
      </c>
      <c r="Q12" s="662" t="s">
        <v>415</v>
      </c>
      <c r="R12" s="663" t="s">
        <v>416</v>
      </c>
      <c r="S12" s="657" t="s">
        <v>417</v>
      </c>
      <c r="T12" s="657"/>
      <c r="U12" s="657"/>
      <c r="V12" s="657"/>
      <c r="W12" s="626">
        <v>14</v>
      </c>
    </row>
    <row customHeight="1" ht="15.75">
      <c r="A13" s="2258"/>
      <c r="B13" s="651"/>
      <c r="D13" s="652"/>
      <c r="E13" s="551"/>
      <c r="F13" s="675"/>
      <c r="G13" s="562" t="s">
        <v>104</v>
      </c>
      <c r="H13" s="550"/>
      <c r="I13" s="550"/>
      <c r="J13" s="550"/>
      <c r="K13" s="549"/>
      <c r="L13" s="2381"/>
      <c r="M13" s="655"/>
      <c r="N13" s="651"/>
      <c r="O13" s="651"/>
      <c r="P13" s="651"/>
      <c r="Q13" s="651"/>
      <c r="R13" s="651"/>
      <c r="S13" s="651"/>
      <c r="T13" s="651"/>
      <c r="U13" s="651"/>
      <c r="V13" s="651"/>
      <c r="W13" s="593">
        <v>15</v>
      </c>
    </row>
    <row customHeight="1" ht="11.549999999999999">
      <c r="A14" s="625"/>
      <c r="B14" s="626"/>
      <c r="C14" s="626"/>
      <c r="D14" s="641"/>
      <c r="E14" s="626"/>
      <c r="F14" s="626"/>
      <c r="G14" s="626"/>
      <c r="H14" s="626"/>
      <c r="I14" s="626"/>
      <c r="J14" s="626"/>
      <c r="K14" s="626"/>
      <c r="L14" s="626"/>
      <c r="M14" s="626"/>
      <c r="N14" s="626"/>
      <c r="O14" s="626"/>
      <c r="P14" s="626"/>
      <c r="Q14" s="626"/>
      <c r="R14" s="626"/>
      <c r="S14" s="626"/>
      <c r="T14" s="626"/>
      <c r="U14" s="626"/>
      <c r="V14" s="626"/>
      <c r="W14" s="593">
        <v>11</v>
      </c>
    </row>
    <row customHeight="1" ht="14.699999999999998">
      <c r="D15" s="612"/>
      <c r="E15" s="482"/>
      <c r="F15" s="482"/>
      <c r="G15" s="81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612"/>
      <c r="I15" s="612"/>
      <c r="J15" s="612"/>
      <c r="K15" s="612"/>
      <c r="L15" s="612"/>
      <c r="W15" s="593">
        <v>14</v>
      </c>
    </row>
    <row customHeight="1" ht="14.699999999999998">
      <c r="W16" s="593">
        <v>14</v>
      </c>
    </row>
    <row customHeight="1" ht="14.699999999999998">
      <c r="W17" s="593">
        <v>14</v>
      </c>
    </row>
    <row customHeight="1" ht="14.699999999999998">
      <c r="G18" s="651"/>
      <c r="W18" s="593">
        <v>14</v>
      </c>
    </row>
    <row customHeight="1" ht="22.5" hidden="1">
      <c r="A19" s="595" t="s">
        <v>83</v>
      </c>
      <c r="B19" s="593">
        <v>0</v>
      </c>
      <c r="C19" s="904">
        <v>0</v>
      </c>
      <c r="D19" s="597">
        <v>3</v>
      </c>
      <c r="E19" s="593">
        <v>6</v>
      </c>
      <c r="F19" s="904">
        <v>0</v>
      </c>
      <c r="G19" s="593">
        <v>30</v>
      </c>
      <c r="H19" s="593">
        <v>30</v>
      </c>
      <c r="I19" s="593">
        <v>8</v>
      </c>
      <c r="J19" s="593">
        <v>12</v>
      </c>
      <c r="K19" s="593">
        <v>46</v>
      </c>
      <c r="L19" s="593">
        <v>100</v>
      </c>
      <c r="M19" s="598">
        <v>7</v>
      </c>
      <c r="N19" s="593">
        <v>10</v>
      </c>
      <c r="O19" s="593">
        <v>10</v>
      </c>
      <c r="P19" s="593">
        <v>10</v>
      </c>
      <c r="Q19" s="593">
        <v>10</v>
      </c>
      <c r="R19" s="593">
        <v>10</v>
      </c>
      <c r="S19" s="593">
        <v>10</v>
      </c>
      <c r="T19" s="593">
        <v>10</v>
      </c>
      <c r="U19" s="593">
        <v>10</v>
      </c>
      <c r="V19" s="593">
        <v>10</v>
      </c>
      <c r="W19" s="593">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428365-AE02-9F94-0B9D-0.5FB6F93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2" style="7235" width="24.7109375" hidden="1" customWidth="1"/>
    <col min="23" max="23" style="7235" width="0.140625" hidden="1" customWidth="1"/>
    <col min="24" max="25" style="7235" width="24.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24.7109375" customWidth="1"/>
    <col min="31" max="31" style="7235" width="0.140625" customWidth="1"/>
    <col min="32" max="33" style="7235" width="24.0039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10.57421875" hidden="1"/>
  </cols>
  <sheetData>
    <row customHeight="1" ht="22.5" hidden="1">
      <c r="Y1" s="473"/>
      <c r="Z1" s="473"/>
      <c r="AG1" s="473"/>
      <c r="AH1" s="473"/>
      <c r="AS1" s="1301" t="s">
        <v>14</v>
      </c>
    </row>
    <row customHeight="1" ht="21" hidden="1">
      <c r="A2" s="1509"/>
      <c r="B2" s="1509"/>
      <c r="C2" s="1509"/>
      <c r="D2" s="1509"/>
      <c r="E2" s="2417">
        <v>1</v>
      </c>
      <c r="F2" s="1509"/>
      <c r="G2" s="1509"/>
      <c r="H2" s="1509"/>
      <c r="I2" s="1509"/>
      <c r="J2" s="1509"/>
      <c r="K2" s="1509"/>
      <c r="L2" s="1510"/>
      <c r="M2" s="1511"/>
      <c r="N2" s="1511"/>
      <c r="O2" s="1511"/>
      <c r="P2" s="507"/>
      <c r="Q2" s="506"/>
      <c r="R2" s="501"/>
      <c r="S2" s="1455">
        <f>INDEX(PT_DIFFERENTIATION_NUM_NTAR,MATCH(A2,PT_DIFFERENTIATION_NTAR_ID,0))</f>
      </c>
      <c r="T2" s="444"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646"/>
      <c r="AP2" s="646" t="str">
        <f>IF(T2="","",T2)</f>
        <v>Наименование тарифа</v>
      </c>
      <c r="AQ2" s="646"/>
      <c r="AR2" s="646"/>
      <c r="AS2" s="1301">
        <v>0</v>
      </c>
    </row>
    <row customHeight="1" ht="21" hidden="1">
      <c r="A3" s="1509"/>
      <c r="B3" s="1509"/>
      <c r="C3" s="1509"/>
      <c r="D3" s="1509"/>
      <c r="E3" s="2418"/>
      <c r="F3" s="2417">
        <v>1</v>
      </c>
      <c r="G3" s="1509"/>
      <c r="H3" s="1509"/>
      <c r="I3" s="1509"/>
      <c r="J3" s="1509"/>
      <c r="K3" s="1509"/>
      <c r="L3" s="1510"/>
      <c r="M3" s="1511"/>
      <c r="N3" s="1511"/>
      <c r="O3" s="1511"/>
      <c r="P3" s="1450"/>
      <c r="Q3" s="498"/>
      <c r="R3" s="499"/>
      <c r="S3" s="1455">
        <f>INDEX(PT_DIFFERENTIATION_NUM_TER,MATCH(B3,PT_DIFFERENTIATION_TER_ID,0))</f>
      </c>
      <c r="T3" s="454"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646"/>
      <c r="AP3" s="646" t="str">
        <f>IF(T3="","",T3)</f>
        <v>Территория действия тарифа</v>
      </c>
      <c r="AQ3" s="646"/>
      <c r="AR3" s="646"/>
      <c r="AS3" s="1301">
        <v>0</v>
      </c>
    </row>
    <row customHeight="1" ht="23.25" hidden="1">
      <c r="A4" s="1509"/>
      <c r="B4" s="1509"/>
      <c r="C4" s="1509"/>
      <c r="D4" s="1509"/>
      <c r="E4" s="2418"/>
      <c r="F4" s="2418"/>
      <c r="G4" s="2417">
        <v>1</v>
      </c>
      <c r="H4" s="1509"/>
      <c r="I4" s="1509"/>
      <c r="J4" s="1509"/>
      <c r="K4" s="1509"/>
      <c r="L4" s="1510"/>
      <c r="M4" s="1511"/>
      <c r="N4" s="1511"/>
      <c r="O4" s="1511"/>
      <c r="P4" s="500"/>
      <c r="Q4" s="498"/>
      <c r="R4" s="499"/>
      <c r="S4" s="1455">
        <f>INDEX(PT_DIFFERENTIATION_NUM_CS,MATCH(C4,PT_DIFFERENTIATION_CS_ID,0))</f>
      </c>
      <c r="T4" s="455" t="s">
        <v>421</v>
      </c>
      <c r="U4" s="446"/>
      <c r="V4" s="2401"/>
      <c r="W4" s="2402"/>
      <c r="X4" s="2402"/>
      <c r="Y4" s="2402"/>
      <c r="Z4" s="2402"/>
      <c r="AA4" s="2402"/>
      <c r="AB4" s="2402"/>
      <c r="AC4" s="2403"/>
      <c r="AD4" s="2401">
        <f>INDEX(PT_DIFFERENTIATION_CS,MATCH(C4,PT_DIFFERENTIATION_CS_ID,0))</f>
      </c>
      <c r="AE4" s="2402"/>
      <c r="AF4" s="2402"/>
      <c r="AG4" s="2402"/>
      <c r="AH4" s="2402"/>
      <c r="AI4" s="2402"/>
      <c r="AJ4" s="2402"/>
      <c r="AK4" s="2402"/>
      <c r="AL4" s="2403"/>
      <c r="AM4" s="1404" t="s">
        <v>422</v>
      </c>
      <c r="AO4" s="646"/>
      <c r="AP4" s="646" t="str">
        <f>IF(T4="","",T4)</f>
        <v>Наименование системы теплоснабжения </v>
      </c>
      <c r="AQ4" s="646"/>
      <c r="AR4" s="646"/>
      <c r="AS4" s="1301">
        <v>0</v>
      </c>
    </row>
    <row customHeight="1" ht="21" hidden="1">
      <c r="A5" s="1509"/>
      <c r="B5" s="1509"/>
      <c r="C5" s="1509"/>
      <c r="D5" s="1509"/>
      <c r="E5" s="2418"/>
      <c r="F5" s="2418"/>
      <c r="G5" s="2418"/>
      <c r="H5" s="2417">
        <v>1</v>
      </c>
      <c r="I5" s="1509"/>
      <c r="J5" s="1509"/>
      <c r="K5" s="1509"/>
      <c r="L5" s="1510"/>
      <c r="M5" s="1511"/>
      <c r="N5" s="1511"/>
      <c r="O5" s="1511"/>
      <c r="P5" s="500"/>
      <c r="Q5" s="498"/>
      <c r="R5" s="499"/>
      <c r="S5" s="1455">
        <f>INDEX(PT_DIFFERENTIATION_NUM_IST_TE,MATCH(D5,PT_DIFFERENTIATION_IST_TE_ID,0))</f>
      </c>
      <c r="T5" s="456" t="s">
        <v>423</v>
      </c>
      <c r="U5" s="446"/>
      <c r="V5" s="2401"/>
      <c r="W5" s="2402"/>
      <c r="X5" s="2402"/>
      <c r="Y5" s="2402"/>
      <c r="Z5" s="2402"/>
      <c r="AA5" s="2402"/>
      <c r="AB5" s="2402"/>
      <c r="AC5" s="2403"/>
      <c r="AD5" s="2401">
        <f>INDEX(PT_DIFFERENTIATION_IST_TE,MATCH(D5,PT_DIFFERENTIATION_IST_TE_ID,0))</f>
      </c>
      <c r="AE5" s="2402"/>
      <c r="AF5" s="2402"/>
      <c r="AG5" s="2402"/>
      <c r="AH5" s="2402"/>
      <c r="AI5" s="2402"/>
      <c r="AJ5" s="2402"/>
      <c r="AK5" s="2402"/>
      <c r="AL5" s="2403"/>
      <c r="AM5" s="1404" t="s">
        <v>424</v>
      </c>
      <c r="AO5" s="646"/>
      <c r="AP5" s="646" t="str">
        <f>IF(T5="","",T5)</f>
        <v>Источник тепловой энергии  </v>
      </c>
      <c r="AQ5" s="646"/>
      <c r="AR5" s="646"/>
      <c r="AS5" s="1301">
        <v>0</v>
      </c>
    </row>
    <row customHeight="1" ht="47.25" hidden="1">
      <c r="A6" s="1509"/>
      <c r="B6" s="1509"/>
      <c r="C6" s="1509"/>
      <c r="D6" s="1509"/>
      <c r="E6" s="2418"/>
      <c r="F6" s="2418"/>
      <c r="G6" s="2418"/>
      <c r="H6" s="2418"/>
      <c r="I6" s="2415">
        <f>S5&amp;".1"</f>
      </c>
      <c r="J6" s="1509"/>
      <c r="K6" s="1509"/>
      <c r="L6" s="1510" t="s">
        <v>425</v>
      </c>
      <c r="M6" s="683"/>
      <c r="P6" s="2416">
        <v>1</v>
      </c>
      <c r="Q6" s="1451"/>
      <c r="R6" s="502"/>
      <c r="S6" s="1455">
        <f>$I6</f>
      </c>
      <c r="T6" s="431" t="s">
        <v>426</v>
      </c>
      <c r="U6" s="446"/>
      <c r="V6" s="2404"/>
      <c r="W6" s="2405"/>
      <c r="X6" s="2405"/>
      <c r="Y6" s="2405"/>
      <c r="Z6" s="2405"/>
      <c r="AA6" s="2405"/>
      <c r="AB6" s="2405"/>
      <c r="AC6" s="2406"/>
      <c r="AD6" s="2404"/>
      <c r="AE6" s="2405"/>
      <c r="AF6" s="2405"/>
      <c r="AG6" s="2405"/>
      <c r="AH6" s="2405"/>
      <c r="AI6" s="2405"/>
      <c r="AJ6" s="2405"/>
      <c r="AK6" s="2405"/>
      <c r="AL6" s="2406"/>
      <c r="AM6" s="1404" t="s">
        <v>427</v>
      </c>
      <c r="AO6" s="646"/>
      <c r="AP6" s="646" t="str">
        <f>IF(T6="","",T6)</f>
        <v>Схема подключения теплопотребляющей установки к коллектору источника тепловой энергии</v>
      </c>
      <c r="AQ6" s="646"/>
      <c r="AR6" s="646"/>
      <c r="AS6" s="1301">
        <v>0</v>
      </c>
    </row>
    <row customHeight="1" ht="21" hidden="1">
      <c r="A7" s="1509"/>
      <c r="B7" s="1509"/>
      <c r="C7" s="1509"/>
      <c r="D7" s="1509"/>
      <c r="E7" s="2418"/>
      <c r="F7" s="2418"/>
      <c r="G7" s="2418"/>
      <c r="H7" s="2418"/>
      <c r="I7" s="2445"/>
      <c r="J7" s="2415">
        <f>I6&amp;".1"</f>
      </c>
      <c r="K7" s="1509"/>
      <c r="L7" s="1510" t="s">
        <v>428</v>
      </c>
      <c r="M7" s="683"/>
      <c r="N7" s="1512"/>
      <c r="P7" s="2416"/>
      <c r="Q7" s="2416">
        <v>1</v>
      </c>
      <c r="R7" s="503"/>
      <c r="S7" s="1455">
        <f>$J7</f>
      </c>
      <c r="T7" s="432" t="s">
        <v>429</v>
      </c>
      <c r="U7" s="446"/>
      <c r="V7" s="2404"/>
      <c r="W7" s="2405"/>
      <c r="X7" s="2405"/>
      <c r="Y7" s="2405"/>
      <c r="Z7" s="2405"/>
      <c r="AA7" s="2405"/>
      <c r="AB7" s="2405"/>
      <c r="AC7" s="2406"/>
      <c r="AD7" s="2404"/>
      <c r="AE7" s="2405"/>
      <c r="AF7" s="2405"/>
      <c r="AG7" s="2405"/>
      <c r="AH7" s="2405"/>
      <c r="AI7" s="2405"/>
      <c r="AJ7" s="2405"/>
      <c r="AK7" s="2405"/>
      <c r="AL7" s="2406"/>
      <c r="AM7" s="1404" t="s">
        <v>430</v>
      </c>
      <c r="AO7" s="646"/>
      <c r="AP7" s="646" t="str">
        <f>IF(T7="","",T7)</f>
        <v>Группа потребителей</v>
      </c>
      <c r="AQ7" s="646"/>
      <c r="AR7" s="646"/>
      <c r="AS7" s="1301">
        <v>0</v>
      </c>
    </row>
    <row customHeight="1" ht="21" hidden="1">
      <c r="A8" s="1509"/>
      <c r="B8" s="1509"/>
      <c r="C8" s="1509"/>
      <c r="D8" s="1509"/>
      <c r="E8" s="2418"/>
      <c r="F8" s="2418"/>
      <c r="G8" s="2418"/>
      <c r="H8" s="2418"/>
      <c r="I8" s="2445"/>
      <c r="J8" s="2445"/>
      <c r="K8" s="2415">
        <f>J7&amp;".1"</f>
      </c>
      <c r="L8" s="1510" t="s">
        <v>431</v>
      </c>
      <c r="M8" s="683"/>
      <c r="N8" s="1512"/>
      <c r="O8" s="1512"/>
      <c r="P8" s="2416"/>
      <c r="Q8" s="2416"/>
      <c r="R8" s="503">
        <v>1</v>
      </c>
      <c r="S8" s="1455">
        <f>$K8</f>
      </c>
      <c r="T8" s="1493"/>
      <c r="U8" s="446"/>
      <c r="V8" s="897"/>
      <c r="W8" s="471"/>
      <c r="X8" s="897"/>
      <c r="Y8" s="1403"/>
      <c r="Z8" s="2424"/>
      <c r="AA8" s="2266" t="s">
        <v>63</v>
      </c>
      <c r="AB8" s="2424"/>
      <c r="AC8" s="2266" t="s">
        <v>63</v>
      </c>
      <c r="AD8" s="897"/>
      <c r="AE8" s="471"/>
      <c r="AF8" s="897"/>
      <c r="AG8" s="1403"/>
      <c r="AH8" s="2424"/>
      <c r="AI8" s="2266" t="s">
        <v>63</v>
      </c>
      <c r="AJ8" s="2424"/>
      <c r="AK8" s="2266" t="s">
        <v>63</v>
      </c>
      <c r="AL8" s="471"/>
      <c r="AM8" s="2412" t="s">
        <v>432</v>
      </c>
      <c r="AN8" s="657">
        <f>STRCHECKDATE(V9:AL9)</f>
      </c>
      <c r="AO8" s="646"/>
      <c r="AP8" s="646" t="str">
        <f>IF(T8="","",T8)</f>
        <v/>
      </c>
      <c r="AQ8" s="646"/>
      <c r="AR8" s="646"/>
      <c r="AS8" s="1301">
        <v>0</v>
      </c>
    </row>
    <row customHeight="1" ht="0.75" hidden="1">
      <c r="A9" s="1509"/>
      <c r="B9" s="1509"/>
      <c r="C9" s="1509"/>
      <c r="D9" s="1509"/>
      <c r="E9" s="2418"/>
      <c r="F9" s="2418"/>
      <c r="G9" s="2418"/>
      <c r="H9" s="2418"/>
      <c r="I9" s="2445"/>
      <c r="J9" s="2445"/>
      <c r="K9" s="2415"/>
      <c r="L9" s="1510"/>
      <c r="M9" s="683"/>
      <c r="N9" s="1512"/>
      <c r="O9" s="1512"/>
      <c r="P9" s="2416"/>
      <c r="Q9" s="2416"/>
      <c r="R9" s="503"/>
      <c r="S9" s="1452"/>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646"/>
      <c r="AP9" s="646" t="str">
        <f>IF(T9="","",T9)</f>
        <v/>
      </c>
      <c r="AQ9" s="646"/>
      <c r="AR9" s="646"/>
      <c r="AS9" s="1301">
        <v>0</v>
      </c>
    </row>
    <row customHeight="1" ht="15" hidden="1">
      <c r="A10" s="1509"/>
      <c r="B10" s="1509"/>
      <c r="C10" s="1509"/>
      <c r="D10" s="1509"/>
      <c r="E10" s="2418"/>
      <c r="F10" s="2418"/>
      <c r="G10" s="2418"/>
      <c r="H10" s="2418"/>
      <c r="I10" s="2445"/>
      <c r="J10" s="2415"/>
      <c r="K10" s="1509"/>
      <c r="L10" s="1510"/>
      <c r="M10" s="683"/>
      <c r="N10" s="1512"/>
      <c r="P10" s="2416"/>
      <c r="Q10" s="2416"/>
      <c r="R10" s="502"/>
      <c r="S10" s="1424"/>
      <c r="T10" s="434" t="s">
        <v>433</v>
      </c>
      <c r="U10" s="513"/>
      <c r="V10" s="513"/>
      <c r="W10" s="513"/>
      <c r="X10" s="513"/>
      <c r="Y10" s="513"/>
      <c r="Z10" s="513"/>
      <c r="AA10" s="513"/>
      <c r="AB10" s="513"/>
      <c r="AC10" s="513"/>
      <c r="AD10" s="513"/>
      <c r="AE10" s="513"/>
      <c r="AF10" s="513"/>
      <c r="AG10" s="513"/>
      <c r="AH10" s="513"/>
      <c r="AI10" s="513"/>
      <c r="AJ10" s="513"/>
      <c r="AK10" s="513"/>
      <c r="AL10" s="470"/>
      <c r="AM10" s="2414"/>
      <c r="AO10" s="646"/>
      <c r="AP10" s="646" t="str">
        <f>IF(T10="","",T10)</f>
        <v>Добавить вид теплоносителя (параметры теплоносителя)</v>
      </c>
      <c r="AQ10" s="646"/>
      <c r="AR10" s="646"/>
      <c r="AS10" s="1301">
        <v>0</v>
      </c>
    </row>
    <row customHeight="1" ht="15" hidden="1">
      <c r="A11" s="1509"/>
      <c r="B11" s="1509"/>
      <c r="C11" s="1509"/>
      <c r="D11" s="1509"/>
      <c r="E11" s="2418"/>
      <c r="F11" s="2418"/>
      <c r="G11" s="2418"/>
      <c r="H11" s="2418"/>
      <c r="I11" s="2415"/>
      <c r="J11" s="1509"/>
      <c r="K11" s="1509"/>
      <c r="L11" s="1510"/>
      <c r="M11" s="683"/>
      <c r="P11" s="2416"/>
      <c r="Q11" s="1451"/>
      <c r="R11" s="502"/>
      <c r="S11" s="1424"/>
      <c r="T11" s="433" t="s">
        <v>434</v>
      </c>
      <c r="U11" s="513"/>
      <c r="V11" s="513"/>
      <c r="W11" s="513"/>
      <c r="X11" s="513"/>
      <c r="Y11" s="513"/>
      <c r="Z11" s="513"/>
      <c r="AA11" s="513"/>
      <c r="AB11" s="513"/>
      <c r="AC11" s="512"/>
      <c r="AD11" s="513"/>
      <c r="AE11" s="513"/>
      <c r="AF11" s="513"/>
      <c r="AG11" s="513"/>
      <c r="AH11" s="513"/>
      <c r="AI11" s="513"/>
      <c r="AJ11" s="513"/>
      <c r="AK11" s="512"/>
      <c r="AL11" s="513"/>
      <c r="AM11" s="449"/>
      <c r="AO11" s="646"/>
      <c r="AP11" s="646" t="str">
        <f>IF(T11="","",T11)</f>
        <v>Добавить группу потребителей</v>
      </c>
      <c r="AQ11" s="646"/>
      <c r="AR11" s="646"/>
      <c r="AS11" s="1301">
        <v>0</v>
      </c>
    </row>
    <row customHeight="1" ht="14.25" hidden="1">
      <c r="A12" s="1509"/>
      <c r="B12" s="1509"/>
      <c r="C12" s="1509"/>
      <c r="D12" s="1509"/>
      <c r="E12" s="2418"/>
      <c r="F12" s="2418"/>
      <c r="G12" s="2418"/>
      <c r="H12" s="2417"/>
      <c r="I12" s="1509"/>
      <c r="J12" s="1509"/>
      <c r="K12" s="1509"/>
      <c r="L12" s="1510"/>
      <c r="M12" s="1511"/>
      <c r="N12" s="1511"/>
      <c r="O12" s="683"/>
      <c r="P12" s="506"/>
      <c r="Q12" s="521"/>
      <c r="R12" s="501"/>
      <c r="S12" s="1424"/>
      <c r="T12" s="511" t="s">
        <v>435</v>
      </c>
      <c r="U12" s="513"/>
      <c r="V12" s="513"/>
      <c r="W12" s="513"/>
      <c r="X12" s="513"/>
      <c r="Y12" s="513"/>
      <c r="Z12" s="513"/>
      <c r="AA12" s="513"/>
      <c r="AB12" s="513"/>
      <c r="AC12" s="512"/>
      <c r="AD12" s="513"/>
      <c r="AE12" s="513"/>
      <c r="AF12" s="513"/>
      <c r="AG12" s="513"/>
      <c r="AH12" s="513"/>
      <c r="AI12" s="513"/>
      <c r="AJ12" s="513"/>
      <c r="AK12" s="512"/>
      <c r="AL12" s="513"/>
      <c r="AM12" s="449"/>
      <c r="AO12" s="646"/>
      <c r="AP12" s="646" t="str">
        <f>IF(T12="","",T12)</f>
        <v>Добавить схему подключения</v>
      </c>
      <c r="AQ12" s="646"/>
      <c r="AR12" s="646"/>
      <c r="AS12" s="1301">
        <v>0</v>
      </c>
    </row>
    <row s="6720" customFormat="1" customHeight="1" ht="0.75" hidden="1">
      <c r="A13" s="1460"/>
      <c r="B13" s="1460"/>
      <c r="C13" s="1460"/>
      <c r="D13" s="1460"/>
      <c r="E13" s="2418"/>
      <c r="F13" s="2418"/>
      <c r="G13" s="2417"/>
      <c r="H13" s="1460"/>
      <c r="I13" s="1460"/>
      <c r="J13" s="1460"/>
      <c r="K13" s="1460"/>
      <c r="L13" s="1485"/>
      <c r="M13" s="1461"/>
      <c r="N13" s="1461"/>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935"/>
      <c r="AP13" s="935" t="str">
        <f>IF(T13="","",T13)</f>
        <v>Добавить источник для дифференциации</v>
      </c>
      <c r="AQ13" s="935"/>
      <c r="AR13" s="935"/>
      <c r="AS13" s="664">
        <v>0</v>
      </c>
    </row>
    <row s="6720" customFormat="1" customHeight="1" ht="0.75" hidden="1">
      <c r="A14" s="1460"/>
      <c r="B14" s="1460"/>
      <c r="C14" s="1460"/>
      <c r="D14" s="1460"/>
      <c r="E14" s="2418"/>
      <c r="F14" s="2417"/>
      <c r="G14" s="1460"/>
      <c r="H14" s="1460"/>
      <c r="I14" s="1460"/>
      <c r="J14" s="1460"/>
      <c r="K14" s="1460"/>
      <c r="L14" s="1485"/>
      <c r="M14" s="1467"/>
      <c r="N14" s="1467"/>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935"/>
      <c r="AP14" s="935" t="str">
        <f>IF(T14="","",T14)</f>
        <v>Добавить централизованную систему для дифференциации</v>
      </c>
      <c r="AQ14" s="935"/>
      <c r="AR14" s="935"/>
      <c r="AS14" s="664">
        <v>0</v>
      </c>
    </row>
    <row s="6720" customFormat="1" customHeight="1" ht="0.75" hidden="1">
      <c r="A15" s="1460"/>
      <c r="B15" s="1460"/>
      <c r="C15" s="1460"/>
      <c r="D15" s="1460"/>
      <c r="E15" s="2417"/>
      <c r="F15" s="1460"/>
      <c r="G15" s="1460"/>
      <c r="H15" s="1460"/>
      <c r="I15" s="1460"/>
      <c r="J15" s="1460"/>
      <c r="K15" s="1460"/>
      <c r="L15" s="1485"/>
      <c r="M15" s="1467"/>
      <c r="N15" s="1467"/>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935"/>
      <c r="AP15" s="935" t="str">
        <f>IF(T15="","",T15)</f>
        <v>Добавить территорию для дифференциации</v>
      </c>
      <c r="AQ15" s="935"/>
      <c r="AR15" s="935"/>
      <c r="AS15" s="664">
        <v>0</v>
      </c>
    </row>
    <row customHeight="1" ht="14.25" hidden="1">
      <c r="AC16" s="473"/>
      <c r="AK16" s="473"/>
      <c r="AS16" s="1301">
        <v>0</v>
      </c>
    </row>
    <row customHeight="1" ht="14.25" hidden="1">
      <c r="P17" s="1457"/>
      <c r="AD17" s="1506"/>
      <c r="AE17" s="1506"/>
      <c r="AF17" s="1506"/>
      <c r="AG17" s="1507"/>
      <c r="AH17" s="2426"/>
      <c r="AI17" s="2427" t="s">
        <v>63</v>
      </c>
      <c r="AJ17" s="2426"/>
      <c r="AK17" s="2427" t="s">
        <v>63</v>
      </c>
      <c r="AS17" s="1301">
        <v>0</v>
      </c>
    </row>
    <row customHeight="1" ht="14.25" hidden="1">
      <c r="P18" s="1457"/>
      <c r="AD18" s="1506"/>
      <c r="AE18" s="1506"/>
      <c r="AF18" s="1506"/>
      <c r="AG18" s="474" t="str">
        <f>AH17&amp;"-"&amp;AJ17</f>
        <v>-</v>
      </c>
      <c r="AH18" s="2427"/>
      <c r="AI18" s="2427"/>
      <c r="AJ18" s="2427"/>
      <c r="AK18" s="2427"/>
      <c r="AS18" s="1301">
        <v>0</v>
      </c>
    </row>
    <row customHeight="1" ht="14.25" hidden="1">
      <c r="P19" s="1457"/>
      <c r="AK19" s="473"/>
      <c r="AS19" s="1301">
        <v>0</v>
      </c>
    </row>
    <row s="7180" customFormat="1" customHeight="1" ht="22.5" hidden="1">
      <c r="L20" s="1475"/>
      <c r="M20" s="1508"/>
      <c r="N20" s="1508"/>
      <c r="O20" s="1513" t="s">
        <v>439</v>
      </c>
      <c r="P20" s="1508"/>
      <c r="Q20" s="1517"/>
      <c r="R20" s="1517"/>
      <c r="S20" s="875"/>
      <c r="Z20" s="1513"/>
      <c r="AB20" s="1513"/>
      <c r="AC20" s="1512"/>
      <c r="AH20" s="1513"/>
      <c r="AJ20" s="1513"/>
      <c r="AK20" s="1512"/>
      <c r="AN20" s="657"/>
      <c r="AO20" s="657"/>
      <c r="AP20" s="657"/>
      <c r="AQ20" s="657"/>
      <c r="AR20" s="657"/>
      <c r="AS20" s="1306">
        <v>0</v>
      </c>
    </row>
    <row s="7180" customFormat="1" customHeight="1" ht="14.25" hidden="1">
      <c r="L21" s="1475"/>
      <c r="M21" s="1508"/>
      <c r="N21" s="1508"/>
      <c r="O21" s="1508"/>
      <c r="P21" s="1508"/>
      <c r="Q21" s="1517"/>
      <c r="R21" s="1517"/>
      <c r="S21" s="875"/>
      <c r="AC21" s="1512"/>
      <c r="AK21" s="1512"/>
      <c r="AN21" s="657"/>
      <c r="AO21" s="657"/>
      <c r="AP21" s="657"/>
      <c r="AQ21" s="657"/>
      <c r="AR21" s="657"/>
      <c r="AS21" s="1306">
        <v>0</v>
      </c>
    </row>
    <row s="7180" customFormat="1" customHeight="1" ht="14.25" hidden="1">
      <c r="L22" s="1475"/>
      <c r="M22" s="1508"/>
      <c r="N22" s="1508"/>
      <c r="O22" s="1510" t="s">
        <v>440</v>
      </c>
      <c r="P22" s="1508"/>
      <c r="Q22" s="1517"/>
      <c r="R22" s="1517"/>
      <c r="S22" s="875"/>
      <c r="T22" s="1306" t="s">
        <v>441</v>
      </c>
      <c r="AA22" s="332" t="s">
        <v>442</v>
      </c>
      <c r="AC22" s="332" t="s">
        <v>443</v>
      </c>
      <c r="AD22" s="1306" t="s">
        <v>441</v>
      </c>
      <c r="AI22" s="332" t="s">
        <v>444</v>
      </c>
      <c r="AK22" s="332" t="s">
        <v>443</v>
      </c>
      <c r="AN22" s="657"/>
      <c r="AO22" s="657"/>
      <c r="AP22" s="657"/>
      <c r="AQ22" s="657"/>
      <c r="AR22" s="657"/>
      <c r="AS22" s="1306">
        <v>0</v>
      </c>
    </row>
    <row customHeight="1" ht="14.25" hidden="1">
      <c r="O23" s="1510"/>
      <c r="P23" s="1457"/>
      <c r="AS23" s="1301">
        <v>0</v>
      </c>
    </row>
    <row customHeight="1" ht="14.25" hidden="1">
      <c r="O24" s="1510"/>
      <c r="P24" s="1457"/>
      <c r="AS24" s="1301">
        <v>0</v>
      </c>
    </row>
    <row customHeight="1" ht="14.699999999999998">
      <c r="Q25" s="522"/>
      <c r="R25" s="522"/>
      <c r="S25" s="1421"/>
      <c r="T25" s="509"/>
      <c r="U25" s="509"/>
      <c r="V25" s="655"/>
      <c r="W25" s="655"/>
      <c r="X25" s="655"/>
      <c r="Y25" s="655"/>
      <c r="Z25" s="655"/>
      <c r="AA25" s="655"/>
      <c r="AB25" s="655"/>
      <c r="AC25" s="655"/>
      <c r="AD25" s="655"/>
      <c r="AE25" s="655"/>
      <c r="AF25" s="655"/>
      <c r="AG25" s="655"/>
      <c r="AH25" s="655"/>
      <c r="AI25" s="655"/>
      <c r="AJ25" s="655"/>
      <c r="AK25" s="655"/>
      <c r="AS25" s="1301">
        <v>14</v>
      </c>
    </row>
    <row customHeight="1" ht="14.699999999999998">
      <c r="Q26" s="522"/>
      <c r="R26" s="522"/>
      <c r="S26" s="24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7"/>
      <c r="U26" s="2407"/>
      <c r="V26" s="2407"/>
      <c r="W26" s="2407"/>
      <c r="X26" s="2407"/>
      <c r="Y26" s="2407"/>
      <c r="Z26" s="2407"/>
      <c r="AA26" s="2407"/>
      <c r="AB26" s="2407"/>
      <c r="AC26" s="2407"/>
      <c r="AD26" s="2407"/>
      <c r="AE26" s="2407"/>
      <c r="AF26" s="2407"/>
      <c r="AG26" s="2407"/>
      <c r="AH26" s="2407"/>
      <c r="AI26" s="2407"/>
      <c r="AJ26" s="2407"/>
      <c r="AK26" s="1389"/>
      <c r="AS26" s="1301">
        <v>14</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301">
        <v>14</v>
      </c>
    </row>
    <row customHeight="1" ht="14.25" hidden="1">
      <c r="Q28" s="522"/>
      <c r="R28" s="522"/>
      <c r="S28" s="1421"/>
      <c r="T28" s="509"/>
      <c r="U28" s="509"/>
      <c r="V28" s="468"/>
      <c r="W28" s="468"/>
      <c r="X28" s="468"/>
      <c r="Y28" s="468"/>
      <c r="Z28" s="468"/>
      <c r="AA28" s="468"/>
      <c r="AB28" s="468"/>
      <c r="AC28" s="468"/>
      <c r="AD28" s="468"/>
      <c r="AE28" s="468"/>
      <c r="AF28" s="468"/>
      <c r="AG28" s="468"/>
      <c r="AH28" s="468"/>
      <c r="AI28" s="468"/>
      <c r="AJ28" s="468"/>
      <c r="AK28" s="468"/>
      <c r="AL28" s="655"/>
      <c r="AS28" s="1301">
        <v>0</v>
      </c>
    </row>
    <row s="7809" customFormat="1" customHeight="1" ht="25.5" hidden="1">
      <c r="A29" s="1514"/>
      <c r="B29" s="1514"/>
      <c r="C29" s="1514"/>
      <c r="D29" s="1514"/>
      <c r="E29" s="1514"/>
      <c r="F29" s="1514"/>
      <c r="G29" s="1514"/>
      <c r="H29" s="1514"/>
      <c r="I29" s="1514"/>
      <c r="J29" s="1514"/>
      <c r="K29" s="1514"/>
      <c r="L29" s="1515"/>
      <c r="M29" s="1514"/>
      <c r="N29" s="1514"/>
      <c r="O29" s="1514"/>
      <c r="S29" s="2409" t="s">
        <v>42</v>
      </c>
      <c r="T29" s="2409"/>
      <c r="U29" s="1518"/>
      <c r="V29" s="2410" t="str">
        <f>IF(TITLE_NAME_OR_PR_CHANGE="",IF(TITLE_NAME_OR_PR="","",TITLE_NAME_OR_PR),TITLE_NAME_OR_PR_CHANGE)</f>
        <v/>
      </c>
      <c r="W29" s="2410"/>
      <c r="X29" s="2410"/>
      <c r="Y29" s="2410"/>
      <c r="Z29" s="2410"/>
      <c r="AA29" s="2410"/>
      <c r="AB29" s="2410"/>
      <c r="AC29" s="472"/>
      <c r="AD29" s="2410" t="str">
        <f>IF(TITLE_NAME_OR_PR_CHANGE="",IF(TITLE_NAME_OR_PR="","",TITLE_NAME_OR_PR),TITLE_NAME_OR_PR_CHANGE)</f>
        <v/>
      </c>
      <c r="AE29" s="2410"/>
      <c r="AF29" s="2410"/>
      <c r="AG29" s="2410"/>
      <c r="AH29" s="2410"/>
      <c r="AI29" s="2410"/>
      <c r="AJ29" s="2410"/>
      <c r="AK29" s="472"/>
      <c r="AL29" s="472"/>
      <c r="AM29" s="426"/>
      <c r="AN29" s="514"/>
      <c r="AO29" s="514"/>
      <c r="AP29" s="514"/>
      <c r="AQ29" s="514"/>
      <c r="AR29" s="514"/>
      <c r="AS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445</v>
      </c>
      <c r="T30" s="2409"/>
      <c r="U30" s="1518"/>
      <c r="V30" s="2423" t="str">
        <f>IF(TITLE_DATE_PR_CHANGE="",IF(TITLE_DATE_PR="","",TITLE_DATE_PR),TITLE_DATE_PR_CHANGE)</f>
        <v/>
      </c>
      <c r="W30" s="2423"/>
      <c r="X30" s="2423"/>
      <c r="Y30" s="2423"/>
      <c r="Z30" s="2423"/>
      <c r="AA30" s="2423"/>
      <c r="AB30" s="2423"/>
      <c r="AC30" s="472"/>
      <c r="AD30" s="2423" t="str">
        <f>IF(TITLE_DATE_PR_CHANGE="",IF(TITLE_DATE_PR="","",TITLE_DATE_PR),TITLE_DATE_PR_CHANGE)</f>
        <v/>
      </c>
      <c r="AE30" s="2423"/>
      <c r="AF30" s="2423"/>
      <c r="AG30" s="2423"/>
      <c r="AH30" s="2423"/>
      <c r="AI30" s="2423"/>
      <c r="AJ30" s="2423"/>
      <c r="AK30" s="472"/>
      <c r="AL30" s="472"/>
      <c r="AM30" s="426"/>
      <c r="AN30" s="514"/>
      <c r="AO30" s="514"/>
      <c r="AP30" s="514"/>
      <c r="AQ30" s="514"/>
      <c r="AR30" s="514"/>
      <c r="AS30" s="564">
        <v>0</v>
      </c>
    </row>
    <row s="7809" customFormat="1" customHeight="1" ht="18.75" hidden="1">
      <c r="A31" s="1514"/>
      <c r="B31" s="1514"/>
      <c r="C31" s="1514"/>
      <c r="D31" s="1514"/>
      <c r="E31" s="1514"/>
      <c r="F31" s="1514"/>
      <c r="G31" s="1514"/>
      <c r="H31" s="1514"/>
      <c r="I31" s="1514"/>
      <c r="J31" s="1514"/>
      <c r="K31" s="1514"/>
      <c r="L31" s="1515"/>
      <c r="M31" s="1514"/>
      <c r="N31" s="1514"/>
      <c r="O31" s="1514"/>
      <c r="S31" s="2409" t="s">
        <v>446</v>
      </c>
      <c r="T31" s="2409"/>
      <c r="U31" s="1518"/>
      <c r="V31" s="2410" t="str">
        <f>IF(TITLE_NUMBER_PR_CHANGE="",IF(TITLE_NUMBER_PR="","",TITLE_NUMBER_PR),TITLE_NUMBER_PR_CHANGE)</f>
        <v/>
      </c>
      <c r="W31" s="2410"/>
      <c r="X31" s="2410"/>
      <c r="Y31" s="2410"/>
      <c r="Z31" s="2410"/>
      <c r="AA31" s="2410"/>
      <c r="AB31" s="2410"/>
      <c r="AC31" s="472"/>
      <c r="AD31" s="2410" t="str">
        <f>IF(TITLE_NUMBER_PR_CHANGE="",IF(TITLE_NUMBER_PR="","",TITLE_NUMBER_PR),TITLE_NUMBER_PR_CHANGE)</f>
        <v/>
      </c>
      <c r="AE31" s="2410"/>
      <c r="AF31" s="2410"/>
      <c r="AG31" s="2410"/>
      <c r="AH31" s="2410"/>
      <c r="AI31" s="2410"/>
      <c r="AJ31" s="2410"/>
      <c r="AK31" s="472"/>
      <c r="AL31" s="472"/>
      <c r="AM31" s="426"/>
      <c r="AN31" s="514"/>
      <c r="AO31" s="514"/>
      <c r="AP31" s="514"/>
      <c r="AQ31" s="514"/>
      <c r="AR31" s="514"/>
      <c r="AS31" s="564">
        <v>0</v>
      </c>
    </row>
    <row s="7809" customFormat="1" customHeight="1" ht="18.75" hidden="1">
      <c r="A32" s="1514"/>
      <c r="B32" s="1514"/>
      <c r="C32" s="1514"/>
      <c r="D32" s="1514"/>
      <c r="E32" s="1514"/>
      <c r="F32" s="1514"/>
      <c r="G32" s="1514"/>
      <c r="H32" s="1514"/>
      <c r="I32" s="1514"/>
      <c r="J32" s="1514"/>
      <c r="K32" s="1514"/>
      <c r="L32" s="1515"/>
      <c r="M32" s="1514"/>
      <c r="N32" s="1514"/>
      <c r="O32" s="1514"/>
      <c r="S32" s="2409" t="s">
        <v>43</v>
      </c>
      <c r="T32" s="2409"/>
      <c r="U32" s="1518"/>
      <c r="V32" s="2410" t="str">
        <f>IF(TITLE_IST_PUB_CHANGE="",IF(TITLE_IST_PUB="","",TITLE_IST_PUB),TITLE_IST_PUB_CHANGE)</f>
        <v/>
      </c>
      <c r="W32" s="2410"/>
      <c r="X32" s="2410"/>
      <c r="Y32" s="2410"/>
      <c r="Z32" s="2410"/>
      <c r="AA32" s="2410"/>
      <c r="AB32" s="2410"/>
      <c r="AC32" s="472"/>
      <c r="AD32" s="2410" t="str">
        <f>IF(TITLE_IST_PUB_CHANGE="",IF(TITLE_IST_PUB="","",TITLE_IST_PUB),TITLE_IST_PUB_CHANGE)</f>
        <v/>
      </c>
      <c r="AE32" s="2410"/>
      <c r="AF32" s="2410"/>
      <c r="AG32" s="2410"/>
      <c r="AH32" s="2410"/>
      <c r="AI32" s="2410"/>
      <c r="AJ32" s="2410"/>
      <c r="AK32" s="472"/>
      <c r="AL32" s="472"/>
      <c r="AM32" s="426"/>
      <c r="AN32" s="514"/>
      <c r="AO32" s="514"/>
      <c r="AP32" s="514"/>
      <c r="AQ32" s="514"/>
      <c r="AR32" s="514"/>
      <c r="AS32" s="564">
        <v>0</v>
      </c>
    </row>
    <row customHeight="1" ht="14.25" hidden="1">
      <c r="P33" s="1474"/>
      <c r="Q33" s="522"/>
      <c r="R33" s="522"/>
      <c r="S33" s="1421"/>
      <c r="T33" s="509"/>
      <c r="U33" s="509"/>
      <c r="V33" s="468"/>
      <c r="W33" s="468"/>
      <c r="X33" s="468"/>
      <c r="Y33" s="468"/>
      <c r="Z33" s="468"/>
      <c r="AA33" s="468"/>
      <c r="AB33" s="468"/>
      <c r="AC33" s="468"/>
      <c r="AD33" s="468"/>
      <c r="AE33" s="468"/>
      <c r="AF33" s="468"/>
      <c r="AG33" s="468"/>
      <c r="AH33" s="468"/>
      <c r="AI33" s="468"/>
      <c r="AJ33" s="468"/>
      <c r="AK33" s="468"/>
      <c r="AL33" s="655"/>
      <c r="AS33" s="1301">
        <v>0</v>
      </c>
    </row>
    <row s="7809" customFormat="1" customHeight="1" ht="18.75" hidden="1">
      <c r="A34" s="1514"/>
      <c r="B34" s="1514"/>
      <c r="C34" s="1514"/>
      <c r="D34" s="1514"/>
      <c r="E34" s="1514"/>
      <c r="F34" s="1514"/>
      <c r="G34" s="1514"/>
      <c r="H34" s="1514"/>
      <c r="I34" s="1514"/>
      <c r="J34" s="1514"/>
      <c r="K34" s="1514"/>
      <c r="L34" s="1515"/>
      <c r="M34" s="1514"/>
      <c r="N34" s="1514"/>
      <c r="O34" s="1514"/>
      <c r="S34" s="2409" t="s">
        <v>447</v>
      </c>
      <c r="T34" s="2409"/>
      <c r="U34" s="1518"/>
      <c r="V34" s="2423" t="str">
        <f>IF(TITLE_DATE_PR_CHANGE="",IF(TITLE_DATE_PR="","",TITLE_DATE_PR),TITLE_DATE_PR_CHANGE)</f>
        <v/>
      </c>
      <c r="W34" s="2423"/>
      <c r="X34" s="2423"/>
      <c r="Y34" s="2423"/>
      <c r="Z34" s="2423"/>
      <c r="AA34" s="2423"/>
      <c r="AB34" s="2423"/>
      <c r="AC34" s="472"/>
      <c r="AD34" s="2423" t="str">
        <f>IF(TITLE_DATE_PR_CHANGE="",IF(TITLE_DATE_PR="","",TITLE_DATE_PR),TITLE_DATE_PR_CHANGE)</f>
        <v/>
      </c>
      <c r="AE34" s="2423"/>
      <c r="AF34" s="2423"/>
      <c r="AG34" s="2423"/>
      <c r="AH34" s="2423"/>
      <c r="AI34" s="2423"/>
      <c r="AJ34" s="2423"/>
      <c r="AK34" s="472"/>
      <c r="AL34" s="472"/>
      <c r="AM34" s="426"/>
      <c r="AN34" s="514"/>
      <c r="AO34" s="514"/>
      <c r="AP34" s="514"/>
      <c r="AQ34" s="514"/>
      <c r="AR34" s="514"/>
      <c r="AS34" s="564">
        <v>0</v>
      </c>
    </row>
    <row s="7809" customFormat="1" customHeight="1" ht="18.75" hidden="1">
      <c r="A35" s="1514"/>
      <c r="B35" s="1514"/>
      <c r="C35" s="1514"/>
      <c r="D35" s="1514"/>
      <c r="E35" s="1514"/>
      <c r="F35" s="1514"/>
      <c r="G35" s="1514"/>
      <c r="H35" s="1514"/>
      <c r="I35" s="1514"/>
      <c r="J35" s="1514"/>
      <c r="K35" s="1514"/>
      <c r="L35" s="1515"/>
      <c r="M35" s="1514"/>
      <c r="N35" s="1514"/>
      <c r="O35" s="1514"/>
      <c r="S35" s="2409" t="s">
        <v>448</v>
      </c>
      <c r="T35" s="2409"/>
      <c r="U35" s="1518"/>
      <c r="V35" s="2410" t="str">
        <f>IF(TITLE_NUMBER_PR_CHANGE="",IF(TITLE_NUMBER_PR="","",TITLE_NUMBER_PR),TITLE_NUMBER_PR_CHANGE)</f>
        <v/>
      </c>
      <c r="W35" s="2410"/>
      <c r="X35" s="2410"/>
      <c r="Y35" s="2410"/>
      <c r="Z35" s="2410"/>
      <c r="AA35" s="2410"/>
      <c r="AB35" s="2410"/>
      <c r="AC35" s="472"/>
      <c r="AD35" s="2410" t="str">
        <f>IF(TITLE_NUMBER_PR_CHANGE="",IF(TITLE_NUMBER_PR="","",TITLE_NUMBER_PR),TITLE_NUMBER_PR_CHANGE)</f>
        <v/>
      </c>
      <c r="AE35" s="2410"/>
      <c r="AF35" s="2410"/>
      <c r="AG35" s="2410"/>
      <c r="AH35" s="2410"/>
      <c r="AI35" s="2410"/>
      <c r="AJ35" s="2410"/>
      <c r="AK35" s="472"/>
      <c r="AL35" s="472"/>
      <c r="AM35" s="426"/>
      <c r="AN35" s="514"/>
      <c r="AO35" s="514"/>
      <c r="AP35" s="514"/>
      <c r="AQ35" s="514"/>
      <c r="AR35" s="514"/>
      <c r="AS35" s="564">
        <v>0</v>
      </c>
    </row>
    <row s="7809" customFormat="1" customHeight="1" ht="0">
      <c r="A36" s="1514"/>
      <c r="B36" s="1514"/>
      <c r="C36" s="1514"/>
      <c r="D36" s="1514"/>
      <c r="E36" s="1514"/>
      <c r="F36" s="1514"/>
      <c r="G36" s="1514"/>
      <c r="H36" s="1514"/>
      <c r="I36" s="1514"/>
      <c r="J36" s="1514"/>
      <c r="K36" s="1514"/>
      <c r="L36" s="1515"/>
      <c r="M36" s="1514"/>
      <c r="N36" s="1514"/>
      <c r="O36" s="1514"/>
      <c r="S36" s="469"/>
      <c r="T36" s="469"/>
      <c r="U36" s="1365"/>
      <c r="V36" s="472"/>
      <c r="W36" s="472"/>
      <c r="X36" s="472"/>
      <c r="Y36" s="472"/>
      <c r="Z36" s="472"/>
      <c r="AA36" s="472"/>
      <c r="AB36" s="472"/>
      <c r="AC36" s="424" t="s">
        <v>449</v>
      </c>
      <c r="AD36" s="472"/>
      <c r="AE36" s="472"/>
      <c r="AF36" s="472"/>
      <c r="AG36" s="472"/>
      <c r="AH36" s="472"/>
      <c r="AI36" s="472"/>
      <c r="AJ36" s="472"/>
      <c r="AK36" s="424" t="s">
        <v>449</v>
      </c>
      <c r="AN36" s="514"/>
      <c r="AO36" s="514"/>
      <c r="AP36" s="514"/>
      <c r="AQ36" s="514"/>
      <c r="AR36" s="514"/>
      <c r="AS36" s="564">
        <v>0</v>
      </c>
    </row>
    <row customHeight="1" ht="14.699999999999998">
      <c r="Q37" s="522"/>
      <c r="R37" s="522"/>
      <c r="S37" s="1421"/>
      <c r="T37" s="509"/>
      <c r="U37" s="1390"/>
      <c r="V37" s="2411"/>
      <c r="W37" s="2411"/>
      <c r="X37" s="2411"/>
      <c r="Y37" s="2411"/>
      <c r="Z37" s="2411"/>
      <c r="AA37" s="2411"/>
      <c r="AB37" s="2411"/>
      <c r="AC37" s="2411"/>
      <c r="AD37" s="2411"/>
      <c r="AE37" s="2411"/>
      <c r="AF37" s="2411"/>
      <c r="AG37" s="2411"/>
      <c r="AH37" s="2411"/>
      <c r="AI37" s="2411"/>
      <c r="AJ37" s="2411"/>
      <c r="AK37" s="2411"/>
      <c r="AS37" s="1301">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301">
        <v>14</v>
      </c>
    </row>
    <row customHeight="1" ht="14.699999999999998">
      <c r="Q39" s="522"/>
      <c r="R39" s="522"/>
      <c r="S39" s="2432" t="s">
        <v>89</v>
      </c>
      <c r="T39" s="2368" t="s">
        <v>450</v>
      </c>
      <c r="U39" s="447"/>
      <c r="V39" s="2433" t="s">
        <v>451</v>
      </c>
      <c r="W39" s="2434"/>
      <c r="X39" s="2434"/>
      <c r="Y39" s="2434"/>
      <c r="Z39" s="2434"/>
      <c r="AA39" s="2434"/>
      <c r="AB39" s="2435"/>
      <c r="AC39" s="2436" t="s">
        <v>452</v>
      </c>
      <c r="AD39" s="2433" t="s">
        <v>451</v>
      </c>
      <c r="AE39" s="2434"/>
      <c r="AF39" s="2434"/>
      <c r="AG39" s="2434"/>
      <c r="AH39" s="2434"/>
      <c r="AI39" s="2434"/>
      <c r="AJ39" s="2435"/>
      <c r="AK39" s="2436" t="s">
        <v>453</v>
      </c>
      <c r="AL39" s="2439" t="s">
        <v>454</v>
      </c>
      <c r="AM39" s="2286"/>
      <c r="AS39" s="1301">
        <v>14</v>
      </c>
    </row>
    <row customHeight="1" ht="35.699999999999996">
      <c r="Q40" s="522"/>
      <c r="R40" s="522"/>
      <c r="S40" s="2432"/>
      <c r="T40" s="2368"/>
      <c r="U40" s="1177"/>
      <c r="V40" s="2419" t="s">
        <v>455</v>
      </c>
      <c r="W40" s="2770" t="s">
        <v>456</v>
      </c>
      <c r="X40" s="2421" t="s">
        <v>457</v>
      </c>
      <c r="Y40" s="2422"/>
      <c r="Z40" s="2421" t="s">
        <v>458</v>
      </c>
      <c r="AA40" s="2428"/>
      <c r="AB40" s="2422"/>
      <c r="AC40" s="2437"/>
      <c r="AD40" s="2419" t="s">
        <v>455</v>
      </c>
      <c r="AE40" s="2442" t="s">
        <v>456</v>
      </c>
      <c r="AF40" s="2421" t="s">
        <v>457</v>
      </c>
      <c r="AG40" s="2422"/>
      <c r="AH40" s="2421" t="s">
        <v>458</v>
      </c>
      <c r="AI40" s="2428"/>
      <c r="AJ40" s="2422"/>
      <c r="AK40" s="2437"/>
      <c r="AL40" s="2440"/>
      <c r="AM40" s="2286"/>
      <c r="AS40" s="1301">
        <v>34</v>
      </c>
    </row>
    <row customHeight="1" ht="35.699999999999996">
      <c r="A41" s="1516"/>
      <c r="B41" s="1516" t="s">
        <v>159</v>
      </c>
      <c r="C41" s="1516" t="s">
        <v>160</v>
      </c>
      <c r="D41" s="1516" t="s">
        <v>161</v>
      </c>
      <c r="E41" s="1510" t="s">
        <v>459</v>
      </c>
      <c r="F41" s="1510" t="s">
        <v>460</v>
      </c>
      <c r="G41" s="1510" t="s">
        <v>461</v>
      </c>
      <c r="H41" s="1510" t="s">
        <v>462</v>
      </c>
      <c r="I41" s="1510" t="s">
        <v>463</v>
      </c>
      <c r="J41" s="1510" t="s">
        <v>464</v>
      </c>
      <c r="K41" s="1510" t="s">
        <v>465</v>
      </c>
      <c r="L41" s="1510" t="s">
        <v>440</v>
      </c>
      <c r="Q41" s="522"/>
      <c r="R41" s="522"/>
      <c r="S41" s="2432"/>
      <c r="T41" s="2368"/>
      <c r="U41" s="448"/>
      <c r="V41" s="2420"/>
      <c r="W41" s="2443"/>
      <c r="X41" s="1368" t="s">
        <v>466</v>
      </c>
      <c r="Y41" s="1368" t="s">
        <v>467</v>
      </c>
      <c r="Z41" s="1367" t="s">
        <v>468</v>
      </c>
      <c r="AA41" s="2429" t="s">
        <v>469</v>
      </c>
      <c r="AB41" s="2430"/>
      <c r="AC41" s="2438"/>
      <c r="AD41" s="2420"/>
      <c r="AE41" s="2443"/>
      <c r="AF41" s="1368" t="s">
        <v>466</v>
      </c>
      <c r="AG41" s="1368" t="s">
        <v>467</v>
      </c>
      <c r="AH41" s="1459" t="s">
        <v>468</v>
      </c>
      <c r="AI41" s="2429" t="s">
        <v>469</v>
      </c>
      <c r="AJ41" s="2430"/>
      <c r="AK41" s="2438"/>
      <c r="AL41" s="2441"/>
      <c r="AM41" s="2286"/>
      <c r="AS41" s="1301">
        <v>34</v>
      </c>
    </row>
    <row s="6314" customFormat="1" customHeight="1" ht="11.25" hidden="1">
      <c r="A42" s="1516"/>
      <c r="B42" s="1516"/>
      <c r="C42" s="1516"/>
      <c r="D42" s="1516"/>
      <c r="E42" s="1516"/>
      <c r="F42" s="1516"/>
      <c r="G42" s="1516"/>
      <c r="H42" s="1516"/>
      <c r="I42" s="1516"/>
      <c r="J42" s="1516"/>
      <c r="K42" s="1516"/>
      <c r="L42" s="1510"/>
      <c r="M42" s="1508"/>
      <c r="N42" s="1508"/>
      <c r="O42" s="1508"/>
      <c r="P42" s="1392"/>
      <c r="Q42" s="1393"/>
      <c r="R42" s="1400">
        <v>1</v>
      </c>
      <c r="S42" s="1423" t="s">
        <v>121</v>
      </c>
      <c r="T42" s="1401" t="s">
        <v>105</v>
      </c>
      <c r="U42" s="1391" t="str">
        <f>OFFSET(U42,0,-1)</f>
        <v>2</v>
      </c>
      <c r="V42" s="1402">
        <f>OFFSET(V42,0,-1)+1</f>
        <v>3</v>
      </c>
      <c r="W42" s="1402"/>
      <c r="X42" s="1402">
        <f>OFFSET(X42,0,-1)+1</f>
        <v>1</v>
      </c>
      <c r="Y42" s="1402">
        <f>OFFSET(Y42,0,-1)+1</f>
        <v>2</v>
      </c>
      <c r="Z42" s="1402">
        <f>OFFSET(Z42,0,-1)+1</f>
        <v>3</v>
      </c>
      <c r="AA42" s="2431">
        <f>OFFSET(AA42,0,-1)+1</f>
        <v>4</v>
      </c>
      <c r="AB42" s="2431"/>
      <c r="AC42" s="1402">
        <f>OFFSET(AC42,0,-2)+1</f>
        <v>5</v>
      </c>
      <c r="AD42" s="1458">
        <f>OFFSET(AD42,0,-1)+1</f>
        <v>6</v>
      </c>
      <c r="AE42" s="1458"/>
      <c r="AF42" s="1458">
        <f>OFFSET(AF42,0,-1)+1</f>
        <v>1</v>
      </c>
      <c r="AG42" s="1458">
        <f>OFFSET(AG42,0,-1)+1</f>
        <v>2</v>
      </c>
      <c r="AH42" s="1458">
        <f>OFFSET(AH42,0,-1)+1</f>
        <v>3</v>
      </c>
      <c r="AI42" s="2431">
        <f>OFFSET(AI42,0,-1)+1</f>
        <v>4</v>
      </c>
      <c r="AJ42" s="2431"/>
      <c r="AK42" s="1458">
        <f>OFFSET(AK42,0,-2)+1</f>
        <v>5</v>
      </c>
      <c r="AL42" s="1391">
        <f>OFFSET(AL42,0,-1)</f>
        <v>5</v>
      </c>
      <c r="AM42" s="1402">
        <f>OFFSET(AM42,0,-1)+1</f>
        <v>6</v>
      </c>
      <c r="AN42" s="657"/>
      <c r="AO42" s="657"/>
      <c r="AP42" s="657"/>
      <c r="AQ42" s="657"/>
      <c r="AR42" s="657"/>
      <c r="AS42" s="642">
        <v>0</v>
      </c>
    </row>
    <row customHeight="1" ht="24">
      <c r="A43" s="1509" t="s">
        <v>180</v>
      </c>
      <c r="B43" s="1509"/>
      <c r="C43" s="1509"/>
      <c r="D43" s="1509"/>
      <c r="E43" s="2417">
        <v>1</v>
      </c>
      <c r="F43" s="1509"/>
      <c r="G43" s="1509"/>
      <c r="H43" s="1509"/>
      <c r="I43" s="1509"/>
      <c r="J43" s="1509"/>
      <c r="K43" s="1509"/>
      <c r="L43" s="1510"/>
      <c r="M43" s="1511"/>
      <c r="N43" s="1511"/>
      <c r="O43" s="1511"/>
      <c r="P43" s="507"/>
      <c r="Q43" s="506"/>
      <c r="R43" s="501"/>
      <c r="S43" s="1370">
        <f>INDEX(PT_DIFFERENTIATION_NUM_NTAR,MATCH(A43,PT_DIFFERENTIATION_NTAR_ID,0))</f>
        <v>0</v>
      </c>
      <c r="T43" s="444"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46"/>
      <c r="AP43" s="646" t="str">
        <f>IF(T43="","",T43)</f>
        <v>Наименование тарифа</v>
      </c>
      <c r="AQ43" s="646"/>
      <c r="AR43" s="646"/>
      <c r="AS43" s="1301">
        <v>23</v>
      </c>
    </row>
    <row customHeight="1" ht="24">
      <c r="A44" s="1509" t="s">
        <v>180</v>
      </c>
      <c r="B44" s="1509" t="s">
        <v>181</v>
      </c>
      <c r="C44" s="1509"/>
      <c r="D44" s="1509"/>
      <c r="E44" s="2418"/>
      <c r="F44" s="2417">
        <v>1</v>
      </c>
      <c r="G44" s="1509"/>
      <c r="H44" s="1509"/>
      <c r="I44" s="1509"/>
      <c r="J44" s="1509"/>
      <c r="K44" s="1509"/>
      <c r="L44" s="1510"/>
      <c r="M44" s="1511"/>
      <c r="N44" s="1511"/>
      <c r="O44" s="1511"/>
      <c r="P44" s="668"/>
      <c r="Q44" s="498"/>
      <c r="R44" s="499"/>
      <c r="S44" s="1370" t="str">
        <f>INDEX(PT_DIFFERENTIATION_NUM_TER,MATCH(B44,PT_DIFFERENTIATION_TER_ID,0))</f>
        <v>.</v>
      </c>
      <c r="T44" s="454"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646"/>
      <c r="AP44" s="646" t="str">
        <f>IF(T44="","",T44)</f>
        <v>Территория действия тарифа</v>
      </c>
      <c r="AQ44" s="646"/>
      <c r="AR44" s="646"/>
      <c r="AS44" s="1301">
        <v>23</v>
      </c>
    </row>
    <row customHeight="1" ht="24">
      <c r="A45" s="1509" t="s">
        <v>180</v>
      </c>
      <c r="B45" s="1509" t="s">
        <v>181</v>
      </c>
      <c r="C45" s="1509" t="s">
        <v>182</v>
      </c>
      <c r="D45" s="1509"/>
      <c r="E45" s="2418"/>
      <c r="F45" s="2418"/>
      <c r="G45" s="2417">
        <v>1</v>
      </c>
      <c r="H45" s="1509"/>
      <c r="I45" s="1509"/>
      <c r="J45" s="1509"/>
      <c r="K45" s="1509"/>
      <c r="L45" s="1510"/>
      <c r="M45" s="1511"/>
      <c r="N45" s="1511"/>
      <c r="O45" s="1511"/>
      <c r="P45" s="500"/>
      <c r="Q45" s="498"/>
      <c r="R45" s="499"/>
      <c r="S45" s="1370"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646"/>
      <c r="AP45" s="646" t="str">
        <f>IF(T45="","",T45)</f>
        <v>Наименование системы теплоснабжения </v>
      </c>
      <c r="AQ45" s="646"/>
      <c r="AR45" s="646"/>
      <c r="AS45" s="1301">
        <v>23</v>
      </c>
    </row>
    <row customHeight="1" ht="24">
      <c r="A46" s="1509" t="s">
        <v>180</v>
      </c>
      <c r="B46" s="1509" t="s">
        <v>181</v>
      </c>
      <c r="C46" s="1509" t="s">
        <v>182</v>
      </c>
      <c r="D46" s="1509" t="s">
        <v>183</v>
      </c>
      <c r="E46" s="2418"/>
      <c r="F46" s="2418"/>
      <c r="G46" s="2418"/>
      <c r="H46" s="2417">
        <v>1</v>
      </c>
      <c r="I46" s="1509"/>
      <c r="J46" s="1509"/>
      <c r="K46" s="1509"/>
      <c r="L46" s="1510"/>
      <c r="M46" s="1511"/>
      <c r="N46" s="1511"/>
      <c r="O46" s="1511"/>
      <c r="P46" s="500"/>
      <c r="Q46" s="498"/>
      <c r="R46" s="499"/>
      <c r="S46" s="1370"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646"/>
      <c r="AP46" s="646" t="str">
        <f>IF(T46="","",T46)</f>
        <v>Источник тепловой энергии  </v>
      </c>
      <c r="AQ46" s="646"/>
      <c r="AR46" s="646"/>
      <c r="AS46" s="1301">
        <v>23</v>
      </c>
    </row>
    <row customHeight="1" ht="49.5">
      <c r="A47" s="1509" t="s">
        <v>180</v>
      </c>
      <c r="B47" s="1509" t="s">
        <v>181</v>
      </c>
      <c r="C47" s="1509" t="s">
        <v>182</v>
      </c>
      <c r="D47" s="1509" t="s">
        <v>183</v>
      </c>
      <c r="E47" s="2418"/>
      <c r="F47" s="2418"/>
      <c r="G47" s="2418"/>
      <c r="H47" s="2418"/>
      <c r="I47" s="2415" t="str">
        <f>S46&amp;".1"</f>
        <v>....1</v>
      </c>
      <c r="J47" s="1509"/>
      <c r="K47" s="1509"/>
      <c r="L47" s="1510" t="s">
        <v>425</v>
      </c>
      <c r="P47" s="2416">
        <v>1</v>
      </c>
      <c r="Q47" s="1366"/>
      <c r="R47" s="502"/>
      <c r="S47" s="1370" t="str">
        <f>$I47</f>
        <v>....1</v>
      </c>
      <c r="T47" s="431" t="s">
        <v>426</v>
      </c>
      <c r="U47" s="446"/>
      <c r="V47" s="2404"/>
      <c r="W47" s="2405"/>
      <c r="X47" s="2405"/>
      <c r="Y47" s="2405"/>
      <c r="Z47" s="2405"/>
      <c r="AA47" s="2405"/>
      <c r="AB47" s="2405"/>
      <c r="AC47" s="2406"/>
      <c r="AD47" s="2404"/>
      <c r="AE47" s="2405"/>
      <c r="AF47" s="2405"/>
      <c r="AG47" s="2405"/>
      <c r="AH47" s="2405"/>
      <c r="AI47" s="2405"/>
      <c r="AJ47" s="2405"/>
      <c r="AK47" s="2405"/>
      <c r="AL47" s="2406"/>
      <c r="AM47" s="1404" t="s">
        <v>427</v>
      </c>
      <c r="AO47" s="646"/>
      <c r="AP47" s="646" t="str">
        <f>IF(T47="","",T47)</f>
        <v>Схема подключения теплопотребляющей установки к коллектору источника тепловой энергии</v>
      </c>
      <c r="AQ47" s="646"/>
      <c r="AR47" s="646"/>
      <c r="AS47" s="1301">
        <v>47</v>
      </c>
    </row>
    <row customHeight="1" ht="24">
      <c r="A48" s="1509" t="s">
        <v>180</v>
      </c>
      <c r="B48" s="1509" t="s">
        <v>181</v>
      </c>
      <c r="C48" s="1509" t="s">
        <v>182</v>
      </c>
      <c r="D48" s="1509" t="s">
        <v>183</v>
      </c>
      <c r="E48" s="2418"/>
      <c r="F48" s="2418"/>
      <c r="G48" s="2418"/>
      <c r="H48" s="2418"/>
      <c r="I48" s="2445"/>
      <c r="J48" s="2415" t="str">
        <f>I47&amp;".1"</f>
        <v>....1.1</v>
      </c>
      <c r="K48" s="1509"/>
      <c r="L48" s="1510" t="s">
        <v>428</v>
      </c>
      <c r="P48" s="2416"/>
      <c r="Q48" s="2416">
        <v>1</v>
      </c>
      <c r="R48" s="503"/>
      <c r="S48" s="1370" t="str">
        <f>$J48</f>
        <v>....1.1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646"/>
      <c r="AP48" s="646" t="str">
        <f>IF(T48="","",T48)</f>
        <v>Группа потребителей</v>
      </c>
      <c r="AQ48" s="646"/>
      <c r="AR48" s="646"/>
      <c r="AS48" s="1301">
        <v>23</v>
      </c>
    </row>
    <row customHeight="1" ht="24">
      <c r="A49" s="1509" t="s">
        <v>180</v>
      </c>
      <c r="B49" s="1509" t="s">
        <v>181</v>
      </c>
      <c r="C49" s="1509" t="s">
        <v>182</v>
      </c>
      <c r="D49" s="1509" t="s">
        <v>183</v>
      </c>
      <c r="E49" s="2418"/>
      <c r="F49" s="2418"/>
      <c r="G49" s="2418"/>
      <c r="H49" s="2418"/>
      <c r="I49" s="2445"/>
      <c r="J49" s="2445"/>
      <c r="K49" s="2415" t="str">
        <f>J48&amp;".1"</f>
        <v>....1.1.1</v>
      </c>
      <c r="L49" s="1510" t="s">
        <v>431</v>
      </c>
      <c r="P49" s="2416"/>
      <c r="Q49" s="2416"/>
      <c r="R49" s="503">
        <v>1</v>
      </c>
      <c r="S49" s="1370" t="str">
        <f>$K49</f>
        <v>....1.1.1</v>
      </c>
      <c r="T49" s="1493"/>
      <c r="U49" s="446"/>
      <c r="V49" s="897"/>
      <c r="W49" s="471"/>
      <c r="X49" s="897"/>
      <c r="Y49" s="1403"/>
      <c r="Z49" s="2424"/>
      <c r="AA49" s="2266" t="s">
        <v>63</v>
      </c>
      <c r="AB49" s="2424"/>
      <c r="AC49" s="2266" t="s">
        <v>63</v>
      </c>
      <c r="AD49" s="897"/>
      <c r="AE49" s="471"/>
      <c r="AF49" s="897"/>
      <c r="AG49" s="1403"/>
      <c r="AH49" s="2424"/>
      <c r="AI49" s="2266" t="s">
        <v>63</v>
      </c>
      <c r="AJ49" s="2446"/>
      <c r="AK49" s="2266" t="s">
        <v>63</v>
      </c>
      <c r="AL49" s="1494"/>
      <c r="AM49" s="2412" t="s">
        <v>432</v>
      </c>
      <c r="AN49" s="657">
        <f>STRCHECKDATE(V50:AL50)</f>
      </c>
      <c r="AO49" s="646"/>
      <c r="AP49" s="646" t="str">
        <f>IF(T49="","",T49)</f>
        <v/>
      </c>
      <c r="AQ49" s="646"/>
      <c r="AR49" s="646"/>
      <c r="AS49" s="1301">
        <v>23</v>
      </c>
    </row>
    <row customHeight="1" ht="1.05">
      <c r="A50" s="1509" t="s">
        <v>180</v>
      </c>
      <c r="B50" s="1509" t="s">
        <v>181</v>
      </c>
      <c r="C50" s="1509" t="s">
        <v>182</v>
      </c>
      <c r="D50" s="1509" t="s">
        <v>183</v>
      </c>
      <c r="E50" s="2418"/>
      <c r="F50" s="2418"/>
      <c r="G50" s="2418"/>
      <c r="H50" s="2418"/>
      <c r="I50" s="2445"/>
      <c r="J50" s="2445"/>
      <c r="K50" s="2415"/>
      <c r="L50" s="1510"/>
      <c r="P50" s="2416"/>
      <c r="Q50" s="2416"/>
      <c r="R50" s="503"/>
      <c r="S50" s="1369"/>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646"/>
      <c r="AP50" s="646" t="str">
        <f>IF(T50="","",T50)</f>
        <v/>
      </c>
      <c r="AQ50" s="646"/>
      <c r="AR50" s="646"/>
      <c r="AS50" s="1301">
        <v>1</v>
      </c>
    </row>
    <row customHeight="1" ht="11.549999999999999">
      <c r="A51" s="1509" t="s">
        <v>180</v>
      </c>
      <c r="B51" s="1509" t="s">
        <v>181</v>
      </c>
      <c r="C51" s="1509" t="s">
        <v>182</v>
      </c>
      <c r="D51" s="1509" t="s">
        <v>183</v>
      </c>
      <c r="E51" s="2418"/>
      <c r="F51" s="2418"/>
      <c r="G51" s="2418"/>
      <c r="H51" s="2418"/>
      <c r="I51" s="2445"/>
      <c r="J51" s="2415"/>
      <c r="K51" s="1509"/>
      <c r="L51" s="1510"/>
      <c r="P51" s="2416"/>
      <c r="Q51" s="2416"/>
      <c r="R51" s="502"/>
      <c r="S51" s="1424"/>
      <c r="T51" s="434" t="s">
        <v>433</v>
      </c>
      <c r="U51" s="513"/>
      <c r="V51" s="513"/>
      <c r="W51" s="513"/>
      <c r="X51" s="513"/>
      <c r="Y51" s="513"/>
      <c r="Z51" s="513"/>
      <c r="AA51" s="513"/>
      <c r="AB51" s="513"/>
      <c r="AC51" s="513"/>
      <c r="AD51" s="513"/>
      <c r="AE51" s="513"/>
      <c r="AF51" s="513"/>
      <c r="AG51" s="513"/>
      <c r="AH51" s="513"/>
      <c r="AI51" s="513"/>
      <c r="AJ51" s="513"/>
      <c r="AK51" s="513"/>
      <c r="AL51" s="470"/>
      <c r="AM51" s="2414"/>
      <c r="AO51" s="646"/>
      <c r="AP51" s="646" t="str">
        <f>IF(T51="","",T51)</f>
        <v>Добавить вид теплоносителя (параметры теплоносителя)</v>
      </c>
      <c r="AQ51" s="646"/>
      <c r="AR51" s="646"/>
      <c r="AS51" s="1301">
        <v>11</v>
      </c>
    </row>
    <row customHeight="1" ht="11.549999999999999">
      <c r="A52" s="1509" t="s">
        <v>180</v>
      </c>
      <c r="B52" s="1509" t="s">
        <v>181</v>
      </c>
      <c r="C52" s="1509" t="s">
        <v>182</v>
      </c>
      <c r="D52" s="1509" t="s">
        <v>183</v>
      </c>
      <c r="E52" s="2418"/>
      <c r="F52" s="2418"/>
      <c r="G52" s="2418"/>
      <c r="H52" s="2418"/>
      <c r="I52" s="2415"/>
      <c r="J52" s="1509"/>
      <c r="K52" s="1509"/>
      <c r="L52" s="1510"/>
      <c r="P52" s="2416"/>
      <c r="Q52" s="1366"/>
      <c r="R52" s="502"/>
      <c r="S52" s="1424"/>
      <c r="T52" s="433" t="s">
        <v>434</v>
      </c>
      <c r="U52" s="513"/>
      <c r="V52" s="513"/>
      <c r="W52" s="513"/>
      <c r="X52" s="513"/>
      <c r="Y52" s="513"/>
      <c r="Z52" s="513"/>
      <c r="AA52" s="513"/>
      <c r="AB52" s="513"/>
      <c r="AC52" s="512"/>
      <c r="AD52" s="513"/>
      <c r="AE52" s="513"/>
      <c r="AF52" s="513"/>
      <c r="AG52" s="513"/>
      <c r="AH52" s="513"/>
      <c r="AI52" s="513"/>
      <c r="AJ52" s="513"/>
      <c r="AK52" s="512"/>
      <c r="AL52" s="513"/>
      <c r="AM52" s="449"/>
      <c r="AO52" s="646"/>
      <c r="AP52" s="646" t="str">
        <f>IF(T52="","",T52)</f>
        <v>Добавить группу потребителей</v>
      </c>
      <c r="AQ52" s="646"/>
      <c r="AR52" s="646"/>
      <c r="AS52" s="1301">
        <v>11</v>
      </c>
    </row>
    <row customHeight="1" ht="14.699999999999998">
      <c r="A53" s="1509" t="s">
        <v>180</v>
      </c>
      <c r="B53" s="1509" t="s">
        <v>181</v>
      </c>
      <c r="C53" s="1509" t="s">
        <v>182</v>
      </c>
      <c r="D53" s="1509" t="s">
        <v>183</v>
      </c>
      <c r="E53" s="2418"/>
      <c r="F53" s="2418"/>
      <c r="G53" s="2418"/>
      <c r="H53" s="2417"/>
      <c r="I53" s="1509"/>
      <c r="J53" s="1509"/>
      <c r="K53" s="1509"/>
      <c r="L53" s="1510"/>
      <c r="M53" s="1511"/>
      <c r="N53" s="1511"/>
      <c r="O53" s="683"/>
      <c r="P53" s="506"/>
      <c r="Q53" s="521"/>
      <c r="R53" s="501"/>
      <c r="S53" s="1424"/>
      <c r="T53" s="511" t="s">
        <v>435</v>
      </c>
      <c r="U53" s="513"/>
      <c r="V53" s="513"/>
      <c r="W53" s="513"/>
      <c r="X53" s="513"/>
      <c r="Y53" s="513"/>
      <c r="Z53" s="513"/>
      <c r="AA53" s="513"/>
      <c r="AB53" s="513"/>
      <c r="AC53" s="512"/>
      <c r="AD53" s="513"/>
      <c r="AE53" s="513"/>
      <c r="AF53" s="513"/>
      <c r="AG53" s="513"/>
      <c r="AH53" s="513"/>
      <c r="AI53" s="513"/>
      <c r="AJ53" s="513"/>
      <c r="AK53" s="512"/>
      <c r="AL53" s="513"/>
      <c r="AM53" s="449"/>
      <c r="AO53" s="646"/>
      <c r="AP53" s="646" t="str">
        <f>IF(T53="","",T53)</f>
        <v>Добавить схему подключения</v>
      </c>
      <c r="AQ53" s="646"/>
      <c r="AR53" s="646"/>
      <c r="AS53" s="1301">
        <v>14</v>
      </c>
    </row>
    <row s="6720" customFormat="1" customHeight="1" ht="1.05">
      <c r="A54" s="1489" t="s">
        <v>180</v>
      </c>
      <c r="B54" s="1489" t="s">
        <v>181</v>
      </c>
      <c r="C54" s="1489" t="s">
        <v>182</v>
      </c>
      <c r="D54" s="1460"/>
      <c r="E54" s="2418"/>
      <c r="F54" s="2418"/>
      <c r="G54" s="2417"/>
      <c r="H54" s="1460"/>
      <c r="I54" s="1460"/>
      <c r="J54" s="1460"/>
      <c r="K54" s="1460"/>
      <c r="L54" s="1485"/>
      <c r="M54" s="1461"/>
      <c r="N54" s="1461"/>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935"/>
      <c r="AP54" s="935" t="str">
        <f>IF(T54="","",T54)</f>
        <v>Добавить источник для дифференциации</v>
      </c>
      <c r="AQ54" s="935"/>
      <c r="AR54" s="935"/>
      <c r="AS54" s="664">
        <v>1</v>
      </c>
    </row>
    <row s="6720" customFormat="1" customHeight="1" ht="1.05">
      <c r="A55" s="1489" t="s">
        <v>180</v>
      </c>
      <c r="B55" s="1489" t="s">
        <v>181</v>
      </c>
      <c r="C55" s="1460"/>
      <c r="D55" s="1460"/>
      <c r="E55" s="2418"/>
      <c r="F55" s="2417"/>
      <c r="G55" s="1460"/>
      <c r="H55" s="1460"/>
      <c r="I55" s="1460"/>
      <c r="J55" s="1460"/>
      <c r="K55" s="1460"/>
      <c r="L55" s="1485"/>
      <c r="M55" s="1467"/>
      <c r="N55" s="1467"/>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935"/>
      <c r="AP55" s="935" t="str">
        <f>IF(T55="","",T55)</f>
        <v>Добавить централизованную систему для дифференциации</v>
      </c>
      <c r="AQ55" s="935"/>
      <c r="AR55" s="935"/>
      <c r="AS55" s="664">
        <v>1</v>
      </c>
    </row>
    <row s="6720" customFormat="1" customHeight="1" ht="1.05">
      <c r="A56" s="1489" t="s">
        <v>180</v>
      </c>
      <c r="B56" s="1489"/>
      <c r="C56" s="1489"/>
      <c r="D56" s="1489"/>
      <c r="E56" s="2417"/>
      <c r="F56" s="1489"/>
      <c r="G56" s="1489"/>
      <c r="H56" s="1489"/>
      <c r="I56" s="1489"/>
      <c r="J56" s="1489"/>
      <c r="K56" s="1489"/>
      <c r="L56" s="1492"/>
      <c r="M56" s="1467"/>
      <c r="N56" s="1467"/>
      <c r="O56" s="664"/>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646"/>
      <c r="AP56" s="646" t="str">
        <f>IF(T56="","",T56)</f>
        <v>Добавить территорию для дифференциации</v>
      </c>
      <c r="AQ56" s="646"/>
      <c r="AR56" s="646"/>
      <c r="AS56" s="657">
        <v>1</v>
      </c>
    </row>
    <row s="6720" customFormat="1" customHeight="1" ht="1.05">
      <c r="A57" s="1460"/>
      <c r="B57" s="1460"/>
      <c r="C57" s="1460"/>
      <c r="D57" s="1460"/>
      <c r="E57" s="1489"/>
      <c r="F57" s="1460"/>
      <c r="G57" s="1460"/>
      <c r="H57" s="1460"/>
      <c r="I57" s="1460"/>
      <c r="J57" s="1460"/>
      <c r="K57" s="1460"/>
      <c r="L57" s="1485"/>
      <c r="M57" s="1467"/>
      <c r="N57" s="1467"/>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935"/>
      <c r="AP57" s="935" t="str">
        <f>IF(T57="","",T57)</f>
        <v>Добавить наименование тарифа</v>
      </c>
      <c r="AQ57" s="935"/>
      <c r="AR57" s="935"/>
      <c r="AS57" s="664">
        <v>1</v>
      </c>
    </row>
    <row customHeight="1" ht="11.549999999999999">
      <c r="M58" s="1306"/>
      <c r="N58" s="1306"/>
      <c r="O58" s="683"/>
      <c r="P58" s="1301"/>
      <c r="Q58" s="1301"/>
      <c r="R58" s="1301"/>
      <c r="S58" s="1301"/>
      <c r="AN58" s="1301"/>
      <c r="AO58" s="1301"/>
      <c r="AP58" s="1301"/>
      <c r="AQ58" s="1301"/>
      <c r="AR58" s="1301"/>
      <c r="AS58" s="1301">
        <v>11</v>
      </c>
    </row>
    <row customHeight="1" ht="28.5">
      <c r="O59" s="683"/>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301">
        <v>27</v>
      </c>
    </row>
    <row customHeight="1" ht="67.2">
      <c r="O60" s="683"/>
      <c r="P60" s="1449"/>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301">
        <v>64</v>
      </c>
    </row>
    <row customHeight="1" ht="14.699999999999998">
      <c r="O61" s="683"/>
      <c r="AS61" s="1301">
        <v>14</v>
      </c>
    </row>
    <row customHeight="1" ht="18.75">
      <c r="O62" s="683"/>
      <c r="P62" s="1474"/>
      <c r="S62" s="1399"/>
      <c r="T62" s="2444"/>
      <c r="U62" s="2444"/>
      <c r="V62" s="2444"/>
      <c r="W62" s="2444"/>
      <c r="X62" s="2444"/>
      <c r="Y62" s="2444"/>
      <c r="Z62" s="2444"/>
      <c r="AA62" s="2444"/>
      <c r="AB62" s="2444"/>
      <c r="AC62" s="2444"/>
      <c r="AD62" s="2444"/>
      <c r="AE62" s="2444"/>
      <c r="AF62" s="2444"/>
      <c r="AG62" s="2444"/>
      <c r="AH62" s="2444"/>
      <c r="AI62" s="2444"/>
      <c r="AJ62" s="2444"/>
      <c r="AK62" s="2444"/>
      <c r="AL62" s="2444"/>
      <c r="AM62" s="2444"/>
      <c r="AS62" s="1301">
        <v>18</v>
      </c>
    </row>
    <row customHeight="1" ht="18.75">
      <c r="O63" s="683"/>
      <c r="P63" s="1474"/>
      <c r="T63" s="2444"/>
      <c r="U63" s="2444"/>
      <c r="V63" s="2444"/>
      <c r="W63" s="2444"/>
      <c r="X63" s="2444"/>
      <c r="Y63" s="2444"/>
      <c r="Z63" s="2444"/>
      <c r="AA63" s="2444"/>
      <c r="AB63" s="2444"/>
      <c r="AC63" s="2444"/>
      <c r="AD63" s="2444"/>
      <c r="AE63" s="2444"/>
      <c r="AF63" s="2444"/>
      <c r="AG63" s="2444"/>
      <c r="AH63" s="2444"/>
      <c r="AI63" s="2444"/>
      <c r="AJ63" s="2444"/>
      <c r="AK63" s="2444"/>
      <c r="AL63" s="2444"/>
      <c r="AM63" s="2444"/>
      <c r="AS63" s="1301">
        <v>18</v>
      </c>
    </row>
    <row customHeight="1" ht="29.25">
      <c r="O64" s="683"/>
      <c r="P64" s="1474"/>
      <c r="S64" s="1399"/>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301">
        <v>28</v>
      </c>
    </row>
    <row customHeight="1" ht="22.5" hidden="1">
      <c r="A65" s="1306" t="s">
        <v>83</v>
      </c>
      <c r="B65" s="1306">
        <v>0</v>
      </c>
      <c r="C65" s="1306">
        <v>0</v>
      </c>
      <c r="D65" s="1306">
        <v>0</v>
      </c>
      <c r="E65" s="1306">
        <v>0</v>
      </c>
      <c r="F65" s="1306">
        <v>0</v>
      </c>
      <c r="G65" s="1306">
        <v>0</v>
      </c>
      <c r="H65" s="1306">
        <v>0</v>
      </c>
      <c r="I65" s="1306">
        <v>0</v>
      </c>
      <c r="J65" s="1306">
        <v>0</v>
      </c>
      <c r="K65" s="1306">
        <v>0</v>
      </c>
      <c r="L65" s="1475">
        <v>0</v>
      </c>
      <c r="M65" s="1508">
        <v>0</v>
      </c>
      <c r="N65" s="1508">
        <v>0</v>
      </c>
      <c r="O65" s="1508">
        <v>0</v>
      </c>
      <c r="P65" s="1364">
        <v>3</v>
      </c>
      <c r="Q65" s="490">
        <v>3</v>
      </c>
      <c r="R65" s="490">
        <v>3</v>
      </c>
      <c r="S65" s="727">
        <v>12</v>
      </c>
      <c r="T65" s="1301">
        <v>35</v>
      </c>
      <c r="U65" s="1301">
        <v>0</v>
      </c>
      <c r="V65" s="1301">
        <v>0</v>
      </c>
      <c r="W65" s="1301">
        <v>0</v>
      </c>
      <c r="X65" s="1301">
        <v>0</v>
      </c>
      <c r="Y65" s="1301">
        <v>0</v>
      </c>
      <c r="Z65" s="1301">
        <v>0</v>
      </c>
      <c r="AA65" s="1301">
        <v>0</v>
      </c>
      <c r="AB65" s="1301">
        <v>0</v>
      </c>
      <c r="AC65" s="1301">
        <v>0</v>
      </c>
      <c r="AD65" s="1301">
        <v>24</v>
      </c>
      <c r="AE65" s="1301">
        <v>0</v>
      </c>
      <c r="AF65" s="1301">
        <v>24</v>
      </c>
      <c r="AG65" s="1301">
        <v>24</v>
      </c>
      <c r="AH65" s="1301">
        <v>11</v>
      </c>
      <c r="AI65" s="1301">
        <v>3</v>
      </c>
      <c r="AJ65" s="1301">
        <v>11</v>
      </c>
      <c r="AK65" s="1301">
        <v>0</v>
      </c>
      <c r="AL65" s="1301">
        <v>4</v>
      </c>
      <c r="AM65" s="1301">
        <v>115</v>
      </c>
      <c r="AN65" s="657">
        <v>10</v>
      </c>
      <c r="AO65" s="657">
        <v>10</v>
      </c>
      <c r="AP65" s="657">
        <v>10</v>
      </c>
      <c r="AQ65" s="657">
        <v>10</v>
      </c>
      <c r="AR65" s="657">
        <v>10</v>
      </c>
      <c r="AS65" s="1301">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90B446-ED3C-E807-C8A3-0.DC6D08C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1.00390625" customWidth="1"/>
    <col min="21" max="21" style="7235" width="0.140625" customWidth="1"/>
    <col min="22" max="22" style="7235" width="24.7109375" hidden="1" customWidth="1"/>
    <col min="23" max="23" style="7235" width="0.140625" hidden="1" customWidth="1"/>
    <col min="24" max="25" style="7235" width="24.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24.7109375" customWidth="1"/>
    <col min="31" max="31" style="7235" width="0.140625" customWidth="1"/>
    <col min="32" max="33" style="7235" width="24.0039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10.57421875" hidden="1"/>
  </cols>
  <sheetData>
    <row customHeight="1" ht="22.5" hidden="1">
      <c r="Y1" s="473"/>
      <c r="Z1" s="473"/>
      <c r="AG1" s="473"/>
      <c r="AH1" s="473"/>
      <c r="AS1" s="1301" t="s">
        <v>14</v>
      </c>
    </row>
    <row customHeight="1" ht="21" hidden="1">
      <c r="A2" s="1509"/>
      <c r="B2" s="1509"/>
      <c r="C2" s="1509"/>
      <c r="D2" s="1509"/>
      <c r="E2" s="2417">
        <v>1</v>
      </c>
      <c r="F2" s="1509"/>
      <c r="G2" s="1509"/>
      <c r="H2" s="1509"/>
      <c r="I2" s="1509"/>
      <c r="J2" s="1509"/>
      <c r="K2" s="1509"/>
      <c r="L2" s="1510"/>
      <c r="M2" s="1511"/>
      <c r="N2" s="1511"/>
      <c r="O2" s="1511"/>
      <c r="P2" s="507"/>
      <c r="Q2" s="506"/>
      <c r="R2" s="501"/>
      <c r="S2" s="1482">
        <f>INDEX(PT_DIFFERENTIATION_NUM_NTAR,MATCH(A2,PT_DIFFERENTIATION_NTAR_ID,0))</f>
      </c>
      <c r="T2" s="444"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646"/>
      <c r="AP2" s="646" t="str">
        <f>IF(T2="","",T2)</f>
        <v>Наименование тарифа</v>
      </c>
      <c r="AQ2" s="646"/>
      <c r="AR2" s="646"/>
      <c r="AS2" s="1301">
        <v>0</v>
      </c>
    </row>
    <row customHeight="1" ht="21" hidden="1">
      <c r="A3" s="1509"/>
      <c r="B3" s="1509"/>
      <c r="C3" s="1509"/>
      <c r="D3" s="1509"/>
      <c r="E3" s="2418"/>
      <c r="F3" s="2417">
        <v>1</v>
      </c>
      <c r="G3" s="1509"/>
      <c r="H3" s="1509"/>
      <c r="I3" s="1509"/>
      <c r="J3" s="1509"/>
      <c r="K3" s="1509"/>
      <c r="L3" s="1510"/>
      <c r="M3" s="1511"/>
      <c r="N3" s="1511"/>
      <c r="O3" s="1511"/>
      <c r="P3" s="1478"/>
      <c r="Q3" s="498"/>
      <c r="R3" s="499"/>
      <c r="S3" s="1482">
        <f>INDEX(PT_DIFFERENTIATION_NUM_TER,MATCH(B3,PT_DIFFERENTIATION_TER_ID,0))</f>
      </c>
      <c r="T3" s="454"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646"/>
      <c r="AP3" s="646" t="str">
        <f>IF(T3="","",T3)</f>
        <v>Территория действия тарифа</v>
      </c>
      <c r="AQ3" s="646"/>
      <c r="AR3" s="646"/>
      <c r="AS3" s="1301">
        <v>0</v>
      </c>
    </row>
    <row customHeight="1" ht="23.25" hidden="1">
      <c r="A4" s="1509"/>
      <c r="B4" s="1509"/>
      <c r="C4" s="1509"/>
      <c r="D4" s="1509"/>
      <c r="E4" s="2418"/>
      <c r="F4" s="2418"/>
      <c r="G4" s="2417">
        <v>1</v>
      </c>
      <c r="H4" s="1509"/>
      <c r="I4" s="1509"/>
      <c r="J4" s="1509"/>
      <c r="K4" s="1509"/>
      <c r="L4" s="1510"/>
      <c r="M4" s="1511"/>
      <c r="N4" s="1511"/>
      <c r="O4" s="1511"/>
      <c r="P4" s="500"/>
      <c r="Q4" s="498"/>
      <c r="R4" s="499"/>
      <c r="S4" s="1482">
        <f>INDEX(PT_DIFFERENTIATION_NUM_CS,MATCH(C4,PT_DIFFERENTIATION_CS_ID,0))</f>
      </c>
      <c r="T4" s="455" t="s">
        <v>421</v>
      </c>
      <c r="U4" s="446"/>
      <c r="V4" s="2401"/>
      <c r="W4" s="2402"/>
      <c r="X4" s="2402"/>
      <c r="Y4" s="2402"/>
      <c r="Z4" s="2402"/>
      <c r="AA4" s="2402"/>
      <c r="AB4" s="2402"/>
      <c r="AC4" s="2403"/>
      <c r="AD4" s="2401">
        <f>INDEX(PT_DIFFERENTIATION_CS,MATCH(C4,PT_DIFFERENTIATION_CS_ID,0))</f>
      </c>
      <c r="AE4" s="2402"/>
      <c r="AF4" s="2402"/>
      <c r="AG4" s="2402"/>
      <c r="AH4" s="2402"/>
      <c r="AI4" s="2402"/>
      <c r="AJ4" s="2402"/>
      <c r="AK4" s="2402"/>
      <c r="AL4" s="2403"/>
      <c r="AM4" s="1404" t="s">
        <v>422</v>
      </c>
      <c r="AO4" s="646"/>
      <c r="AP4" s="646" t="str">
        <f>IF(T4="","",T4)</f>
        <v>Наименование системы теплоснабжения </v>
      </c>
      <c r="AQ4" s="646"/>
      <c r="AR4" s="646"/>
      <c r="AS4" s="1301">
        <v>0</v>
      </c>
    </row>
    <row customHeight="1" ht="21" hidden="1">
      <c r="A5" s="1509"/>
      <c r="B5" s="1509"/>
      <c r="C5" s="1509"/>
      <c r="D5" s="1509"/>
      <c r="E5" s="2418"/>
      <c r="F5" s="2418"/>
      <c r="G5" s="2418"/>
      <c r="H5" s="2417">
        <v>1</v>
      </c>
      <c r="I5" s="1509"/>
      <c r="J5" s="1509"/>
      <c r="K5" s="1509"/>
      <c r="L5" s="1510"/>
      <c r="M5" s="1511"/>
      <c r="N5" s="1511"/>
      <c r="O5" s="1511"/>
      <c r="P5" s="500"/>
      <c r="Q5" s="498"/>
      <c r="R5" s="499"/>
      <c r="S5" s="1482">
        <f>INDEX(PT_DIFFERENTIATION_NUM_IST_TE,MATCH(D5,PT_DIFFERENTIATION_IST_TE_ID,0))</f>
      </c>
      <c r="T5" s="456" t="s">
        <v>423</v>
      </c>
      <c r="U5" s="446"/>
      <c r="V5" s="2401"/>
      <c r="W5" s="2402"/>
      <c r="X5" s="2402"/>
      <c r="Y5" s="2402"/>
      <c r="Z5" s="2402"/>
      <c r="AA5" s="2402"/>
      <c r="AB5" s="2402"/>
      <c r="AC5" s="2403"/>
      <c r="AD5" s="2401">
        <f>INDEX(PT_DIFFERENTIATION_IST_TE,MATCH(D5,PT_DIFFERENTIATION_IST_TE_ID,0))</f>
      </c>
      <c r="AE5" s="2402"/>
      <c r="AF5" s="2402"/>
      <c r="AG5" s="2402"/>
      <c r="AH5" s="2402"/>
      <c r="AI5" s="2402"/>
      <c r="AJ5" s="2402"/>
      <c r="AK5" s="2402"/>
      <c r="AL5" s="2403"/>
      <c r="AM5" s="1404" t="s">
        <v>424</v>
      </c>
      <c r="AO5" s="646"/>
      <c r="AP5" s="646" t="str">
        <f>IF(T5="","",T5)</f>
        <v>Источник тепловой энергии  </v>
      </c>
      <c r="AQ5" s="646"/>
      <c r="AR5" s="646"/>
      <c r="AS5" s="1301">
        <v>0</v>
      </c>
    </row>
    <row customHeight="1" ht="47.25" hidden="1">
      <c r="A6" s="1509"/>
      <c r="B6" s="1509"/>
      <c r="C6" s="1509"/>
      <c r="D6" s="1509"/>
      <c r="E6" s="2418"/>
      <c r="F6" s="2418"/>
      <c r="G6" s="2418"/>
      <c r="H6" s="2418"/>
      <c r="I6" s="2415">
        <f>S5&amp;".1"</f>
      </c>
      <c r="J6" s="1509"/>
      <c r="K6" s="1509"/>
      <c r="L6" s="1510" t="s">
        <v>425</v>
      </c>
      <c r="M6" s="683"/>
      <c r="P6" s="2416">
        <v>1</v>
      </c>
      <c r="Q6" s="1477"/>
      <c r="R6" s="502"/>
      <c r="S6" s="1482">
        <f>$I6</f>
      </c>
      <c r="T6" s="431" t="s">
        <v>426</v>
      </c>
      <c r="U6" s="446"/>
      <c r="V6" s="2404"/>
      <c r="W6" s="2405"/>
      <c r="X6" s="2405"/>
      <c r="Y6" s="2405"/>
      <c r="Z6" s="2405"/>
      <c r="AA6" s="2405"/>
      <c r="AB6" s="2405"/>
      <c r="AC6" s="2406"/>
      <c r="AD6" s="2404"/>
      <c r="AE6" s="2405"/>
      <c r="AF6" s="2405"/>
      <c r="AG6" s="2405"/>
      <c r="AH6" s="2405"/>
      <c r="AI6" s="2405"/>
      <c r="AJ6" s="2405"/>
      <c r="AK6" s="2405"/>
      <c r="AL6" s="2406"/>
      <c r="AM6" s="1404" t="s">
        <v>427</v>
      </c>
      <c r="AO6" s="646"/>
      <c r="AP6" s="646" t="str">
        <f>IF(T6="","",T6)</f>
        <v>Схема подключения теплопотребляющей установки к коллектору источника тепловой энергии</v>
      </c>
      <c r="AQ6" s="646"/>
      <c r="AR6" s="646"/>
      <c r="AS6" s="1301">
        <v>0</v>
      </c>
    </row>
    <row customHeight="1" ht="21" hidden="1">
      <c r="A7" s="1509"/>
      <c r="B7" s="1509"/>
      <c r="C7" s="1509"/>
      <c r="D7" s="1509"/>
      <c r="E7" s="2418"/>
      <c r="F7" s="2418"/>
      <c r="G7" s="2418"/>
      <c r="H7" s="2418"/>
      <c r="I7" s="2445"/>
      <c r="J7" s="2415">
        <f>I6&amp;".1"</f>
      </c>
      <c r="K7" s="1509"/>
      <c r="L7" s="1510" t="s">
        <v>428</v>
      </c>
      <c r="M7" s="683"/>
      <c r="N7" s="1512"/>
      <c r="P7" s="2416"/>
      <c r="Q7" s="2416">
        <v>1</v>
      </c>
      <c r="R7" s="503"/>
      <c r="S7" s="1482">
        <f>$J7</f>
      </c>
      <c r="T7" s="432" t="s">
        <v>429</v>
      </c>
      <c r="U7" s="446"/>
      <c r="V7" s="2404"/>
      <c r="W7" s="2405"/>
      <c r="X7" s="2405"/>
      <c r="Y7" s="2405"/>
      <c r="Z7" s="2405"/>
      <c r="AA7" s="2405"/>
      <c r="AB7" s="2405"/>
      <c r="AC7" s="2406"/>
      <c r="AD7" s="2404"/>
      <c r="AE7" s="2405"/>
      <c r="AF7" s="2405"/>
      <c r="AG7" s="2405"/>
      <c r="AH7" s="2405"/>
      <c r="AI7" s="2405"/>
      <c r="AJ7" s="2405"/>
      <c r="AK7" s="2405"/>
      <c r="AL7" s="2406"/>
      <c r="AM7" s="1404" t="s">
        <v>430</v>
      </c>
      <c r="AO7" s="646"/>
      <c r="AP7" s="646" t="str">
        <f>IF(T7="","",T7)</f>
        <v>Группа потребителей</v>
      </c>
      <c r="AQ7" s="646"/>
      <c r="AR7" s="646"/>
      <c r="AS7" s="1301">
        <v>0</v>
      </c>
    </row>
    <row customHeight="1" ht="21" hidden="1">
      <c r="A8" s="1509"/>
      <c r="B8" s="1509"/>
      <c r="C8" s="1509"/>
      <c r="D8" s="1509"/>
      <c r="E8" s="2418"/>
      <c r="F8" s="2418"/>
      <c r="G8" s="2418"/>
      <c r="H8" s="2418"/>
      <c r="I8" s="2445"/>
      <c r="J8" s="2445"/>
      <c r="K8" s="2415">
        <f>J7&amp;".1"</f>
      </c>
      <c r="L8" s="1510" t="s">
        <v>431</v>
      </c>
      <c r="M8" s="683"/>
      <c r="N8" s="1512"/>
      <c r="O8" s="1512"/>
      <c r="P8" s="2416"/>
      <c r="Q8" s="2416"/>
      <c r="R8" s="503">
        <v>1</v>
      </c>
      <c r="S8" s="1482">
        <f>$K8</f>
      </c>
      <c r="T8" s="1493"/>
      <c r="U8" s="446"/>
      <c r="V8" s="897"/>
      <c r="W8" s="471"/>
      <c r="X8" s="897"/>
      <c r="Y8" s="1403"/>
      <c r="Z8" s="2424"/>
      <c r="AA8" s="2266" t="s">
        <v>63</v>
      </c>
      <c r="AB8" s="2424"/>
      <c r="AC8" s="2266" t="s">
        <v>63</v>
      </c>
      <c r="AD8" s="897"/>
      <c r="AE8" s="471"/>
      <c r="AF8" s="897"/>
      <c r="AG8" s="1403"/>
      <c r="AH8" s="2424"/>
      <c r="AI8" s="2266" t="s">
        <v>63</v>
      </c>
      <c r="AJ8" s="2424"/>
      <c r="AK8" s="2266" t="s">
        <v>63</v>
      </c>
      <c r="AL8" s="471"/>
      <c r="AM8" s="2412" t="s">
        <v>432</v>
      </c>
      <c r="AN8" s="657">
        <f>STRCHECKDATE(V9:AL9)</f>
      </c>
      <c r="AO8" s="646"/>
      <c r="AP8" s="646" t="str">
        <f>IF(T8="","",T8)</f>
        <v/>
      </c>
      <c r="AQ8" s="646"/>
      <c r="AR8" s="646"/>
      <c r="AS8" s="1301">
        <v>0</v>
      </c>
    </row>
    <row customHeight="1" ht="0.75" hidden="1">
      <c r="A9" s="1509"/>
      <c r="B9" s="1509"/>
      <c r="C9" s="1509"/>
      <c r="D9" s="1509"/>
      <c r="E9" s="2418"/>
      <c r="F9" s="2418"/>
      <c r="G9" s="2418"/>
      <c r="H9" s="2418"/>
      <c r="I9" s="2445"/>
      <c r="J9" s="2445"/>
      <c r="K9" s="2415"/>
      <c r="L9" s="1510"/>
      <c r="M9" s="683"/>
      <c r="N9" s="1512"/>
      <c r="O9" s="1512"/>
      <c r="P9" s="2416"/>
      <c r="Q9" s="2416"/>
      <c r="R9" s="503"/>
      <c r="S9" s="1488"/>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646"/>
      <c r="AP9" s="646" t="str">
        <f>IF(T9="","",T9)</f>
        <v/>
      </c>
      <c r="AQ9" s="646"/>
      <c r="AR9" s="646"/>
      <c r="AS9" s="1301">
        <v>0</v>
      </c>
    </row>
    <row customHeight="1" ht="15" hidden="1">
      <c r="A10" s="1509"/>
      <c r="B10" s="1509"/>
      <c r="C10" s="1509"/>
      <c r="D10" s="1509"/>
      <c r="E10" s="2418"/>
      <c r="F10" s="2418"/>
      <c r="G10" s="2418"/>
      <c r="H10" s="2418"/>
      <c r="I10" s="2445"/>
      <c r="J10" s="2415"/>
      <c r="K10" s="1509"/>
      <c r="L10" s="1510"/>
      <c r="M10" s="683"/>
      <c r="N10" s="1512"/>
      <c r="P10" s="2416"/>
      <c r="Q10" s="2416"/>
      <c r="R10" s="502"/>
      <c r="S10" s="1424"/>
      <c r="T10" s="434" t="s">
        <v>433</v>
      </c>
      <c r="U10" s="513"/>
      <c r="V10" s="513"/>
      <c r="W10" s="513"/>
      <c r="X10" s="513"/>
      <c r="Y10" s="513"/>
      <c r="Z10" s="513"/>
      <c r="AA10" s="513"/>
      <c r="AB10" s="513"/>
      <c r="AC10" s="513"/>
      <c r="AD10" s="513"/>
      <c r="AE10" s="513"/>
      <c r="AF10" s="513"/>
      <c r="AG10" s="513"/>
      <c r="AH10" s="513"/>
      <c r="AI10" s="513"/>
      <c r="AJ10" s="513"/>
      <c r="AK10" s="513"/>
      <c r="AL10" s="470"/>
      <c r="AM10" s="2414"/>
      <c r="AO10" s="646"/>
      <c r="AP10" s="646" t="str">
        <f>IF(T10="","",T10)</f>
        <v>Добавить вид теплоносителя (параметры теплоносителя)</v>
      </c>
      <c r="AQ10" s="646"/>
      <c r="AR10" s="646"/>
      <c r="AS10" s="1301">
        <v>0</v>
      </c>
    </row>
    <row customHeight="1" ht="15" hidden="1">
      <c r="A11" s="1509"/>
      <c r="B11" s="1509"/>
      <c r="C11" s="1509"/>
      <c r="D11" s="1509"/>
      <c r="E11" s="2418"/>
      <c r="F11" s="2418"/>
      <c r="G11" s="2418"/>
      <c r="H11" s="2418"/>
      <c r="I11" s="2415"/>
      <c r="J11" s="1509"/>
      <c r="K11" s="1509"/>
      <c r="L11" s="1510"/>
      <c r="M11" s="683"/>
      <c r="P11" s="2416"/>
      <c r="Q11" s="1477"/>
      <c r="R11" s="502"/>
      <c r="S11" s="1424"/>
      <c r="T11" s="433" t="s">
        <v>434</v>
      </c>
      <c r="U11" s="513"/>
      <c r="V11" s="513"/>
      <c r="W11" s="513"/>
      <c r="X11" s="513"/>
      <c r="Y11" s="513"/>
      <c r="Z11" s="513"/>
      <c r="AA11" s="513"/>
      <c r="AB11" s="513"/>
      <c r="AC11" s="512"/>
      <c r="AD11" s="513"/>
      <c r="AE11" s="513"/>
      <c r="AF11" s="513"/>
      <c r="AG11" s="513"/>
      <c r="AH11" s="513"/>
      <c r="AI11" s="513"/>
      <c r="AJ11" s="513"/>
      <c r="AK11" s="512"/>
      <c r="AL11" s="513"/>
      <c r="AM11" s="449"/>
      <c r="AO11" s="646"/>
      <c r="AP11" s="646" t="str">
        <f>IF(T11="","",T11)</f>
        <v>Добавить группу потребителей</v>
      </c>
      <c r="AQ11" s="646"/>
      <c r="AR11" s="646"/>
      <c r="AS11" s="1301">
        <v>0</v>
      </c>
    </row>
    <row customHeight="1" ht="14.25" hidden="1">
      <c r="A12" s="1509"/>
      <c r="B12" s="1509"/>
      <c r="C12" s="1509"/>
      <c r="D12" s="1509"/>
      <c r="E12" s="2418"/>
      <c r="F12" s="2418"/>
      <c r="G12" s="2418"/>
      <c r="H12" s="2417"/>
      <c r="I12" s="1509"/>
      <c r="J12" s="1509"/>
      <c r="K12" s="1509"/>
      <c r="L12" s="1510"/>
      <c r="M12" s="1511"/>
      <c r="N12" s="1511"/>
      <c r="O12" s="683"/>
      <c r="P12" s="506"/>
      <c r="Q12" s="521"/>
      <c r="R12" s="501"/>
      <c r="S12" s="1424"/>
      <c r="T12" s="511" t="s">
        <v>435</v>
      </c>
      <c r="U12" s="513"/>
      <c r="V12" s="513"/>
      <c r="W12" s="513"/>
      <c r="X12" s="513"/>
      <c r="Y12" s="513"/>
      <c r="Z12" s="513"/>
      <c r="AA12" s="513"/>
      <c r="AB12" s="513"/>
      <c r="AC12" s="512"/>
      <c r="AD12" s="513"/>
      <c r="AE12" s="513"/>
      <c r="AF12" s="513"/>
      <c r="AG12" s="513"/>
      <c r="AH12" s="513"/>
      <c r="AI12" s="513"/>
      <c r="AJ12" s="513"/>
      <c r="AK12" s="512"/>
      <c r="AL12" s="513"/>
      <c r="AM12" s="449"/>
      <c r="AO12" s="646"/>
      <c r="AP12" s="646" t="str">
        <f>IF(T12="","",T12)</f>
        <v>Добавить схему подключения</v>
      </c>
      <c r="AQ12" s="646"/>
      <c r="AR12" s="646"/>
      <c r="AS12" s="1301">
        <v>0</v>
      </c>
    </row>
    <row s="6720" customFormat="1" customHeight="1" ht="0.75" hidden="1">
      <c r="A13" s="1460"/>
      <c r="B13" s="1460"/>
      <c r="C13" s="1460"/>
      <c r="D13" s="1460"/>
      <c r="E13" s="2418"/>
      <c r="F13" s="2418"/>
      <c r="G13" s="2417"/>
      <c r="H13" s="1460"/>
      <c r="I13" s="1460"/>
      <c r="J13" s="1460"/>
      <c r="K13" s="1460"/>
      <c r="L13" s="1485"/>
      <c r="M13" s="1461"/>
      <c r="N13" s="1461"/>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935"/>
      <c r="AP13" s="935" t="str">
        <f>IF(T13="","",T13)</f>
        <v>Добавить источник для дифференциации</v>
      </c>
      <c r="AQ13" s="935"/>
      <c r="AR13" s="935"/>
      <c r="AS13" s="664">
        <v>0</v>
      </c>
    </row>
    <row s="6720" customFormat="1" customHeight="1" ht="0.75" hidden="1">
      <c r="A14" s="1460"/>
      <c r="B14" s="1460"/>
      <c r="C14" s="1460"/>
      <c r="D14" s="1460"/>
      <c r="E14" s="2418"/>
      <c r="F14" s="2417"/>
      <c r="G14" s="1460"/>
      <c r="H14" s="1460"/>
      <c r="I14" s="1460"/>
      <c r="J14" s="1460"/>
      <c r="K14" s="1460"/>
      <c r="L14" s="1485"/>
      <c r="M14" s="1467"/>
      <c r="N14" s="1467"/>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935"/>
      <c r="AP14" s="935" t="str">
        <f>IF(T14="","",T14)</f>
        <v>Добавить централизованную систему для дифференциации</v>
      </c>
      <c r="AQ14" s="935"/>
      <c r="AR14" s="935"/>
      <c r="AS14" s="664">
        <v>0</v>
      </c>
    </row>
    <row s="6720" customFormat="1" customHeight="1" ht="0.75" hidden="1">
      <c r="A15" s="1460"/>
      <c r="B15" s="1460"/>
      <c r="C15" s="1460"/>
      <c r="D15" s="1460"/>
      <c r="E15" s="2417"/>
      <c r="F15" s="1460"/>
      <c r="G15" s="1460"/>
      <c r="H15" s="1460"/>
      <c r="I15" s="1460"/>
      <c r="J15" s="1460"/>
      <c r="K15" s="1460"/>
      <c r="L15" s="1485"/>
      <c r="M15" s="1467"/>
      <c r="N15" s="1467"/>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935"/>
      <c r="AP15" s="935" t="str">
        <f>IF(T15="","",T15)</f>
        <v>Добавить территорию для дифференциации</v>
      </c>
      <c r="AQ15" s="935"/>
      <c r="AR15" s="935"/>
      <c r="AS15" s="664">
        <v>0</v>
      </c>
    </row>
    <row customHeight="1" ht="14.25" hidden="1">
      <c r="AC16" s="473"/>
      <c r="AK16" s="473"/>
      <c r="AS16" s="1301">
        <v>0</v>
      </c>
    </row>
    <row customHeight="1" ht="14.25" hidden="1">
      <c r="AD17" s="1506"/>
      <c r="AE17" s="1506"/>
      <c r="AF17" s="1506"/>
      <c r="AG17" s="1507"/>
      <c r="AH17" s="2426"/>
      <c r="AI17" s="2427" t="s">
        <v>63</v>
      </c>
      <c r="AJ17" s="2426"/>
      <c r="AK17" s="2427" t="s">
        <v>63</v>
      </c>
      <c r="AS17" s="1301">
        <v>0</v>
      </c>
    </row>
    <row customHeight="1" ht="14.25" hidden="1">
      <c r="AD18" s="1506"/>
      <c r="AE18" s="1506"/>
      <c r="AF18" s="1506"/>
      <c r="AG18" s="474" t="str">
        <f>AH17&amp;"-"&amp;AJ17</f>
        <v>-</v>
      </c>
      <c r="AH18" s="2427"/>
      <c r="AI18" s="2427"/>
      <c r="AJ18" s="2427"/>
      <c r="AK18" s="2427"/>
      <c r="AS18" s="1301">
        <v>0</v>
      </c>
    </row>
    <row customHeight="1" ht="14.25" hidden="1">
      <c r="AK19" s="473"/>
      <c r="AS19" s="1301">
        <v>0</v>
      </c>
    </row>
    <row s="7180" customFormat="1" customHeight="1" ht="22.5" hidden="1">
      <c r="L20" s="1475"/>
      <c r="M20" s="1508"/>
      <c r="N20" s="1508"/>
      <c r="O20" s="1513" t="s">
        <v>439</v>
      </c>
      <c r="P20" s="1508"/>
      <c r="Q20" s="1517"/>
      <c r="R20" s="1517"/>
      <c r="S20" s="875"/>
      <c r="Z20" s="1513"/>
      <c r="AB20" s="1513"/>
      <c r="AC20" s="1512"/>
      <c r="AH20" s="1513"/>
      <c r="AJ20" s="1513"/>
      <c r="AK20" s="1512"/>
      <c r="AN20" s="657"/>
      <c r="AO20" s="657"/>
      <c r="AP20" s="657"/>
      <c r="AQ20" s="657"/>
      <c r="AR20" s="657"/>
      <c r="AS20" s="1306">
        <v>0</v>
      </c>
    </row>
    <row s="7180" customFormat="1" customHeight="1" ht="14.25" hidden="1">
      <c r="L21" s="1475"/>
      <c r="M21" s="1508"/>
      <c r="N21" s="1508"/>
      <c r="O21" s="1508"/>
      <c r="P21" s="1508"/>
      <c r="Q21" s="1517"/>
      <c r="R21" s="1517"/>
      <c r="S21" s="875"/>
      <c r="AC21" s="1512"/>
      <c r="AK21" s="1512"/>
      <c r="AN21" s="657"/>
      <c r="AO21" s="657"/>
      <c r="AP21" s="657"/>
      <c r="AQ21" s="657"/>
      <c r="AR21" s="657"/>
      <c r="AS21" s="1306">
        <v>0</v>
      </c>
    </row>
    <row s="7180" customFormat="1" customHeight="1" ht="14.25" hidden="1">
      <c r="L22" s="1475"/>
      <c r="M22" s="1508"/>
      <c r="N22" s="1508"/>
      <c r="O22" s="1510" t="s">
        <v>440</v>
      </c>
      <c r="P22" s="1508"/>
      <c r="Q22" s="1517"/>
      <c r="R22" s="1517"/>
      <c r="S22" s="875"/>
      <c r="T22" s="1306" t="s">
        <v>441</v>
      </c>
      <c r="AA22" s="332" t="s">
        <v>442</v>
      </c>
      <c r="AC22" s="332" t="s">
        <v>443</v>
      </c>
      <c r="AD22" s="1306" t="s">
        <v>441</v>
      </c>
      <c r="AI22" s="332" t="s">
        <v>444</v>
      </c>
      <c r="AK22" s="332" t="s">
        <v>443</v>
      </c>
      <c r="AN22" s="657"/>
      <c r="AO22" s="657"/>
      <c r="AP22" s="657"/>
      <c r="AQ22" s="657"/>
      <c r="AR22" s="657"/>
      <c r="AS22" s="1306">
        <v>0</v>
      </c>
    </row>
    <row customHeight="1" ht="14.25" hidden="1">
      <c r="O23" s="1510"/>
      <c r="AS23" s="1301">
        <v>0</v>
      </c>
    </row>
    <row customHeight="1" ht="14.25" hidden="1">
      <c r="O24" s="1510"/>
      <c r="AS24" s="1301">
        <v>0</v>
      </c>
    </row>
    <row customHeight="1" ht="14.699999999999998">
      <c r="Q25" s="522"/>
      <c r="R25" s="522"/>
      <c r="S25" s="1421"/>
      <c r="T25" s="509"/>
      <c r="U25" s="509"/>
      <c r="V25" s="655"/>
      <c r="W25" s="655"/>
      <c r="X25" s="655"/>
      <c r="Y25" s="655"/>
      <c r="Z25" s="655"/>
      <c r="AA25" s="655"/>
      <c r="AB25" s="655"/>
      <c r="AC25" s="655"/>
      <c r="AD25" s="655"/>
      <c r="AE25" s="655"/>
      <c r="AF25" s="655"/>
      <c r="AG25" s="655"/>
      <c r="AH25" s="655"/>
      <c r="AI25" s="655"/>
      <c r="AJ25" s="655"/>
      <c r="AK25" s="655"/>
      <c r="AS25" s="1301">
        <v>14</v>
      </c>
    </row>
    <row customHeight="1" ht="14.699999999999998">
      <c r="Q26" s="522"/>
      <c r="R26" s="522"/>
      <c r="S26" s="24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7"/>
      <c r="U26" s="2407"/>
      <c r="V26" s="2407"/>
      <c r="W26" s="2407"/>
      <c r="X26" s="2407"/>
      <c r="Y26" s="2407"/>
      <c r="Z26" s="2407"/>
      <c r="AA26" s="2407"/>
      <c r="AB26" s="2407"/>
      <c r="AC26" s="2407"/>
      <c r="AD26" s="2407"/>
      <c r="AE26" s="2407"/>
      <c r="AF26" s="2407"/>
      <c r="AG26" s="2407"/>
      <c r="AH26" s="2407"/>
      <c r="AI26" s="2407"/>
      <c r="AJ26" s="2407"/>
      <c r="AK26" s="1389"/>
      <c r="AS26" s="1301">
        <v>14</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301">
        <v>14</v>
      </c>
    </row>
    <row customHeight="1" ht="14.25" hidden="1">
      <c r="Q28" s="522"/>
      <c r="R28" s="522"/>
      <c r="S28" s="1421"/>
      <c r="T28" s="509"/>
      <c r="U28" s="509"/>
      <c r="V28" s="468"/>
      <c r="W28" s="468"/>
      <c r="X28" s="468"/>
      <c r="Y28" s="468"/>
      <c r="Z28" s="468"/>
      <c r="AA28" s="468"/>
      <c r="AB28" s="468"/>
      <c r="AC28" s="468"/>
      <c r="AD28" s="468"/>
      <c r="AE28" s="468"/>
      <c r="AF28" s="468"/>
      <c r="AG28" s="468"/>
      <c r="AH28" s="468"/>
      <c r="AI28" s="468"/>
      <c r="AJ28" s="468"/>
      <c r="AK28" s="468"/>
      <c r="AL28" s="655"/>
      <c r="AS28" s="1301">
        <v>0</v>
      </c>
    </row>
    <row s="7809" customFormat="1" customHeight="1" ht="25.5" hidden="1">
      <c r="A29" s="1514"/>
      <c r="B29" s="1514"/>
      <c r="C29" s="1514"/>
      <c r="D29" s="1514"/>
      <c r="E29" s="1514"/>
      <c r="F29" s="1514"/>
      <c r="G29" s="1514"/>
      <c r="H29" s="1514"/>
      <c r="I29" s="1514"/>
      <c r="J29" s="1514"/>
      <c r="K29" s="1514"/>
      <c r="L29" s="1515"/>
      <c r="M29" s="1514"/>
      <c r="N29" s="1514"/>
      <c r="O29" s="1514"/>
      <c r="S29" s="2409" t="s">
        <v>42</v>
      </c>
      <c r="T29" s="2409"/>
      <c r="U29" s="1518"/>
      <c r="V29" s="2410" t="str">
        <f>IF(TITLE_NAME_OR_PR_CHANGE="",IF(TITLE_NAME_OR_PR="","",TITLE_NAME_OR_PR),TITLE_NAME_OR_PR_CHANGE)</f>
        <v/>
      </c>
      <c r="W29" s="2410"/>
      <c r="X29" s="2410"/>
      <c r="Y29" s="2410"/>
      <c r="Z29" s="2410"/>
      <c r="AA29" s="2410"/>
      <c r="AB29" s="2410"/>
      <c r="AC29" s="472"/>
      <c r="AD29" s="2410" t="str">
        <f>IF(TITLE_NAME_OR_PR_CHANGE="",IF(TITLE_NAME_OR_PR="","",TITLE_NAME_OR_PR),TITLE_NAME_OR_PR_CHANGE)</f>
        <v/>
      </c>
      <c r="AE29" s="2410"/>
      <c r="AF29" s="2410"/>
      <c r="AG29" s="2410"/>
      <c r="AH29" s="2410"/>
      <c r="AI29" s="2410"/>
      <c r="AJ29" s="2410"/>
      <c r="AK29" s="472"/>
      <c r="AL29" s="472"/>
      <c r="AM29" s="426"/>
      <c r="AN29" s="514"/>
      <c r="AO29" s="514"/>
      <c r="AP29" s="514"/>
      <c r="AQ29" s="514"/>
      <c r="AR29" s="514"/>
      <c r="AS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445</v>
      </c>
      <c r="T30" s="2409"/>
      <c r="U30" s="1518"/>
      <c r="V30" s="2423" t="str">
        <f>IF(TITLE_DATE_PR_CHANGE="",IF(TITLE_DATE_PR="","",TITLE_DATE_PR),TITLE_DATE_PR_CHANGE)</f>
        <v/>
      </c>
      <c r="W30" s="2423"/>
      <c r="X30" s="2423"/>
      <c r="Y30" s="2423"/>
      <c r="Z30" s="2423"/>
      <c r="AA30" s="2423"/>
      <c r="AB30" s="2423"/>
      <c r="AC30" s="472"/>
      <c r="AD30" s="2423" t="str">
        <f>IF(TITLE_DATE_PR_CHANGE="",IF(TITLE_DATE_PR="","",TITLE_DATE_PR),TITLE_DATE_PR_CHANGE)</f>
        <v/>
      </c>
      <c r="AE30" s="2423"/>
      <c r="AF30" s="2423"/>
      <c r="AG30" s="2423"/>
      <c r="AH30" s="2423"/>
      <c r="AI30" s="2423"/>
      <c r="AJ30" s="2423"/>
      <c r="AK30" s="472"/>
      <c r="AL30" s="472"/>
      <c r="AM30" s="426"/>
      <c r="AN30" s="514"/>
      <c r="AO30" s="514"/>
      <c r="AP30" s="514"/>
      <c r="AQ30" s="514"/>
      <c r="AR30" s="514"/>
      <c r="AS30" s="564">
        <v>0</v>
      </c>
    </row>
    <row s="7809" customFormat="1" customHeight="1" ht="18.75" hidden="1">
      <c r="A31" s="1514"/>
      <c r="B31" s="1514"/>
      <c r="C31" s="1514"/>
      <c r="D31" s="1514"/>
      <c r="E31" s="1514"/>
      <c r="F31" s="1514"/>
      <c r="G31" s="1514"/>
      <c r="H31" s="1514"/>
      <c r="I31" s="1514"/>
      <c r="J31" s="1514"/>
      <c r="K31" s="1514"/>
      <c r="L31" s="1515"/>
      <c r="M31" s="1514"/>
      <c r="N31" s="1514"/>
      <c r="O31" s="1514"/>
      <c r="S31" s="2409" t="s">
        <v>446</v>
      </c>
      <c r="T31" s="2409"/>
      <c r="U31" s="1518"/>
      <c r="V31" s="2410" t="str">
        <f>IF(TITLE_NUMBER_PR_CHANGE="",IF(TITLE_NUMBER_PR="","",TITLE_NUMBER_PR),TITLE_NUMBER_PR_CHANGE)</f>
        <v/>
      </c>
      <c r="W31" s="2410"/>
      <c r="X31" s="2410"/>
      <c r="Y31" s="2410"/>
      <c r="Z31" s="2410"/>
      <c r="AA31" s="2410"/>
      <c r="AB31" s="2410"/>
      <c r="AC31" s="472"/>
      <c r="AD31" s="2410" t="str">
        <f>IF(TITLE_NUMBER_PR_CHANGE="",IF(TITLE_NUMBER_PR="","",TITLE_NUMBER_PR),TITLE_NUMBER_PR_CHANGE)</f>
        <v/>
      </c>
      <c r="AE31" s="2410"/>
      <c r="AF31" s="2410"/>
      <c r="AG31" s="2410"/>
      <c r="AH31" s="2410"/>
      <c r="AI31" s="2410"/>
      <c r="AJ31" s="2410"/>
      <c r="AK31" s="472"/>
      <c r="AL31" s="472"/>
      <c r="AM31" s="426"/>
      <c r="AN31" s="514"/>
      <c r="AO31" s="514"/>
      <c r="AP31" s="514"/>
      <c r="AQ31" s="514"/>
      <c r="AR31" s="514"/>
      <c r="AS31" s="564">
        <v>0</v>
      </c>
    </row>
    <row s="7809" customFormat="1" customHeight="1" ht="18.75" hidden="1">
      <c r="A32" s="1514"/>
      <c r="B32" s="1514"/>
      <c r="C32" s="1514"/>
      <c r="D32" s="1514"/>
      <c r="E32" s="1514"/>
      <c r="F32" s="1514"/>
      <c r="G32" s="1514"/>
      <c r="H32" s="1514"/>
      <c r="I32" s="1514"/>
      <c r="J32" s="1514"/>
      <c r="K32" s="1514"/>
      <c r="L32" s="1515"/>
      <c r="M32" s="1514"/>
      <c r="N32" s="1514"/>
      <c r="O32" s="1514"/>
      <c r="S32" s="2409" t="s">
        <v>43</v>
      </c>
      <c r="T32" s="2409"/>
      <c r="U32" s="1518"/>
      <c r="V32" s="2410" t="str">
        <f>IF(TITLE_IST_PUB_CHANGE="",IF(TITLE_IST_PUB="","",TITLE_IST_PUB),TITLE_IST_PUB_CHANGE)</f>
        <v/>
      </c>
      <c r="W32" s="2410"/>
      <c r="X32" s="2410"/>
      <c r="Y32" s="2410"/>
      <c r="Z32" s="2410"/>
      <c r="AA32" s="2410"/>
      <c r="AB32" s="2410"/>
      <c r="AC32" s="472"/>
      <c r="AD32" s="2410" t="str">
        <f>IF(TITLE_IST_PUB_CHANGE="",IF(TITLE_IST_PUB="","",TITLE_IST_PUB),TITLE_IST_PUB_CHANGE)</f>
        <v/>
      </c>
      <c r="AE32" s="2410"/>
      <c r="AF32" s="2410"/>
      <c r="AG32" s="2410"/>
      <c r="AH32" s="2410"/>
      <c r="AI32" s="2410"/>
      <c r="AJ32" s="2410"/>
      <c r="AK32" s="472"/>
      <c r="AL32" s="472"/>
      <c r="AM32" s="426"/>
      <c r="AN32" s="514"/>
      <c r="AO32" s="514"/>
      <c r="AP32" s="514"/>
      <c r="AQ32" s="514"/>
      <c r="AR32" s="514"/>
      <c r="AS32" s="564">
        <v>0</v>
      </c>
    </row>
    <row customHeight="1" ht="14.25" hidden="1">
      <c r="Q33" s="522"/>
      <c r="R33" s="522"/>
      <c r="S33" s="1421"/>
      <c r="T33" s="509"/>
      <c r="U33" s="509"/>
      <c r="V33" s="468"/>
      <c r="W33" s="468"/>
      <c r="X33" s="468"/>
      <c r="Y33" s="468"/>
      <c r="Z33" s="468"/>
      <c r="AA33" s="468"/>
      <c r="AB33" s="468"/>
      <c r="AC33" s="468"/>
      <c r="AD33" s="468"/>
      <c r="AE33" s="468"/>
      <c r="AF33" s="468"/>
      <c r="AG33" s="468"/>
      <c r="AH33" s="468"/>
      <c r="AI33" s="468"/>
      <c r="AJ33" s="468"/>
      <c r="AK33" s="468"/>
      <c r="AL33" s="655"/>
      <c r="AS33" s="1301">
        <v>0</v>
      </c>
    </row>
    <row s="7809" customFormat="1" customHeight="1" ht="18.75" hidden="1">
      <c r="A34" s="1514"/>
      <c r="B34" s="1514"/>
      <c r="C34" s="1514"/>
      <c r="D34" s="1514"/>
      <c r="E34" s="1514"/>
      <c r="F34" s="1514"/>
      <c r="G34" s="1514"/>
      <c r="H34" s="1514"/>
      <c r="I34" s="1514"/>
      <c r="J34" s="1514"/>
      <c r="K34" s="1514"/>
      <c r="L34" s="1515"/>
      <c r="M34" s="1514"/>
      <c r="N34" s="1514"/>
      <c r="O34" s="1514"/>
      <c r="S34" s="2409" t="s">
        <v>447</v>
      </c>
      <c r="T34" s="2409"/>
      <c r="U34" s="1518"/>
      <c r="V34" s="2423" t="str">
        <f>IF(TITLE_DATE_PR_CHANGE="",IF(TITLE_DATE_PR="","",TITLE_DATE_PR),TITLE_DATE_PR_CHANGE)</f>
        <v/>
      </c>
      <c r="W34" s="2423"/>
      <c r="X34" s="2423"/>
      <c r="Y34" s="2423"/>
      <c r="Z34" s="2423"/>
      <c r="AA34" s="2423"/>
      <c r="AB34" s="2423"/>
      <c r="AC34" s="472"/>
      <c r="AD34" s="2423" t="str">
        <f>IF(TITLE_DATE_PR_CHANGE="",IF(TITLE_DATE_PR="","",TITLE_DATE_PR),TITLE_DATE_PR_CHANGE)</f>
        <v/>
      </c>
      <c r="AE34" s="2423"/>
      <c r="AF34" s="2423"/>
      <c r="AG34" s="2423"/>
      <c r="AH34" s="2423"/>
      <c r="AI34" s="2423"/>
      <c r="AJ34" s="2423"/>
      <c r="AK34" s="472"/>
      <c r="AL34" s="472"/>
      <c r="AM34" s="426"/>
      <c r="AN34" s="514"/>
      <c r="AO34" s="514"/>
      <c r="AP34" s="514"/>
      <c r="AQ34" s="514"/>
      <c r="AR34" s="514"/>
      <c r="AS34" s="564">
        <v>0</v>
      </c>
    </row>
    <row s="7809" customFormat="1" customHeight="1" ht="18.75" hidden="1">
      <c r="A35" s="1514"/>
      <c r="B35" s="1514"/>
      <c r="C35" s="1514"/>
      <c r="D35" s="1514"/>
      <c r="E35" s="1514"/>
      <c r="F35" s="1514"/>
      <c r="G35" s="1514"/>
      <c r="H35" s="1514"/>
      <c r="I35" s="1514"/>
      <c r="J35" s="1514"/>
      <c r="K35" s="1514"/>
      <c r="L35" s="1515"/>
      <c r="M35" s="1514"/>
      <c r="N35" s="1514"/>
      <c r="O35" s="1514"/>
      <c r="S35" s="2409" t="s">
        <v>448</v>
      </c>
      <c r="T35" s="2409"/>
      <c r="U35" s="1518"/>
      <c r="V35" s="2410" t="str">
        <f>IF(TITLE_NUMBER_PR_CHANGE="",IF(TITLE_NUMBER_PR="","",TITLE_NUMBER_PR),TITLE_NUMBER_PR_CHANGE)</f>
        <v/>
      </c>
      <c r="W35" s="2410"/>
      <c r="X35" s="2410"/>
      <c r="Y35" s="2410"/>
      <c r="Z35" s="2410"/>
      <c r="AA35" s="2410"/>
      <c r="AB35" s="2410"/>
      <c r="AC35" s="472"/>
      <c r="AD35" s="2410" t="str">
        <f>IF(TITLE_NUMBER_PR_CHANGE="",IF(TITLE_NUMBER_PR="","",TITLE_NUMBER_PR),TITLE_NUMBER_PR_CHANGE)</f>
        <v/>
      </c>
      <c r="AE35" s="2410"/>
      <c r="AF35" s="2410"/>
      <c r="AG35" s="2410"/>
      <c r="AH35" s="2410"/>
      <c r="AI35" s="2410"/>
      <c r="AJ35" s="2410"/>
      <c r="AK35" s="472"/>
      <c r="AL35" s="472"/>
      <c r="AM35" s="426"/>
      <c r="AN35" s="514"/>
      <c r="AO35" s="514"/>
      <c r="AP35" s="514"/>
      <c r="AQ35" s="514"/>
      <c r="AR35" s="514"/>
      <c r="AS35" s="564">
        <v>0</v>
      </c>
    </row>
    <row s="7809" customFormat="1" customHeight="1" ht="0">
      <c r="A36" s="1514"/>
      <c r="B36" s="1514"/>
      <c r="C36" s="1514"/>
      <c r="D36" s="1514"/>
      <c r="E36" s="1514"/>
      <c r="F36" s="1514"/>
      <c r="G36" s="1514"/>
      <c r="H36" s="1514"/>
      <c r="I36" s="1514"/>
      <c r="J36" s="1514"/>
      <c r="K36" s="1514"/>
      <c r="L36" s="1515"/>
      <c r="M36" s="1514"/>
      <c r="N36" s="1514"/>
      <c r="O36" s="1514"/>
      <c r="S36" s="469"/>
      <c r="T36" s="469"/>
      <c r="U36" s="1486"/>
      <c r="V36" s="472"/>
      <c r="W36" s="472"/>
      <c r="X36" s="472"/>
      <c r="Y36" s="472"/>
      <c r="Z36" s="472"/>
      <c r="AA36" s="472"/>
      <c r="AB36" s="472"/>
      <c r="AC36" s="424" t="s">
        <v>449</v>
      </c>
      <c r="AD36" s="472"/>
      <c r="AE36" s="472"/>
      <c r="AF36" s="472"/>
      <c r="AG36" s="472"/>
      <c r="AH36" s="472"/>
      <c r="AI36" s="472"/>
      <c r="AJ36" s="472"/>
      <c r="AK36" s="424" t="s">
        <v>449</v>
      </c>
      <c r="AN36" s="514"/>
      <c r="AO36" s="514"/>
      <c r="AP36" s="514"/>
      <c r="AQ36" s="514"/>
      <c r="AR36" s="514"/>
      <c r="AS36" s="564">
        <v>0</v>
      </c>
    </row>
    <row customHeight="1" ht="14.699999999999998">
      <c r="Q37" s="522"/>
      <c r="R37" s="522"/>
      <c r="S37" s="1421"/>
      <c r="T37" s="509"/>
      <c r="U37" s="1390"/>
      <c r="V37" s="2411"/>
      <c r="W37" s="2411"/>
      <c r="X37" s="2411"/>
      <c r="Y37" s="2411"/>
      <c r="Z37" s="2411"/>
      <c r="AA37" s="2411"/>
      <c r="AB37" s="2411"/>
      <c r="AC37" s="2411"/>
      <c r="AD37" s="2411"/>
      <c r="AE37" s="2411"/>
      <c r="AF37" s="2411"/>
      <c r="AG37" s="2411"/>
      <c r="AH37" s="2411"/>
      <c r="AI37" s="2411"/>
      <c r="AJ37" s="2411"/>
      <c r="AK37" s="2411"/>
      <c r="AS37" s="1301">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301">
        <v>14</v>
      </c>
    </row>
    <row customHeight="1" ht="14.699999999999998">
      <c r="Q39" s="522"/>
      <c r="R39" s="522"/>
      <c r="S39" s="2432" t="s">
        <v>89</v>
      </c>
      <c r="T39" s="2368" t="s">
        <v>450</v>
      </c>
      <c r="U39" s="447"/>
      <c r="V39" s="2433" t="s">
        <v>451</v>
      </c>
      <c r="W39" s="2434"/>
      <c r="X39" s="2434"/>
      <c r="Y39" s="2434"/>
      <c r="Z39" s="2434"/>
      <c r="AA39" s="2434"/>
      <c r="AB39" s="2435"/>
      <c r="AC39" s="2436" t="s">
        <v>452</v>
      </c>
      <c r="AD39" s="2433" t="s">
        <v>451</v>
      </c>
      <c r="AE39" s="2434"/>
      <c r="AF39" s="2434"/>
      <c r="AG39" s="2434"/>
      <c r="AH39" s="2434"/>
      <c r="AI39" s="2434"/>
      <c r="AJ39" s="2435"/>
      <c r="AK39" s="2436" t="s">
        <v>453</v>
      </c>
      <c r="AL39" s="2439" t="s">
        <v>454</v>
      </c>
      <c r="AM39" s="2286"/>
      <c r="AS39" s="1301">
        <v>14</v>
      </c>
    </row>
    <row customHeight="1" ht="35.699999999999996">
      <c r="Q40" s="522"/>
      <c r="R40" s="522"/>
      <c r="S40" s="2432"/>
      <c r="T40" s="2368"/>
      <c r="U40" s="1177"/>
      <c r="V40" s="2419" t="s">
        <v>455</v>
      </c>
      <c r="W40" s="2442" t="s">
        <v>456</v>
      </c>
      <c r="X40" s="2421" t="s">
        <v>457</v>
      </c>
      <c r="Y40" s="2422"/>
      <c r="Z40" s="2421" t="s">
        <v>471</v>
      </c>
      <c r="AA40" s="2428"/>
      <c r="AB40" s="2422"/>
      <c r="AC40" s="2437"/>
      <c r="AD40" s="2419" t="s">
        <v>455</v>
      </c>
      <c r="AE40" s="2442" t="s">
        <v>456</v>
      </c>
      <c r="AF40" s="2421" t="s">
        <v>457</v>
      </c>
      <c r="AG40" s="2422"/>
      <c r="AH40" s="2421" t="s">
        <v>458</v>
      </c>
      <c r="AI40" s="2428"/>
      <c r="AJ40" s="2422"/>
      <c r="AK40" s="2437"/>
      <c r="AL40" s="2440"/>
      <c r="AM40" s="2286"/>
      <c r="AS40" s="1301">
        <v>34</v>
      </c>
    </row>
    <row customHeight="1" ht="35.699999999999996">
      <c r="A41" s="1516"/>
      <c r="B41" s="1516" t="s">
        <v>159</v>
      </c>
      <c r="C41" s="1516" t="s">
        <v>160</v>
      </c>
      <c r="D41" s="1516" t="s">
        <v>161</v>
      </c>
      <c r="E41" s="1510" t="s">
        <v>459</v>
      </c>
      <c r="F41" s="1510" t="s">
        <v>460</v>
      </c>
      <c r="G41" s="1510" t="s">
        <v>461</v>
      </c>
      <c r="H41" s="1510" t="s">
        <v>462</v>
      </c>
      <c r="I41" s="1510" t="s">
        <v>463</v>
      </c>
      <c r="J41" s="1510" t="s">
        <v>464</v>
      </c>
      <c r="K41" s="1510" t="s">
        <v>465</v>
      </c>
      <c r="L41" s="1510" t="s">
        <v>440</v>
      </c>
      <c r="Q41" s="522"/>
      <c r="R41" s="522"/>
      <c r="S41" s="2432"/>
      <c r="T41" s="2368"/>
      <c r="U41" s="448"/>
      <c r="V41" s="2420"/>
      <c r="W41" s="2443"/>
      <c r="X41" s="1368" t="s">
        <v>466</v>
      </c>
      <c r="Y41" s="1368" t="s">
        <v>467</v>
      </c>
      <c r="Z41" s="1484" t="s">
        <v>468</v>
      </c>
      <c r="AA41" s="2429" t="s">
        <v>469</v>
      </c>
      <c r="AB41" s="2430"/>
      <c r="AC41" s="2438"/>
      <c r="AD41" s="2420"/>
      <c r="AE41" s="2443"/>
      <c r="AF41" s="1368" t="s">
        <v>466</v>
      </c>
      <c r="AG41" s="1368" t="s">
        <v>467</v>
      </c>
      <c r="AH41" s="1484" t="s">
        <v>468</v>
      </c>
      <c r="AI41" s="2429" t="s">
        <v>469</v>
      </c>
      <c r="AJ41" s="2430"/>
      <c r="AK41" s="2438"/>
      <c r="AL41" s="2441"/>
      <c r="AM41" s="2286"/>
      <c r="AS41" s="1301">
        <v>34</v>
      </c>
    </row>
    <row s="6314" customFormat="1" customHeight="1" ht="11.25" hidden="1">
      <c r="A42" s="1516"/>
      <c r="B42" s="1516"/>
      <c r="C42" s="1516"/>
      <c r="D42" s="1516"/>
      <c r="E42" s="1516"/>
      <c r="F42" s="1516"/>
      <c r="G42" s="1516"/>
      <c r="H42" s="1516"/>
      <c r="I42" s="1516"/>
      <c r="J42" s="1516"/>
      <c r="K42" s="1516"/>
      <c r="L42" s="1510"/>
      <c r="M42" s="1508"/>
      <c r="N42" s="1508"/>
      <c r="O42" s="1508"/>
      <c r="P42" s="1392"/>
      <c r="Q42" s="1393"/>
      <c r="R42" s="1400">
        <v>1</v>
      </c>
      <c r="S42" s="1423" t="s">
        <v>121</v>
      </c>
      <c r="T42" s="1401" t="s">
        <v>105</v>
      </c>
      <c r="U42" s="1391" t="str">
        <f>OFFSET(U42,0,-1)</f>
        <v>2</v>
      </c>
      <c r="V42" s="1481">
        <f>OFFSET(V42,0,-1)+1</f>
        <v>3</v>
      </c>
      <c r="W42" s="1481"/>
      <c r="X42" s="1481">
        <f>OFFSET(X42,0,-1)+1</f>
        <v>1</v>
      </c>
      <c r="Y42" s="1481">
        <f>OFFSET(Y42,0,-1)+1</f>
        <v>2</v>
      </c>
      <c r="Z42" s="1481">
        <f>OFFSET(Z42,0,-1)+1</f>
        <v>3</v>
      </c>
      <c r="AA42" s="2431">
        <f>OFFSET(AA42,0,-1)+1</f>
        <v>4</v>
      </c>
      <c r="AB42" s="2431"/>
      <c r="AC42" s="1481">
        <f>OFFSET(AC42,0,-2)+1</f>
        <v>5</v>
      </c>
      <c r="AD42" s="1481">
        <f>OFFSET(AD42,0,-1)+1</f>
        <v>6</v>
      </c>
      <c r="AE42" s="1481"/>
      <c r="AF42" s="1481">
        <f>OFFSET(AF42,0,-1)+1</f>
        <v>1</v>
      </c>
      <c r="AG42" s="1481">
        <f>OFFSET(AG42,0,-1)+1</f>
        <v>2</v>
      </c>
      <c r="AH42" s="1481">
        <f>OFFSET(AH42,0,-1)+1</f>
        <v>3</v>
      </c>
      <c r="AI42" s="2431">
        <f>OFFSET(AI42,0,-1)+1</f>
        <v>4</v>
      </c>
      <c r="AJ42" s="2431"/>
      <c r="AK42" s="1481">
        <f>OFFSET(AK42,0,-2)+1</f>
        <v>5</v>
      </c>
      <c r="AL42" s="1391">
        <f>OFFSET(AL42,0,-1)</f>
        <v>5</v>
      </c>
      <c r="AM42" s="1481">
        <f>OFFSET(AM42,0,-1)+1</f>
        <v>6</v>
      </c>
      <c r="AN42" s="657"/>
      <c r="AO42" s="657"/>
      <c r="AP42" s="657"/>
      <c r="AQ42" s="657"/>
      <c r="AR42" s="657"/>
      <c r="AS42" s="642">
        <v>0</v>
      </c>
    </row>
    <row customHeight="1" ht="22.049999999999997">
      <c r="A43" s="1509" t="s">
        <v>185</v>
      </c>
      <c r="B43" s="1509"/>
      <c r="C43" s="1509"/>
      <c r="D43" s="1509"/>
      <c r="E43" s="2417">
        <v>1</v>
      </c>
      <c r="F43" s="1509"/>
      <c r="G43" s="1509"/>
      <c r="H43" s="1509"/>
      <c r="I43" s="1509"/>
      <c r="J43" s="1509"/>
      <c r="K43" s="1509"/>
      <c r="L43" s="1510"/>
      <c r="M43" s="1511"/>
      <c r="N43" s="1511"/>
      <c r="O43" s="1511"/>
      <c r="P43" s="507"/>
      <c r="Q43" s="506"/>
      <c r="R43" s="501"/>
      <c r="S43" s="1482">
        <f>INDEX(PT_DIFFERENTIATION_NUM_NTAR,MATCH(A43,PT_DIFFERENTIATION_NTAR_ID,0))</f>
        <v>0</v>
      </c>
      <c r="T43" s="444"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46"/>
      <c r="AP43" s="646" t="str">
        <f>IF(T43="","",T43)</f>
        <v>Наименование тарифа</v>
      </c>
      <c r="AQ43" s="646"/>
      <c r="AR43" s="646"/>
      <c r="AS43" s="1301">
        <v>21</v>
      </c>
    </row>
    <row customHeight="1" ht="22.049999999999997">
      <c r="A44" s="1509" t="s">
        <v>185</v>
      </c>
      <c r="B44" s="1509" t="s">
        <v>186</v>
      </c>
      <c r="C44" s="1509"/>
      <c r="D44" s="1509"/>
      <c r="E44" s="2418"/>
      <c r="F44" s="2417">
        <v>1</v>
      </c>
      <c r="G44" s="1509"/>
      <c r="H44" s="1509"/>
      <c r="I44" s="1509"/>
      <c r="J44" s="1509"/>
      <c r="K44" s="1509"/>
      <c r="L44" s="1510"/>
      <c r="M44" s="1511"/>
      <c r="N44" s="1511"/>
      <c r="O44" s="1511"/>
      <c r="P44" s="1478"/>
      <c r="Q44" s="498"/>
      <c r="R44" s="499"/>
      <c r="S44" s="1482" t="str">
        <f>INDEX(PT_DIFFERENTIATION_NUM_TER,MATCH(B44,PT_DIFFERENTIATION_TER_ID,0))</f>
        <v>.</v>
      </c>
      <c r="T44" s="454"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646"/>
      <c r="AP44" s="646" t="str">
        <f>IF(T44="","",T44)</f>
        <v>Территория действия тарифа</v>
      </c>
      <c r="AQ44" s="646"/>
      <c r="AR44" s="646"/>
      <c r="AS44" s="1301">
        <v>21</v>
      </c>
    </row>
    <row customHeight="1" ht="24">
      <c r="A45" s="1509" t="s">
        <v>185</v>
      </c>
      <c r="B45" s="1509" t="s">
        <v>186</v>
      </c>
      <c r="C45" s="1509" t="s">
        <v>187</v>
      </c>
      <c r="D45" s="1509"/>
      <c r="E45" s="2418"/>
      <c r="F45" s="2418"/>
      <c r="G45" s="2417">
        <v>1</v>
      </c>
      <c r="H45" s="1509"/>
      <c r="I45" s="1509"/>
      <c r="J45" s="1509"/>
      <c r="K45" s="1509"/>
      <c r="L45" s="1510"/>
      <c r="M45" s="1511"/>
      <c r="N45" s="1511"/>
      <c r="O45" s="1511"/>
      <c r="P45" s="500"/>
      <c r="Q45" s="498"/>
      <c r="R45" s="499"/>
      <c r="S45" s="1482"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646"/>
      <c r="AP45" s="646" t="str">
        <f>IF(T45="","",T45)</f>
        <v>Наименование системы теплоснабжения </v>
      </c>
      <c r="AQ45" s="646"/>
      <c r="AR45" s="646"/>
      <c r="AS45" s="1301">
        <v>23</v>
      </c>
    </row>
    <row customHeight="1" ht="22.049999999999997">
      <c r="A46" s="1509" t="s">
        <v>185</v>
      </c>
      <c r="B46" s="1509" t="s">
        <v>186</v>
      </c>
      <c r="C46" s="1509" t="s">
        <v>187</v>
      </c>
      <c r="D46" s="1509" t="s">
        <v>188</v>
      </c>
      <c r="E46" s="2418"/>
      <c r="F46" s="2418"/>
      <c r="G46" s="2418"/>
      <c r="H46" s="2417">
        <v>1</v>
      </c>
      <c r="I46" s="1509"/>
      <c r="J46" s="1509"/>
      <c r="K46" s="1509"/>
      <c r="L46" s="1510"/>
      <c r="M46" s="1511"/>
      <c r="N46" s="1511"/>
      <c r="O46" s="1511"/>
      <c r="P46" s="500"/>
      <c r="Q46" s="498"/>
      <c r="R46" s="499"/>
      <c r="S46" s="1482"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646"/>
      <c r="AP46" s="646" t="str">
        <f>IF(T46="","",T46)</f>
        <v>Источник тепловой энергии  </v>
      </c>
      <c r="AQ46" s="646"/>
      <c r="AR46" s="646"/>
      <c r="AS46" s="1301">
        <v>21</v>
      </c>
    </row>
    <row customHeight="1" ht="49.5">
      <c r="A47" s="1509" t="s">
        <v>185</v>
      </c>
      <c r="B47" s="1509" t="s">
        <v>186</v>
      </c>
      <c r="C47" s="1509" t="s">
        <v>187</v>
      </c>
      <c r="D47" s="1509" t="s">
        <v>188</v>
      </c>
      <c r="E47" s="2418"/>
      <c r="F47" s="2418"/>
      <c r="G47" s="2418"/>
      <c r="H47" s="2418"/>
      <c r="I47" s="2415" t="str">
        <f>S46&amp;".1"</f>
        <v>....1</v>
      </c>
      <c r="J47" s="1509"/>
      <c r="K47" s="1509"/>
      <c r="L47" s="1510" t="s">
        <v>425</v>
      </c>
      <c r="P47" s="2416">
        <v>1</v>
      </c>
      <c r="Q47" s="1477"/>
      <c r="R47" s="502"/>
      <c r="S47" s="1482" t="str">
        <f>$I47</f>
        <v>....1</v>
      </c>
      <c r="T47" s="431" t="s">
        <v>426</v>
      </c>
      <c r="U47" s="446"/>
      <c r="V47" s="2404"/>
      <c r="W47" s="2405"/>
      <c r="X47" s="2405"/>
      <c r="Y47" s="2405"/>
      <c r="Z47" s="2405"/>
      <c r="AA47" s="2405"/>
      <c r="AB47" s="2405"/>
      <c r="AC47" s="2406"/>
      <c r="AD47" s="2404"/>
      <c r="AE47" s="2405"/>
      <c r="AF47" s="2405"/>
      <c r="AG47" s="2405"/>
      <c r="AH47" s="2405"/>
      <c r="AI47" s="2405"/>
      <c r="AJ47" s="2405"/>
      <c r="AK47" s="2405"/>
      <c r="AL47" s="2406"/>
      <c r="AM47" s="1404" t="s">
        <v>427</v>
      </c>
      <c r="AO47" s="646"/>
      <c r="AP47" s="646" t="str">
        <f>IF(T47="","",T47)</f>
        <v>Схема подключения теплопотребляющей установки к коллектору источника тепловой энергии</v>
      </c>
      <c r="AQ47" s="646"/>
      <c r="AR47" s="646"/>
      <c r="AS47" s="1301">
        <v>47</v>
      </c>
    </row>
    <row customHeight="1" ht="22.049999999999997">
      <c r="A48" s="1509" t="s">
        <v>185</v>
      </c>
      <c r="B48" s="1509" t="s">
        <v>186</v>
      </c>
      <c r="C48" s="1509" t="s">
        <v>187</v>
      </c>
      <c r="D48" s="1509" t="s">
        <v>188</v>
      </c>
      <c r="E48" s="2418"/>
      <c r="F48" s="2418"/>
      <c r="G48" s="2418"/>
      <c r="H48" s="2418"/>
      <c r="I48" s="2445"/>
      <c r="J48" s="2415" t="str">
        <f>I47&amp;".1"</f>
        <v>....1.1</v>
      </c>
      <c r="K48" s="1509"/>
      <c r="L48" s="1510" t="s">
        <v>428</v>
      </c>
      <c r="P48" s="2416"/>
      <c r="Q48" s="2416">
        <v>1</v>
      </c>
      <c r="R48" s="503"/>
      <c r="S48" s="1482" t="str">
        <f>$J48</f>
        <v>....1.1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646"/>
      <c r="AP48" s="646" t="str">
        <f>IF(T48="","",T48)</f>
        <v>Группа потребителей</v>
      </c>
      <c r="AQ48" s="646"/>
      <c r="AR48" s="646"/>
      <c r="AS48" s="1301">
        <v>21</v>
      </c>
    </row>
    <row customHeight="1" ht="22.049999999999997">
      <c r="A49" s="1509" t="s">
        <v>185</v>
      </c>
      <c r="B49" s="1509" t="s">
        <v>186</v>
      </c>
      <c r="C49" s="1509" t="s">
        <v>187</v>
      </c>
      <c r="D49" s="1509" t="s">
        <v>188</v>
      </c>
      <c r="E49" s="2418"/>
      <c r="F49" s="2418"/>
      <c r="G49" s="2418"/>
      <c r="H49" s="2418"/>
      <c r="I49" s="2445"/>
      <c r="J49" s="2445"/>
      <c r="K49" s="2415" t="str">
        <f>J48&amp;".1"</f>
        <v>....1.1.1</v>
      </c>
      <c r="L49" s="1510" t="s">
        <v>431</v>
      </c>
      <c r="P49" s="2416"/>
      <c r="Q49" s="2416"/>
      <c r="R49" s="503">
        <v>1</v>
      </c>
      <c r="S49" s="1482" t="str">
        <f>$K49</f>
        <v>....1.1.1</v>
      </c>
      <c r="T49" s="1493"/>
      <c r="U49" s="446"/>
      <c r="V49" s="897"/>
      <c r="W49" s="471"/>
      <c r="X49" s="897"/>
      <c r="Y49" s="1403"/>
      <c r="Z49" s="2424"/>
      <c r="AA49" s="2266" t="s">
        <v>63</v>
      </c>
      <c r="AB49" s="2424"/>
      <c r="AC49" s="2266" t="s">
        <v>63</v>
      </c>
      <c r="AD49" s="897"/>
      <c r="AE49" s="471"/>
      <c r="AF49" s="897"/>
      <c r="AG49" s="1403"/>
      <c r="AH49" s="2424"/>
      <c r="AI49" s="2266" t="s">
        <v>63</v>
      </c>
      <c r="AJ49" s="2446"/>
      <c r="AK49" s="2266" t="s">
        <v>63</v>
      </c>
      <c r="AL49" s="1494"/>
      <c r="AM49" s="2412" t="s">
        <v>432</v>
      </c>
      <c r="AN49" s="657">
        <f>STRCHECKDATE(V50:AL50)</f>
      </c>
      <c r="AO49" s="646"/>
      <c r="AP49" s="646" t="str">
        <f>IF(T49="","",T49)</f>
        <v/>
      </c>
      <c r="AQ49" s="646"/>
      <c r="AR49" s="646"/>
      <c r="AS49" s="1301">
        <v>21</v>
      </c>
    </row>
    <row customHeight="1" ht="1.05">
      <c r="A50" s="1509" t="s">
        <v>185</v>
      </c>
      <c r="B50" s="1509" t="s">
        <v>186</v>
      </c>
      <c r="C50" s="1509" t="s">
        <v>187</v>
      </c>
      <c r="D50" s="1509" t="s">
        <v>188</v>
      </c>
      <c r="E50" s="2418"/>
      <c r="F50" s="2418"/>
      <c r="G50" s="2418"/>
      <c r="H50" s="2418"/>
      <c r="I50" s="2445"/>
      <c r="J50" s="2445"/>
      <c r="K50" s="2415"/>
      <c r="L50" s="1510"/>
      <c r="P50" s="2416"/>
      <c r="Q50" s="2416"/>
      <c r="R50" s="503"/>
      <c r="S50" s="1488"/>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646"/>
      <c r="AP50" s="646" t="str">
        <f>IF(T50="","",T50)</f>
        <v/>
      </c>
      <c r="AQ50" s="646"/>
      <c r="AR50" s="646"/>
      <c r="AS50" s="1301">
        <v>1</v>
      </c>
    </row>
    <row customHeight="1" ht="11.549999999999999">
      <c r="A51" s="1509" t="s">
        <v>185</v>
      </c>
      <c r="B51" s="1509" t="s">
        <v>186</v>
      </c>
      <c r="C51" s="1509" t="s">
        <v>187</v>
      </c>
      <c r="D51" s="1509" t="s">
        <v>188</v>
      </c>
      <c r="E51" s="2418"/>
      <c r="F51" s="2418"/>
      <c r="G51" s="2418"/>
      <c r="H51" s="2418"/>
      <c r="I51" s="2445"/>
      <c r="J51" s="2415"/>
      <c r="K51" s="1509"/>
      <c r="L51" s="1510"/>
      <c r="P51" s="2416"/>
      <c r="Q51" s="2416"/>
      <c r="R51" s="502"/>
      <c r="S51" s="1424"/>
      <c r="T51" s="434" t="s">
        <v>433</v>
      </c>
      <c r="U51" s="513"/>
      <c r="V51" s="513"/>
      <c r="W51" s="513"/>
      <c r="X51" s="513"/>
      <c r="Y51" s="513"/>
      <c r="Z51" s="513"/>
      <c r="AA51" s="513"/>
      <c r="AB51" s="513"/>
      <c r="AC51" s="513"/>
      <c r="AD51" s="513"/>
      <c r="AE51" s="513"/>
      <c r="AF51" s="513"/>
      <c r="AG51" s="513"/>
      <c r="AH51" s="513"/>
      <c r="AI51" s="513"/>
      <c r="AJ51" s="513"/>
      <c r="AK51" s="513"/>
      <c r="AL51" s="470"/>
      <c r="AM51" s="2414"/>
      <c r="AO51" s="646"/>
      <c r="AP51" s="646" t="str">
        <f>IF(T51="","",T51)</f>
        <v>Добавить вид теплоносителя (параметры теплоносителя)</v>
      </c>
      <c r="AQ51" s="646"/>
      <c r="AR51" s="646"/>
      <c r="AS51" s="1301">
        <v>11</v>
      </c>
    </row>
    <row customHeight="1" ht="11.549999999999999">
      <c r="A52" s="1509" t="s">
        <v>185</v>
      </c>
      <c r="B52" s="1509" t="s">
        <v>186</v>
      </c>
      <c r="C52" s="1509" t="s">
        <v>187</v>
      </c>
      <c r="D52" s="1509" t="s">
        <v>188</v>
      </c>
      <c r="E52" s="2418"/>
      <c r="F52" s="2418"/>
      <c r="G52" s="2418"/>
      <c r="H52" s="2418"/>
      <c r="I52" s="2415"/>
      <c r="J52" s="1509"/>
      <c r="K52" s="1509"/>
      <c r="L52" s="1510"/>
      <c r="P52" s="2416"/>
      <c r="Q52" s="1477"/>
      <c r="R52" s="502"/>
      <c r="S52" s="1424"/>
      <c r="T52" s="433" t="s">
        <v>434</v>
      </c>
      <c r="U52" s="513"/>
      <c r="V52" s="513"/>
      <c r="W52" s="513"/>
      <c r="X52" s="513"/>
      <c r="Y52" s="513"/>
      <c r="Z52" s="513"/>
      <c r="AA52" s="513"/>
      <c r="AB52" s="513"/>
      <c r="AC52" s="512"/>
      <c r="AD52" s="513"/>
      <c r="AE52" s="513"/>
      <c r="AF52" s="513"/>
      <c r="AG52" s="513"/>
      <c r="AH52" s="513"/>
      <c r="AI52" s="513"/>
      <c r="AJ52" s="513"/>
      <c r="AK52" s="512"/>
      <c r="AL52" s="513"/>
      <c r="AM52" s="449"/>
      <c r="AO52" s="646"/>
      <c r="AP52" s="646" t="str">
        <f>IF(T52="","",T52)</f>
        <v>Добавить группу потребителей</v>
      </c>
      <c r="AQ52" s="646"/>
      <c r="AR52" s="646"/>
      <c r="AS52" s="1301">
        <v>11</v>
      </c>
    </row>
    <row customHeight="1" ht="14.699999999999998">
      <c r="A53" s="1509" t="s">
        <v>185</v>
      </c>
      <c r="B53" s="1509" t="s">
        <v>186</v>
      </c>
      <c r="C53" s="1509" t="s">
        <v>187</v>
      </c>
      <c r="D53" s="1509" t="s">
        <v>188</v>
      </c>
      <c r="E53" s="2418"/>
      <c r="F53" s="2418"/>
      <c r="G53" s="2418"/>
      <c r="H53" s="2417"/>
      <c r="I53" s="1509"/>
      <c r="J53" s="1509"/>
      <c r="K53" s="1509"/>
      <c r="L53" s="1510"/>
      <c r="M53" s="1511"/>
      <c r="N53" s="1511"/>
      <c r="O53" s="683"/>
      <c r="P53" s="506"/>
      <c r="Q53" s="521"/>
      <c r="R53" s="501"/>
      <c r="S53" s="1424"/>
      <c r="T53" s="511" t="s">
        <v>435</v>
      </c>
      <c r="U53" s="513"/>
      <c r="V53" s="513"/>
      <c r="W53" s="513"/>
      <c r="X53" s="513"/>
      <c r="Y53" s="513"/>
      <c r="Z53" s="513"/>
      <c r="AA53" s="513"/>
      <c r="AB53" s="513"/>
      <c r="AC53" s="512"/>
      <c r="AD53" s="513"/>
      <c r="AE53" s="513"/>
      <c r="AF53" s="513"/>
      <c r="AG53" s="513"/>
      <c r="AH53" s="513"/>
      <c r="AI53" s="513"/>
      <c r="AJ53" s="513"/>
      <c r="AK53" s="512"/>
      <c r="AL53" s="513"/>
      <c r="AM53" s="449"/>
      <c r="AO53" s="646"/>
      <c r="AP53" s="646" t="str">
        <f>IF(T53="","",T53)</f>
        <v>Добавить схему подключения</v>
      </c>
      <c r="AQ53" s="646"/>
      <c r="AR53" s="646"/>
      <c r="AS53" s="1301">
        <v>14</v>
      </c>
    </row>
    <row s="6720" customFormat="1" customHeight="1" ht="1.05">
      <c r="A54" s="1489" t="s">
        <v>185</v>
      </c>
      <c r="B54" s="1489" t="s">
        <v>186</v>
      </c>
      <c r="C54" s="1489" t="s">
        <v>187</v>
      </c>
      <c r="D54" s="1460"/>
      <c r="E54" s="2418"/>
      <c r="F54" s="2418"/>
      <c r="G54" s="2417"/>
      <c r="H54" s="1460"/>
      <c r="I54" s="1460"/>
      <c r="J54" s="1460"/>
      <c r="K54" s="1460"/>
      <c r="L54" s="1485"/>
      <c r="M54" s="1461"/>
      <c r="N54" s="1461"/>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935"/>
      <c r="AP54" s="935" t="str">
        <f>IF(T54="","",T54)</f>
        <v>Добавить источник для дифференциации</v>
      </c>
      <c r="AQ54" s="935"/>
      <c r="AR54" s="935"/>
      <c r="AS54" s="664">
        <v>1</v>
      </c>
    </row>
    <row s="6720" customFormat="1" customHeight="1" ht="1.05">
      <c r="A55" s="1489" t="s">
        <v>185</v>
      </c>
      <c r="B55" s="1489" t="s">
        <v>186</v>
      </c>
      <c r="C55" s="1460"/>
      <c r="D55" s="1460"/>
      <c r="E55" s="2418"/>
      <c r="F55" s="2417"/>
      <c r="G55" s="1460"/>
      <c r="H55" s="1460"/>
      <c r="I55" s="1460"/>
      <c r="J55" s="1460"/>
      <c r="K55" s="1460"/>
      <c r="L55" s="1485"/>
      <c r="M55" s="1467"/>
      <c r="N55" s="1467"/>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935"/>
      <c r="AP55" s="935" t="str">
        <f>IF(T55="","",T55)</f>
        <v>Добавить централизованную систему для дифференциации</v>
      </c>
      <c r="AQ55" s="935"/>
      <c r="AR55" s="935"/>
      <c r="AS55" s="664">
        <v>1</v>
      </c>
    </row>
    <row s="6720" customFormat="1" customHeight="1" ht="1.05">
      <c r="A56" s="1489" t="s">
        <v>185</v>
      </c>
      <c r="B56" s="1489"/>
      <c r="C56" s="1489"/>
      <c r="D56" s="1489"/>
      <c r="E56" s="2417"/>
      <c r="F56" s="1489"/>
      <c r="G56" s="1489"/>
      <c r="H56" s="1489"/>
      <c r="I56" s="1489"/>
      <c r="J56" s="1489"/>
      <c r="K56" s="1489"/>
      <c r="L56" s="1492"/>
      <c r="M56" s="1467"/>
      <c r="N56" s="1467"/>
      <c r="O56" s="664"/>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646"/>
      <c r="AP56" s="646" t="str">
        <f>IF(T56="","",T56)</f>
        <v>Добавить территорию для дифференциации</v>
      </c>
      <c r="AQ56" s="646"/>
      <c r="AR56" s="646"/>
      <c r="AS56" s="657">
        <v>1</v>
      </c>
    </row>
    <row s="6720" customFormat="1" customHeight="1" ht="1.05">
      <c r="A57" s="1460"/>
      <c r="B57" s="1460"/>
      <c r="C57" s="1460"/>
      <c r="D57" s="1460"/>
      <c r="E57" s="1489"/>
      <c r="F57" s="1460"/>
      <c r="G57" s="1460"/>
      <c r="H57" s="1460"/>
      <c r="I57" s="1460"/>
      <c r="J57" s="1460"/>
      <c r="K57" s="1460"/>
      <c r="L57" s="1485"/>
      <c r="M57" s="1467"/>
      <c r="N57" s="1467"/>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935"/>
      <c r="AP57" s="935" t="str">
        <f>IF(T57="","",T57)</f>
        <v>Добавить наименование тарифа</v>
      </c>
      <c r="AQ57" s="935"/>
      <c r="AR57" s="935"/>
      <c r="AS57" s="664">
        <v>1</v>
      </c>
    </row>
    <row customHeight="1" ht="11.549999999999999">
      <c r="M58" s="1306"/>
      <c r="N58" s="1306"/>
      <c r="O58" s="683"/>
      <c r="P58" s="1301"/>
      <c r="Q58" s="1301"/>
      <c r="R58" s="1301"/>
      <c r="S58" s="1301"/>
      <c r="AN58" s="1301"/>
      <c r="AO58" s="1301"/>
      <c r="AP58" s="1301"/>
      <c r="AQ58" s="1301"/>
      <c r="AR58" s="1301"/>
      <c r="AS58" s="1301">
        <v>11</v>
      </c>
    </row>
    <row customHeight="1" ht="28.5">
      <c r="O59" s="683"/>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301">
        <v>27</v>
      </c>
    </row>
    <row customHeight="1" ht="65.25">
      <c r="O60" s="683"/>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301">
        <v>62</v>
      </c>
    </row>
    <row customHeight="1" ht="14.699999999999998">
      <c r="O61" s="683"/>
      <c r="AS61" s="1301">
        <v>14</v>
      </c>
    </row>
    <row customHeight="1" ht="18.75">
      <c r="O62" s="683"/>
      <c r="S62" s="1399"/>
      <c r="T62" s="2444"/>
      <c r="U62" s="2444"/>
      <c r="V62" s="2444"/>
      <c r="W62" s="2444"/>
      <c r="X62" s="2444"/>
      <c r="Y62" s="2444"/>
      <c r="Z62" s="2444"/>
      <c r="AA62" s="2444"/>
      <c r="AB62" s="2444"/>
      <c r="AC62" s="2444"/>
      <c r="AD62" s="2444"/>
      <c r="AE62" s="2444"/>
      <c r="AF62" s="2444"/>
      <c r="AG62" s="2444"/>
      <c r="AH62" s="2444"/>
      <c r="AI62" s="2444"/>
      <c r="AJ62" s="2444"/>
      <c r="AK62" s="2444"/>
      <c r="AL62" s="2444"/>
      <c r="AM62" s="2444"/>
      <c r="AS62" s="1301">
        <v>18</v>
      </c>
    </row>
    <row customHeight="1" ht="18.75">
      <c r="O63" s="683"/>
      <c r="T63" s="2444"/>
      <c r="U63" s="2444"/>
      <c r="V63" s="2444"/>
      <c r="W63" s="2444"/>
      <c r="X63" s="2444"/>
      <c r="Y63" s="2444"/>
      <c r="Z63" s="2444"/>
      <c r="AA63" s="2444"/>
      <c r="AB63" s="2444"/>
      <c r="AC63" s="2444"/>
      <c r="AD63" s="2444"/>
      <c r="AE63" s="2444"/>
      <c r="AF63" s="2444"/>
      <c r="AG63" s="2444"/>
      <c r="AH63" s="2444"/>
      <c r="AI63" s="2444"/>
      <c r="AJ63" s="2444"/>
      <c r="AK63" s="2444"/>
      <c r="AL63" s="2444"/>
      <c r="AM63" s="2444"/>
      <c r="AS63" s="1301">
        <v>18</v>
      </c>
    </row>
    <row customHeight="1" ht="29.25">
      <c r="O64" s="683"/>
      <c r="S64" s="1399"/>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301">
        <v>28</v>
      </c>
    </row>
    <row customHeight="1" ht="22.5" hidden="1">
      <c r="A65" s="1306" t="s">
        <v>83</v>
      </c>
      <c r="B65" s="1306">
        <v>0</v>
      </c>
      <c r="C65" s="1306">
        <v>0</v>
      </c>
      <c r="D65" s="1306">
        <v>0</v>
      </c>
      <c r="E65" s="1306">
        <v>0</v>
      </c>
      <c r="F65" s="1306">
        <v>0</v>
      </c>
      <c r="G65" s="1306">
        <v>0</v>
      </c>
      <c r="H65" s="1306">
        <v>0</v>
      </c>
      <c r="I65" s="1306">
        <v>0</v>
      </c>
      <c r="J65" s="1306">
        <v>0</v>
      </c>
      <c r="K65" s="1306">
        <v>0</v>
      </c>
      <c r="L65" s="1475">
        <v>0</v>
      </c>
      <c r="M65" s="1508">
        <v>0</v>
      </c>
      <c r="N65" s="1508">
        <v>0</v>
      </c>
      <c r="O65" s="1508">
        <v>0</v>
      </c>
      <c r="P65" s="1474">
        <v>3</v>
      </c>
      <c r="Q65" s="490">
        <v>3</v>
      </c>
      <c r="R65" s="490">
        <v>3</v>
      </c>
      <c r="S65" s="727">
        <v>12</v>
      </c>
      <c r="T65" s="1301">
        <v>31</v>
      </c>
      <c r="U65" s="1301">
        <v>0</v>
      </c>
      <c r="V65" s="1301">
        <v>0</v>
      </c>
      <c r="W65" s="1301">
        <v>0</v>
      </c>
      <c r="X65" s="1301">
        <v>0</v>
      </c>
      <c r="Y65" s="1301">
        <v>0</v>
      </c>
      <c r="Z65" s="1301">
        <v>0</v>
      </c>
      <c r="AA65" s="1301">
        <v>0</v>
      </c>
      <c r="AB65" s="1301">
        <v>0</v>
      </c>
      <c r="AC65" s="1301">
        <v>0</v>
      </c>
      <c r="AD65" s="1301">
        <v>24</v>
      </c>
      <c r="AE65" s="1301">
        <v>0</v>
      </c>
      <c r="AF65" s="1301">
        <v>24</v>
      </c>
      <c r="AG65" s="1301">
        <v>24</v>
      </c>
      <c r="AH65" s="1301">
        <v>11</v>
      </c>
      <c r="AI65" s="1301">
        <v>3</v>
      </c>
      <c r="AJ65" s="1301">
        <v>11</v>
      </c>
      <c r="AK65" s="1301">
        <v>0</v>
      </c>
      <c r="AL65" s="1301">
        <v>4</v>
      </c>
      <c r="AM65" s="1301">
        <v>115</v>
      </c>
      <c r="AN65" s="657">
        <v>10</v>
      </c>
      <c r="AO65" s="657">
        <v>10</v>
      </c>
      <c r="AP65" s="657">
        <v>10</v>
      </c>
      <c r="AQ65" s="657">
        <v>10</v>
      </c>
      <c r="AR65" s="657">
        <v>10</v>
      </c>
      <c r="AS65" s="1301">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DBF114-D413-6F67-7B57-0.1240100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235" width="10.57421875" hidden="1"/>
    <col min="2" max="2" style="7235" width="11.00390625" hidden="1" customWidth="1"/>
    <col min="3" max="3" style="7235" width="10.57421875" hidden="1"/>
    <col min="4" max="4" style="7235" width="11.8515625" hidden="1" customWidth="1"/>
    <col min="5" max="5" style="7235" width="10.00390625" hidden="1" customWidth="1"/>
    <col min="6" max="6" style="7235" width="8.7109375" hidden="1" customWidth="1"/>
    <col min="7" max="7" style="7235" width="7.57421875" hidden="1" customWidth="1"/>
    <col min="8" max="8" style="7235" width="11.421875" hidden="1" customWidth="1"/>
    <col min="9" max="9" style="7235" width="12.00390625" hidden="1" customWidth="1"/>
    <col min="10" max="10" style="7235" width="9.8515625" hidden="1" customWidth="1"/>
    <col min="11" max="11" style="7235" width="11.421875" hidden="1" customWidth="1"/>
    <col min="12" max="12" style="7917" width="19.140625" hidden="1" customWidth="1"/>
    <col min="13" max="14" style="7938" width="12.28125" hidden="1" customWidth="1"/>
    <col min="15" max="15" style="7938" width="23.421875" hidden="1" customWidth="1"/>
    <col min="16" max="16" style="7938" width="3.00390625" customWidth="1"/>
    <col min="17" max="18" style="7205" width="3.00390625" customWidth="1"/>
    <col min="19" max="19" style="7910" width="12.00390625" customWidth="1"/>
    <col min="20" max="20" style="7235" width="31.00390625" customWidth="1"/>
    <col min="21" max="21" style="7235" width="0.140625" customWidth="1"/>
    <col min="22" max="22" style="7235" width="24.7109375" hidden="1" customWidth="1"/>
    <col min="23" max="23" style="7235" width="0.140625" hidden="1" customWidth="1"/>
    <col min="24" max="25" style="7235" width="24.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24.7109375" customWidth="1"/>
    <col min="31" max="31" style="7235" width="0.140625" customWidth="1"/>
    <col min="32" max="33" style="7235" width="24.0039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10.57421875" hidden="1"/>
  </cols>
  <sheetData>
    <row customHeight="1" ht="22.5" hidden="1">
      <c r="AS1" s="1777" t="s">
        <v>14</v>
      </c>
    </row>
    <row customHeight="1" ht="21" hidden="1">
      <c r="A2" s="1413"/>
      <c r="B2" s="1413"/>
      <c r="C2" s="1413"/>
      <c r="D2" s="1413"/>
      <c r="E2" s="2448">
        <v>1</v>
      </c>
      <c r="F2" s="1413"/>
      <c r="G2" s="1413"/>
      <c r="H2" s="1413"/>
      <c r="I2" s="1413"/>
      <c r="J2" s="1413"/>
      <c r="K2" s="1413"/>
      <c r="L2" s="1456"/>
      <c r="M2" s="1756"/>
      <c r="N2" s="1756"/>
      <c r="O2" s="1756"/>
      <c r="P2" s="1736"/>
      <c r="Q2" s="506"/>
      <c r="R2" s="501"/>
      <c r="S2" s="2101">
        <f>INDEX(PT_DIFFERENTIATION_NUM_NTAR,MATCH(A2,PT_DIFFERENTIATION_NTAR_ID,0))</f>
      </c>
      <c r="T2" s="1671"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1770"/>
      <c r="AP2" s="1770" t="str">
        <f>IF(T2="","",T2)</f>
        <v>Наименование тарифа</v>
      </c>
      <c r="AQ2" s="1770"/>
      <c r="AR2" s="1770"/>
      <c r="AS2" s="1777">
        <v>0</v>
      </c>
    </row>
    <row customHeight="1" ht="21" hidden="1">
      <c r="A3" s="1413"/>
      <c r="B3" s="1413"/>
      <c r="C3" s="1413"/>
      <c r="D3" s="1413"/>
      <c r="E3" s="2449"/>
      <c r="F3" s="2448">
        <v>1</v>
      </c>
      <c r="G3" s="1413"/>
      <c r="H3" s="1413"/>
      <c r="I3" s="1413"/>
      <c r="J3" s="1413"/>
      <c r="K3" s="1413"/>
      <c r="L3" s="1456"/>
      <c r="M3" s="1756"/>
      <c r="N3" s="1756"/>
      <c r="O3" s="1756"/>
      <c r="P3" s="2083"/>
      <c r="Q3" s="498"/>
      <c r="R3" s="499"/>
      <c r="S3" s="2101">
        <f>INDEX(PT_DIFFERENTIATION_NUM_TER,MATCH(B3,PT_DIFFERENTIATION_TER_ID,0))</f>
      </c>
      <c r="T3" s="1668"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1770"/>
      <c r="AP3" s="1770" t="str">
        <f>IF(T3="","",T3)</f>
        <v>Территория действия тарифа</v>
      </c>
      <c r="AQ3" s="1770"/>
      <c r="AR3" s="1770"/>
      <c r="AS3" s="1777">
        <v>0</v>
      </c>
    </row>
    <row customHeight="1" ht="23.25" hidden="1">
      <c r="A4" s="1413"/>
      <c r="B4" s="1413"/>
      <c r="C4" s="1413"/>
      <c r="D4" s="1413"/>
      <c r="E4" s="2449"/>
      <c r="F4" s="2449"/>
      <c r="G4" s="2448">
        <v>1</v>
      </c>
      <c r="H4" s="1413"/>
      <c r="I4" s="1413"/>
      <c r="J4" s="1413"/>
      <c r="K4" s="1413"/>
      <c r="L4" s="1456"/>
      <c r="M4" s="1756"/>
      <c r="N4" s="1756"/>
      <c r="O4" s="1756"/>
      <c r="P4" s="500"/>
      <c r="Q4" s="498"/>
      <c r="R4" s="499"/>
      <c r="S4" s="2101">
        <f>INDEX(PT_DIFFERENTIATION_NUM_CS,MATCH(C4,PT_DIFFERENTIATION_CS_ID,0))</f>
      </c>
      <c r="T4" s="455" t="s">
        <v>421</v>
      </c>
      <c r="U4" s="446"/>
      <c r="V4" s="2401"/>
      <c r="W4" s="2402"/>
      <c r="X4" s="2402"/>
      <c r="Y4" s="2402"/>
      <c r="Z4" s="2402"/>
      <c r="AA4" s="2402"/>
      <c r="AB4" s="2402"/>
      <c r="AC4" s="2403"/>
      <c r="AD4" s="2401">
        <f>INDEX(PT_DIFFERENTIATION_CS,MATCH(C4,PT_DIFFERENTIATION_CS_ID,0))</f>
      </c>
      <c r="AE4" s="2402"/>
      <c r="AF4" s="2402"/>
      <c r="AG4" s="2402"/>
      <c r="AH4" s="2402"/>
      <c r="AI4" s="2402"/>
      <c r="AJ4" s="2402"/>
      <c r="AK4" s="2402"/>
      <c r="AL4" s="2403"/>
      <c r="AM4" s="1404" t="s">
        <v>422</v>
      </c>
      <c r="AO4" s="1770"/>
      <c r="AP4" s="1770" t="str">
        <f>IF(T4="","",T4)</f>
        <v>Наименование системы теплоснабжения </v>
      </c>
      <c r="AQ4" s="1770"/>
      <c r="AR4" s="1770"/>
      <c r="AS4" s="1777">
        <v>0</v>
      </c>
    </row>
    <row customHeight="1" ht="21" hidden="1">
      <c r="A5" s="1413"/>
      <c r="B5" s="1413"/>
      <c r="C5" s="1413"/>
      <c r="D5" s="1413"/>
      <c r="E5" s="2449"/>
      <c r="F5" s="2449"/>
      <c r="G5" s="2449"/>
      <c r="H5" s="2448">
        <v>1</v>
      </c>
      <c r="I5" s="1413"/>
      <c r="J5" s="1413"/>
      <c r="K5" s="1413"/>
      <c r="L5" s="1456"/>
      <c r="M5" s="1756"/>
      <c r="N5" s="1756"/>
      <c r="O5" s="1756"/>
      <c r="P5" s="500"/>
      <c r="Q5" s="498"/>
      <c r="R5" s="499"/>
      <c r="S5" s="2101">
        <f>INDEX(PT_DIFFERENTIATION_NUM_IST_TE,MATCH(D5,PT_DIFFERENTIATION_IST_TE_ID,0))</f>
      </c>
      <c r="T5" s="456" t="s">
        <v>423</v>
      </c>
      <c r="U5" s="446"/>
      <c r="V5" s="2401"/>
      <c r="W5" s="2402"/>
      <c r="X5" s="2402"/>
      <c r="Y5" s="2402"/>
      <c r="Z5" s="2402"/>
      <c r="AA5" s="2402"/>
      <c r="AB5" s="2402"/>
      <c r="AC5" s="2403"/>
      <c r="AD5" s="2401">
        <f>INDEX(PT_DIFFERENTIATION_IST_TE,MATCH(D5,PT_DIFFERENTIATION_IST_TE_ID,0))</f>
      </c>
      <c r="AE5" s="2402"/>
      <c r="AF5" s="2402"/>
      <c r="AG5" s="2402"/>
      <c r="AH5" s="2402"/>
      <c r="AI5" s="2402"/>
      <c r="AJ5" s="2402"/>
      <c r="AK5" s="2402"/>
      <c r="AL5" s="2403"/>
      <c r="AM5" s="1404" t="s">
        <v>424</v>
      </c>
      <c r="AO5" s="1770"/>
      <c r="AP5" s="1770" t="str">
        <f>IF(T5="","",T5)</f>
        <v>Источник тепловой энергии  </v>
      </c>
      <c r="AQ5" s="1770"/>
      <c r="AR5" s="1770"/>
      <c r="AS5" s="1777">
        <v>0</v>
      </c>
    </row>
    <row customHeight="1" ht="47.25" hidden="1">
      <c r="A6" s="1413"/>
      <c r="B6" s="1413"/>
      <c r="C6" s="1413"/>
      <c r="D6" s="1413"/>
      <c r="E6" s="2449"/>
      <c r="F6" s="2449"/>
      <c r="G6" s="2449"/>
      <c r="H6" s="2449"/>
      <c r="I6" s="2286">
        <f>S5&amp;".1"</f>
      </c>
      <c r="J6" s="1413"/>
      <c r="K6" s="1413"/>
      <c r="L6" s="1456" t="s">
        <v>425</v>
      </c>
      <c r="M6" s="1781"/>
      <c r="P6" s="2416">
        <v>1</v>
      </c>
      <c r="Q6" s="2097"/>
      <c r="R6" s="502"/>
      <c r="S6" s="2101">
        <f>$I6</f>
      </c>
      <c r="T6" s="431" t="s">
        <v>426</v>
      </c>
      <c r="U6" s="446"/>
      <c r="V6" s="2404"/>
      <c r="W6" s="2405"/>
      <c r="X6" s="2405"/>
      <c r="Y6" s="2405"/>
      <c r="Z6" s="2405"/>
      <c r="AA6" s="2405"/>
      <c r="AB6" s="2405"/>
      <c r="AC6" s="2406"/>
      <c r="AD6" s="2404"/>
      <c r="AE6" s="2405"/>
      <c r="AF6" s="2405"/>
      <c r="AG6" s="2405"/>
      <c r="AH6" s="2405"/>
      <c r="AI6" s="2405"/>
      <c r="AJ6" s="2405"/>
      <c r="AK6" s="2405"/>
      <c r="AL6" s="2406"/>
      <c r="AM6" s="1404" t="s">
        <v>427</v>
      </c>
      <c r="AO6" s="1770"/>
      <c r="AP6" s="1770" t="str">
        <f>IF(T6="","",T6)</f>
        <v>Схема подключения теплопотребляющей установки к коллектору источника тепловой энергии</v>
      </c>
      <c r="AQ6" s="1770"/>
      <c r="AR6" s="1770"/>
      <c r="AS6" s="1777">
        <v>0</v>
      </c>
    </row>
    <row customHeight="1" ht="21" hidden="1">
      <c r="A7" s="1413"/>
      <c r="B7" s="1413"/>
      <c r="C7" s="1413"/>
      <c r="D7" s="1413"/>
      <c r="E7" s="2449"/>
      <c r="F7" s="2449"/>
      <c r="G7" s="2449"/>
      <c r="H7" s="2449"/>
      <c r="I7" s="2260"/>
      <c r="J7" s="2286">
        <f>I6&amp;".1"</f>
      </c>
      <c r="K7" s="1413"/>
      <c r="L7" s="1456" t="s">
        <v>428</v>
      </c>
      <c r="M7" s="1781"/>
      <c r="N7" s="1777"/>
      <c r="P7" s="2416"/>
      <c r="Q7" s="2416">
        <v>1</v>
      </c>
      <c r="R7" s="503"/>
      <c r="S7" s="2101">
        <f>$J7</f>
      </c>
      <c r="T7" s="432" t="s">
        <v>429</v>
      </c>
      <c r="U7" s="446"/>
      <c r="V7" s="2404"/>
      <c r="W7" s="2405"/>
      <c r="X7" s="2405"/>
      <c r="Y7" s="2405"/>
      <c r="Z7" s="2405"/>
      <c r="AA7" s="2405"/>
      <c r="AB7" s="2405"/>
      <c r="AC7" s="2406"/>
      <c r="AD7" s="2404"/>
      <c r="AE7" s="2405"/>
      <c r="AF7" s="2405"/>
      <c r="AG7" s="2405"/>
      <c r="AH7" s="2405"/>
      <c r="AI7" s="2405"/>
      <c r="AJ7" s="2405"/>
      <c r="AK7" s="2405"/>
      <c r="AL7" s="2406"/>
      <c r="AM7" s="1404" t="s">
        <v>430</v>
      </c>
      <c r="AO7" s="1770"/>
      <c r="AP7" s="1770" t="str">
        <f>IF(T7="","",T7)</f>
        <v>Группа потребителей</v>
      </c>
      <c r="AQ7" s="1770"/>
      <c r="AR7" s="1770"/>
      <c r="AS7" s="1777">
        <v>0</v>
      </c>
    </row>
    <row customHeight="1" ht="21" hidden="1">
      <c r="A8" s="1413"/>
      <c r="B8" s="1413"/>
      <c r="C8" s="1413"/>
      <c r="D8" s="1413"/>
      <c r="E8" s="2449"/>
      <c r="F8" s="2449"/>
      <c r="G8" s="2449"/>
      <c r="H8" s="2449"/>
      <c r="I8" s="2260"/>
      <c r="J8" s="2260"/>
      <c r="K8" s="2286">
        <f>J7&amp;".1"</f>
      </c>
      <c r="L8" s="1456" t="s">
        <v>431</v>
      </c>
      <c r="M8" s="1781"/>
      <c r="N8" s="1777"/>
      <c r="O8" s="1777"/>
      <c r="P8" s="2416"/>
      <c r="Q8" s="2416"/>
      <c r="R8" s="503">
        <v>1</v>
      </c>
      <c r="S8" s="2101">
        <f>$K8</f>
      </c>
      <c r="T8" s="1493"/>
      <c r="U8" s="446"/>
      <c r="V8" s="897"/>
      <c r="W8" s="471"/>
      <c r="X8" s="897"/>
      <c r="Y8" s="1403"/>
      <c r="Z8" s="2424"/>
      <c r="AA8" s="2266" t="s">
        <v>63</v>
      </c>
      <c r="AB8" s="2424"/>
      <c r="AC8" s="2266" t="s">
        <v>63</v>
      </c>
      <c r="AD8" s="897"/>
      <c r="AE8" s="471"/>
      <c r="AF8" s="897"/>
      <c r="AG8" s="1403"/>
      <c r="AH8" s="2424"/>
      <c r="AI8" s="2266" t="s">
        <v>63</v>
      </c>
      <c r="AJ8" s="2424"/>
      <c r="AK8" s="2266" t="s">
        <v>63</v>
      </c>
      <c r="AL8" s="471"/>
      <c r="AM8" s="2412" t="s">
        <v>432</v>
      </c>
      <c r="AN8" s="1782">
        <f>STRCHECKDATE(V9:AL9)</f>
      </c>
      <c r="AO8" s="1770"/>
      <c r="AP8" s="1770" t="str">
        <f>IF(T8="","",T8)</f>
        <v/>
      </c>
      <c r="AQ8" s="1770"/>
      <c r="AR8" s="1770"/>
      <c r="AS8" s="1777">
        <v>0</v>
      </c>
    </row>
    <row customHeight="1" ht="0.75" hidden="1">
      <c r="A9" s="1413"/>
      <c r="B9" s="1413"/>
      <c r="C9" s="1413"/>
      <c r="D9" s="1413"/>
      <c r="E9" s="2449"/>
      <c r="F9" s="2449"/>
      <c r="G9" s="2449"/>
      <c r="H9" s="2449"/>
      <c r="I9" s="2260"/>
      <c r="J9" s="2260"/>
      <c r="K9" s="2286"/>
      <c r="L9" s="1456"/>
      <c r="M9" s="1781"/>
      <c r="N9" s="1777"/>
      <c r="O9" s="1777"/>
      <c r="P9" s="2416"/>
      <c r="Q9" s="2416"/>
      <c r="R9" s="503"/>
      <c r="S9" s="2110"/>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1770"/>
      <c r="AP9" s="1770" t="str">
        <f>IF(T9="","",T9)</f>
        <v/>
      </c>
      <c r="AQ9" s="1770"/>
      <c r="AR9" s="1770"/>
      <c r="AS9" s="1777">
        <v>0</v>
      </c>
    </row>
    <row customHeight="1" ht="15" hidden="1">
      <c r="A10" s="1413"/>
      <c r="B10" s="1413"/>
      <c r="C10" s="1413"/>
      <c r="D10" s="1413"/>
      <c r="E10" s="2449"/>
      <c r="F10" s="2449"/>
      <c r="G10" s="2449"/>
      <c r="H10" s="2449"/>
      <c r="I10" s="2260"/>
      <c r="J10" s="2286"/>
      <c r="K10" s="1413"/>
      <c r="L10" s="1456"/>
      <c r="M10" s="1781"/>
      <c r="N10" s="1777"/>
      <c r="P10" s="2416"/>
      <c r="Q10" s="2416"/>
      <c r="R10" s="502"/>
      <c r="S10" s="1424"/>
      <c r="T10" s="434" t="s">
        <v>433</v>
      </c>
      <c r="U10" s="746"/>
      <c r="V10" s="746"/>
      <c r="W10" s="746"/>
      <c r="X10" s="746"/>
      <c r="Y10" s="746"/>
      <c r="Z10" s="746"/>
      <c r="AA10" s="746"/>
      <c r="AB10" s="746"/>
      <c r="AC10" s="746"/>
      <c r="AD10" s="746"/>
      <c r="AE10" s="746"/>
      <c r="AF10" s="746"/>
      <c r="AG10" s="746"/>
      <c r="AH10" s="746"/>
      <c r="AI10" s="746"/>
      <c r="AJ10" s="746"/>
      <c r="AK10" s="746"/>
      <c r="AL10" s="470"/>
      <c r="AM10" s="2414"/>
      <c r="AO10" s="1770"/>
      <c r="AP10" s="1770" t="str">
        <f>IF(T10="","",T10)</f>
        <v>Добавить вид теплоносителя (параметры теплоносителя)</v>
      </c>
      <c r="AQ10" s="1770"/>
      <c r="AR10" s="1770"/>
      <c r="AS10" s="1777">
        <v>0</v>
      </c>
    </row>
    <row customHeight="1" ht="15" hidden="1">
      <c r="A11" s="1413"/>
      <c r="B11" s="1413"/>
      <c r="C11" s="1413"/>
      <c r="D11" s="1413"/>
      <c r="E11" s="2449"/>
      <c r="F11" s="2449"/>
      <c r="G11" s="2449"/>
      <c r="H11" s="2449"/>
      <c r="I11" s="2286"/>
      <c r="J11" s="1413"/>
      <c r="K11" s="1413"/>
      <c r="L11" s="1456"/>
      <c r="M11" s="1781"/>
      <c r="P11" s="2416"/>
      <c r="Q11" s="2097"/>
      <c r="R11" s="502"/>
      <c r="S11" s="1424"/>
      <c r="T11" s="433" t="s">
        <v>434</v>
      </c>
      <c r="U11" s="746"/>
      <c r="V11" s="746"/>
      <c r="W11" s="746"/>
      <c r="X11" s="746"/>
      <c r="Y11" s="746"/>
      <c r="Z11" s="746"/>
      <c r="AA11" s="746"/>
      <c r="AB11" s="746"/>
      <c r="AC11" s="512"/>
      <c r="AD11" s="746"/>
      <c r="AE11" s="746"/>
      <c r="AF11" s="746"/>
      <c r="AG11" s="746"/>
      <c r="AH11" s="746"/>
      <c r="AI11" s="746"/>
      <c r="AJ11" s="746"/>
      <c r="AK11" s="512"/>
      <c r="AL11" s="746"/>
      <c r="AM11" s="449"/>
      <c r="AO11" s="1770"/>
      <c r="AP11" s="1770" t="str">
        <f>IF(T11="","",T11)</f>
        <v>Добавить группу потребителей</v>
      </c>
      <c r="AQ11" s="1770"/>
      <c r="AR11" s="1770"/>
      <c r="AS11" s="1777">
        <v>0</v>
      </c>
    </row>
    <row customHeight="1" ht="14.25" hidden="1">
      <c r="A12" s="1413"/>
      <c r="B12" s="1413"/>
      <c r="C12" s="1413"/>
      <c r="D12" s="1413"/>
      <c r="E12" s="2449"/>
      <c r="F12" s="2449"/>
      <c r="G12" s="2449"/>
      <c r="H12" s="2448"/>
      <c r="I12" s="1413"/>
      <c r="J12" s="1413"/>
      <c r="K12" s="1413"/>
      <c r="L12" s="1456"/>
      <c r="M12" s="1756"/>
      <c r="N12" s="1756"/>
      <c r="O12" s="1781"/>
      <c r="P12" s="506"/>
      <c r="Q12" s="521"/>
      <c r="R12" s="501"/>
      <c r="S12" s="1424"/>
      <c r="T12" s="511" t="s">
        <v>435</v>
      </c>
      <c r="U12" s="746"/>
      <c r="V12" s="746"/>
      <c r="W12" s="746"/>
      <c r="X12" s="746"/>
      <c r="Y12" s="746"/>
      <c r="Z12" s="746"/>
      <c r="AA12" s="746"/>
      <c r="AB12" s="746"/>
      <c r="AC12" s="512"/>
      <c r="AD12" s="746"/>
      <c r="AE12" s="746"/>
      <c r="AF12" s="746"/>
      <c r="AG12" s="746"/>
      <c r="AH12" s="746"/>
      <c r="AI12" s="746"/>
      <c r="AJ12" s="746"/>
      <c r="AK12" s="512"/>
      <c r="AL12" s="746"/>
      <c r="AM12" s="449"/>
      <c r="AO12" s="1770"/>
      <c r="AP12" s="1770" t="str">
        <f>IF(T12="","",T12)</f>
        <v>Добавить схему подключения</v>
      </c>
      <c r="AQ12" s="1770"/>
      <c r="AR12" s="1770"/>
      <c r="AS12" s="1777">
        <v>0</v>
      </c>
    </row>
    <row s="6720" customFormat="1" customHeight="1" ht="0.75" hidden="1">
      <c r="A13" s="1520"/>
      <c r="B13" s="1520"/>
      <c r="C13" s="1520"/>
      <c r="D13" s="1520"/>
      <c r="E13" s="2449"/>
      <c r="F13" s="2449"/>
      <c r="G13" s="2448"/>
      <c r="H13" s="1520"/>
      <c r="I13" s="1520"/>
      <c r="J13" s="1520"/>
      <c r="K13" s="1520"/>
      <c r="L13" s="1523"/>
      <c r="M13" s="1524"/>
      <c r="N13" s="1524"/>
      <c r="O13" s="497"/>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1397"/>
      <c r="AP13" s="1397" t="str">
        <f>IF(T13="","",T13)</f>
        <v>Добавить источник для дифференциации</v>
      </c>
      <c r="AQ13" s="1397"/>
      <c r="AR13" s="1397"/>
      <c r="AS13" s="1788">
        <v>0</v>
      </c>
    </row>
    <row s="6720" customFormat="1" customHeight="1" ht="0.75" hidden="1">
      <c r="A14" s="1520"/>
      <c r="B14" s="1520"/>
      <c r="C14" s="1520"/>
      <c r="D14" s="1520"/>
      <c r="E14" s="2449"/>
      <c r="F14" s="2448"/>
      <c r="G14" s="1520"/>
      <c r="H14" s="1520"/>
      <c r="I14" s="1520"/>
      <c r="J14" s="1520"/>
      <c r="K14" s="1520"/>
      <c r="L14" s="1523"/>
      <c r="M14" s="1525"/>
      <c r="N14" s="1525"/>
      <c r="O14" s="497"/>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1397"/>
      <c r="AP14" s="1397" t="str">
        <f>IF(T14="","",T14)</f>
        <v>Добавить централизованную систему для дифференциации</v>
      </c>
      <c r="AQ14" s="1397"/>
      <c r="AR14" s="1397"/>
      <c r="AS14" s="1788">
        <v>0</v>
      </c>
    </row>
    <row s="6720" customFormat="1" customHeight="1" ht="0.75" hidden="1">
      <c r="A15" s="1520"/>
      <c r="B15" s="1520"/>
      <c r="C15" s="1520"/>
      <c r="D15" s="1520"/>
      <c r="E15" s="2448"/>
      <c r="F15" s="1520"/>
      <c r="G15" s="1520"/>
      <c r="H15" s="1520"/>
      <c r="I15" s="1520"/>
      <c r="J15" s="1520"/>
      <c r="K15" s="1520"/>
      <c r="L15" s="1523"/>
      <c r="M15" s="1525"/>
      <c r="N15" s="1525"/>
      <c r="O15" s="497"/>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1397"/>
      <c r="AP15" s="1397" t="str">
        <f>IF(T15="","",T15)</f>
        <v>Добавить территорию для дифференциации</v>
      </c>
      <c r="AQ15" s="1397"/>
      <c r="AR15" s="1397"/>
      <c r="AS15" s="1788">
        <v>0</v>
      </c>
    </row>
    <row customHeight="1" ht="14.25" hidden="1">
      <c r="AS16" s="1777">
        <v>0</v>
      </c>
    </row>
    <row customHeight="1" ht="14.25" hidden="1">
      <c r="AD17" s="1506"/>
      <c r="AE17" s="1506"/>
      <c r="AF17" s="1506"/>
      <c r="AG17" s="1507"/>
      <c r="AH17" s="2426"/>
      <c r="AI17" s="2427" t="s">
        <v>63</v>
      </c>
      <c r="AJ17" s="2426"/>
      <c r="AK17" s="2427" t="s">
        <v>63</v>
      </c>
      <c r="AS17" s="1777">
        <v>0</v>
      </c>
    </row>
    <row customHeight="1" ht="14.25" hidden="1">
      <c r="AD18" s="1506"/>
      <c r="AE18" s="1506"/>
      <c r="AF18" s="1506"/>
      <c r="AG18" s="474" t="str">
        <f>AH17&amp;"-"&amp;AJ17</f>
        <v>-</v>
      </c>
      <c r="AH18" s="2427"/>
      <c r="AI18" s="2427"/>
      <c r="AJ18" s="2427"/>
      <c r="AK18" s="2427"/>
      <c r="AS18" s="1777">
        <v>0</v>
      </c>
    </row>
    <row customHeight="1" ht="14.25" hidden="1">
      <c r="AS19" s="1777">
        <v>0</v>
      </c>
    </row>
    <row s="7180" customFormat="1" customHeight="1" ht="22.5" hidden="1">
      <c r="A20" s="1777"/>
      <c r="B20" s="1777"/>
      <c r="C20" s="1777"/>
      <c r="D20" s="1777"/>
      <c r="E20" s="1777"/>
      <c r="F20" s="1777"/>
      <c r="G20" s="1777"/>
      <c r="H20" s="1777"/>
      <c r="I20" s="1777"/>
      <c r="J20" s="1777"/>
      <c r="K20" s="1777"/>
      <c r="L20" s="2082"/>
      <c r="M20" s="2108"/>
      <c r="N20" s="2108"/>
      <c r="O20" s="1491" t="s">
        <v>439</v>
      </c>
      <c r="P20" s="1508"/>
      <c r="Q20" s="1517"/>
      <c r="R20" s="1517"/>
      <c r="S20" s="875"/>
      <c r="Z20" s="1513"/>
      <c r="AB20" s="1513"/>
      <c r="AH20" s="1513"/>
      <c r="AJ20" s="1513"/>
      <c r="AN20" s="1782"/>
      <c r="AO20" s="1782"/>
      <c r="AP20" s="1782"/>
      <c r="AQ20" s="1782"/>
      <c r="AR20" s="1782"/>
      <c r="AS20" s="1512">
        <v>0</v>
      </c>
    </row>
    <row s="7180" customFormat="1" customHeight="1" ht="14.25" hidden="1">
      <c r="A21" s="1777"/>
      <c r="B21" s="1777"/>
      <c r="C21" s="1777"/>
      <c r="D21" s="1777"/>
      <c r="E21" s="1777"/>
      <c r="F21" s="1777"/>
      <c r="G21" s="1777"/>
      <c r="H21" s="1777"/>
      <c r="I21" s="1777"/>
      <c r="J21" s="1777"/>
      <c r="K21" s="1777"/>
      <c r="L21" s="2082"/>
      <c r="M21" s="2108"/>
      <c r="N21" s="2108"/>
      <c r="O21" s="2108"/>
      <c r="P21" s="1508"/>
      <c r="Q21" s="1517"/>
      <c r="R21" s="1517"/>
      <c r="S21" s="875"/>
      <c r="AN21" s="1782"/>
      <c r="AO21" s="1782"/>
      <c r="AP21" s="1782"/>
      <c r="AQ21" s="1782"/>
      <c r="AR21" s="1782"/>
      <c r="AS21" s="1512">
        <v>0</v>
      </c>
    </row>
    <row s="7180" customFormat="1" customHeight="1" ht="14.25" hidden="1">
      <c r="A22" s="1777"/>
      <c r="B22" s="1777"/>
      <c r="C22" s="1777"/>
      <c r="D22" s="1777"/>
      <c r="E22" s="1777"/>
      <c r="F22" s="1777"/>
      <c r="G22" s="1777"/>
      <c r="H22" s="1777"/>
      <c r="I22" s="1777"/>
      <c r="J22" s="1777"/>
      <c r="K22" s="1777"/>
      <c r="L22" s="2082"/>
      <c r="M22" s="2108"/>
      <c r="N22" s="2108"/>
      <c r="O22" s="1456" t="s">
        <v>440</v>
      </c>
      <c r="P22" s="1508"/>
      <c r="Q22" s="1517"/>
      <c r="R22" s="1517"/>
      <c r="S22" s="875"/>
      <c r="T22" s="1512" t="s">
        <v>441</v>
      </c>
      <c r="AA22" s="741" t="s">
        <v>442</v>
      </c>
      <c r="AC22" s="741" t="s">
        <v>443</v>
      </c>
      <c r="AD22" s="1512" t="s">
        <v>441</v>
      </c>
      <c r="AI22" s="741" t="s">
        <v>444</v>
      </c>
      <c r="AK22" s="741" t="s">
        <v>443</v>
      </c>
      <c r="AN22" s="1782"/>
      <c r="AO22" s="1782"/>
      <c r="AP22" s="1782"/>
      <c r="AQ22" s="1782"/>
      <c r="AR22" s="1782"/>
      <c r="AS22" s="1512">
        <v>0</v>
      </c>
    </row>
    <row customHeight="1" ht="14.25" hidden="1">
      <c r="O23" s="1456"/>
      <c r="AS23" s="1777">
        <v>0</v>
      </c>
    </row>
    <row customHeight="1" ht="14.25" hidden="1">
      <c r="O24" s="1456"/>
      <c r="AS24" s="1777">
        <v>0</v>
      </c>
    </row>
    <row customHeight="1" ht="14.699999999999998">
      <c r="Q25" s="522"/>
      <c r="R25" s="522"/>
      <c r="S25" s="1421"/>
      <c r="T25" s="603"/>
      <c r="U25" s="603"/>
      <c r="V25" s="1781"/>
      <c r="W25" s="1781"/>
      <c r="X25" s="1781"/>
      <c r="Y25" s="1781"/>
      <c r="Z25" s="1781"/>
      <c r="AA25" s="1781"/>
      <c r="AB25" s="1781"/>
      <c r="AC25" s="1781"/>
      <c r="AD25" s="1781"/>
      <c r="AE25" s="1781"/>
      <c r="AF25" s="1781"/>
      <c r="AG25" s="1781"/>
      <c r="AH25" s="1781"/>
      <c r="AI25" s="1781"/>
      <c r="AJ25" s="1781"/>
      <c r="AK25" s="1781"/>
      <c r="AS25" s="1777">
        <v>14</v>
      </c>
    </row>
    <row customHeight="1" ht="14.699999999999998">
      <c r="Q26" s="522"/>
      <c r="R26" s="522"/>
      <c r="S26" s="24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7"/>
      <c r="U26" s="2407"/>
      <c r="V26" s="2407"/>
      <c r="W26" s="2407"/>
      <c r="X26" s="2407"/>
      <c r="Y26" s="2407"/>
      <c r="Z26" s="2407"/>
      <c r="AA26" s="2407"/>
      <c r="AB26" s="2407"/>
      <c r="AC26" s="2407"/>
      <c r="AD26" s="2407"/>
      <c r="AE26" s="2407"/>
      <c r="AF26" s="2407"/>
      <c r="AG26" s="2407"/>
      <c r="AH26" s="2407"/>
      <c r="AI26" s="2407"/>
      <c r="AJ26" s="2407"/>
      <c r="AK26" s="1389"/>
      <c r="AS26" s="1777">
        <v>14</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777">
        <v>14</v>
      </c>
    </row>
    <row customHeight="1" ht="14.25" hidden="1">
      <c r="Q28" s="522"/>
      <c r="R28" s="522"/>
      <c r="S28" s="1421"/>
      <c r="T28" s="603"/>
      <c r="U28" s="603"/>
      <c r="V28" s="468"/>
      <c r="W28" s="468"/>
      <c r="X28" s="468"/>
      <c r="Y28" s="468"/>
      <c r="Z28" s="468"/>
      <c r="AA28" s="468"/>
      <c r="AB28" s="468"/>
      <c r="AC28" s="468"/>
      <c r="AD28" s="468"/>
      <c r="AE28" s="468"/>
      <c r="AF28" s="468"/>
      <c r="AG28" s="468"/>
      <c r="AH28" s="468"/>
      <c r="AI28" s="468"/>
      <c r="AJ28" s="468"/>
      <c r="AK28" s="468"/>
      <c r="AL28" s="1781"/>
      <c r="AS28" s="1777">
        <v>0</v>
      </c>
    </row>
    <row s="7809" customFormat="1" customHeight="1" ht="25.5" hidden="1">
      <c r="A29" s="1394"/>
      <c r="B29" s="1394"/>
      <c r="C29" s="1394"/>
      <c r="D29" s="1394"/>
      <c r="E29" s="1394"/>
      <c r="F29" s="1394"/>
      <c r="G29" s="1394"/>
      <c r="H29" s="1394"/>
      <c r="I29" s="1394"/>
      <c r="J29" s="1394"/>
      <c r="K29" s="1394"/>
      <c r="L29" s="1526"/>
      <c r="M29" s="1394"/>
      <c r="N29" s="1394"/>
      <c r="O29" s="1394"/>
      <c r="S29" s="2409" t="s">
        <v>42</v>
      </c>
      <c r="T29" s="2409"/>
      <c r="U29" s="1518"/>
      <c r="V29" s="2410" t="str">
        <f>IF(TITLE_NAME_OR_PR_CHANGE="",IF(TITLE_NAME_OR_PR="","",TITLE_NAME_OR_PR),TITLE_NAME_OR_PR_CHANGE)</f>
        <v/>
      </c>
      <c r="W29" s="2410"/>
      <c r="X29" s="2410"/>
      <c r="Y29" s="2410"/>
      <c r="Z29" s="2410"/>
      <c r="AA29" s="2410"/>
      <c r="AB29" s="2410"/>
      <c r="AC29" s="1781"/>
      <c r="AD29" s="2410" t="str">
        <f>IF(TITLE_NAME_OR_PR_CHANGE="",IF(TITLE_NAME_OR_PR="","",TITLE_NAME_OR_PR),TITLE_NAME_OR_PR_CHANGE)</f>
        <v/>
      </c>
      <c r="AE29" s="2410"/>
      <c r="AF29" s="2410"/>
      <c r="AG29" s="2410"/>
      <c r="AH29" s="2410"/>
      <c r="AI29" s="2410"/>
      <c r="AJ29" s="2410"/>
      <c r="AK29" s="1781"/>
      <c r="AL29" s="1781"/>
      <c r="AM29" s="426"/>
      <c r="AN29" s="514"/>
      <c r="AO29" s="514"/>
      <c r="AP29" s="514"/>
      <c r="AQ29" s="514"/>
      <c r="AR29" s="514"/>
      <c r="AS29" s="564">
        <v>0</v>
      </c>
    </row>
    <row s="7809" customFormat="1" customHeight="1" ht="18.75" hidden="1">
      <c r="A30" s="1394"/>
      <c r="B30" s="1394"/>
      <c r="C30" s="1394"/>
      <c r="D30" s="1394"/>
      <c r="E30" s="1394"/>
      <c r="F30" s="1394"/>
      <c r="G30" s="1394"/>
      <c r="H30" s="1394"/>
      <c r="I30" s="1394"/>
      <c r="J30" s="1394"/>
      <c r="K30" s="1394"/>
      <c r="L30" s="1526"/>
      <c r="M30" s="1394"/>
      <c r="N30" s="1394"/>
      <c r="O30" s="1394"/>
      <c r="S30" s="2409" t="s">
        <v>445</v>
      </c>
      <c r="T30" s="2409"/>
      <c r="U30" s="1518"/>
      <c r="V30" s="2423" t="str">
        <f>IF(TITLE_DATE_PR_CHANGE="",IF(TITLE_DATE_PR="","",TITLE_DATE_PR),TITLE_DATE_PR_CHANGE)</f>
        <v/>
      </c>
      <c r="W30" s="2423"/>
      <c r="X30" s="2423"/>
      <c r="Y30" s="2423"/>
      <c r="Z30" s="2423"/>
      <c r="AA30" s="2423"/>
      <c r="AB30" s="2423"/>
      <c r="AC30" s="1781"/>
      <c r="AD30" s="2423" t="str">
        <f>IF(TITLE_DATE_PR_CHANGE="",IF(TITLE_DATE_PR="","",TITLE_DATE_PR),TITLE_DATE_PR_CHANGE)</f>
        <v/>
      </c>
      <c r="AE30" s="2423"/>
      <c r="AF30" s="2423"/>
      <c r="AG30" s="2423"/>
      <c r="AH30" s="2423"/>
      <c r="AI30" s="2423"/>
      <c r="AJ30" s="2423"/>
      <c r="AK30" s="1781"/>
      <c r="AL30" s="1781"/>
      <c r="AM30" s="426"/>
      <c r="AN30" s="514"/>
      <c r="AO30" s="514"/>
      <c r="AP30" s="514"/>
      <c r="AQ30" s="514"/>
      <c r="AR30" s="514"/>
      <c r="AS30" s="564">
        <v>0</v>
      </c>
    </row>
    <row s="7809" customFormat="1" customHeight="1" ht="18.75" hidden="1">
      <c r="A31" s="1394"/>
      <c r="B31" s="1394"/>
      <c r="C31" s="1394"/>
      <c r="D31" s="1394"/>
      <c r="E31" s="1394"/>
      <c r="F31" s="1394"/>
      <c r="G31" s="1394"/>
      <c r="H31" s="1394"/>
      <c r="I31" s="1394"/>
      <c r="J31" s="1394"/>
      <c r="K31" s="1394"/>
      <c r="L31" s="1526"/>
      <c r="M31" s="1394"/>
      <c r="N31" s="1394"/>
      <c r="O31" s="1394"/>
      <c r="S31" s="2409" t="s">
        <v>446</v>
      </c>
      <c r="T31" s="2409"/>
      <c r="U31" s="1518"/>
      <c r="V31" s="2410" t="str">
        <f>IF(TITLE_NUMBER_PR_CHANGE="",IF(TITLE_NUMBER_PR="","",TITLE_NUMBER_PR),TITLE_NUMBER_PR_CHANGE)</f>
        <v/>
      </c>
      <c r="W31" s="2410"/>
      <c r="X31" s="2410"/>
      <c r="Y31" s="2410"/>
      <c r="Z31" s="2410"/>
      <c r="AA31" s="2410"/>
      <c r="AB31" s="2410"/>
      <c r="AC31" s="1781"/>
      <c r="AD31" s="2410" t="str">
        <f>IF(TITLE_NUMBER_PR_CHANGE="",IF(TITLE_NUMBER_PR="","",TITLE_NUMBER_PR),TITLE_NUMBER_PR_CHANGE)</f>
        <v/>
      </c>
      <c r="AE31" s="2410"/>
      <c r="AF31" s="2410"/>
      <c r="AG31" s="2410"/>
      <c r="AH31" s="2410"/>
      <c r="AI31" s="2410"/>
      <c r="AJ31" s="2410"/>
      <c r="AK31" s="1781"/>
      <c r="AL31" s="1781"/>
      <c r="AM31" s="426"/>
      <c r="AN31" s="514"/>
      <c r="AO31" s="514"/>
      <c r="AP31" s="514"/>
      <c r="AQ31" s="514"/>
      <c r="AR31" s="514"/>
      <c r="AS31" s="564">
        <v>0</v>
      </c>
    </row>
    <row s="7809" customFormat="1" customHeight="1" ht="18.75" hidden="1">
      <c r="A32" s="1394"/>
      <c r="B32" s="1394"/>
      <c r="C32" s="1394"/>
      <c r="D32" s="1394"/>
      <c r="E32" s="1394"/>
      <c r="F32" s="1394"/>
      <c r="G32" s="1394"/>
      <c r="H32" s="1394"/>
      <c r="I32" s="1394"/>
      <c r="J32" s="1394"/>
      <c r="K32" s="1394"/>
      <c r="L32" s="1526"/>
      <c r="M32" s="1394"/>
      <c r="N32" s="1394"/>
      <c r="O32" s="1394"/>
      <c r="S32" s="2409" t="s">
        <v>43</v>
      </c>
      <c r="T32" s="2409"/>
      <c r="U32" s="1518"/>
      <c r="V32" s="2410" t="str">
        <f>IF(TITLE_IST_PUB_CHANGE="",IF(TITLE_IST_PUB="","",TITLE_IST_PUB),TITLE_IST_PUB_CHANGE)</f>
        <v/>
      </c>
      <c r="W32" s="2410"/>
      <c r="X32" s="2410"/>
      <c r="Y32" s="2410"/>
      <c r="Z32" s="2410"/>
      <c r="AA32" s="2410"/>
      <c r="AB32" s="2410"/>
      <c r="AC32" s="1781"/>
      <c r="AD32" s="2410" t="str">
        <f>IF(TITLE_IST_PUB_CHANGE="",IF(TITLE_IST_PUB="","",TITLE_IST_PUB),TITLE_IST_PUB_CHANGE)</f>
        <v/>
      </c>
      <c r="AE32" s="2410"/>
      <c r="AF32" s="2410"/>
      <c r="AG32" s="2410"/>
      <c r="AH32" s="2410"/>
      <c r="AI32" s="2410"/>
      <c r="AJ32" s="2410"/>
      <c r="AK32" s="1781"/>
      <c r="AL32" s="1781"/>
      <c r="AM32" s="426"/>
      <c r="AN32" s="514"/>
      <c r="AO32" s="514"/>
      <c r="AP32" s="514"/>
      <c r="AQ32" s="514"/>
      <c r="AR32" s="514"/>
      <c r="AS32" s="564">
        <v>0</v>
      </c>
    </row>
    <row customHeight="1" ht="14.25" hidden="1">
      <c r="Q33" s="522"/>
      <c r="R33" s="522"/>
      <c r="S33" s="1421"/>
      <c r="T33" s="603"/>
      <c r="U33" s="603"/>
      <c r="V33" s="468"/>
      <c r="W33" s="468"/>
      <c r="X33" s="468"/>
      <c r="Y33" s="468"/>
      <c r="Z33" s="468"/>
      <c r="AA33" s="468"/>
      <c r="AB33" s="468"/>
      <c r="AC33" s="468"/>
      <c r="AD33" s="468"/>
      <c r="AE33" s="468"/>
      <c r="AF33" s="468"/>
      <c r="AG33" s="468"/>
      <c r="AH33" s="468"/>
      <c r="AI33" s="468"/>
      <c r="AJ33" s="468"/>
      <c r="AK33" s="468"/>
      <c r="AL33" s="1781"/>
      <c r="AS33" s="1777">
        <v>0</v>
      </c>
    </row>
    <row s="7809" customFormat="1" customHeight="1" ht="18.75" hidden="1">
      <c r="A34" s="1394"/>
      <c r="B34" s="1394"/>
      <c r="C34" s="1394"/>
      <c r="D34" s="1394"/>
      <c r="E34" s="1394"/>
      <c r="F34" s="1394"/>
      <c r="G34" s="1394"/>
      <c r="H34" s="1394"/>
      <c r="I34" s="1394"/>
      <c r="J34" s="1394"/>
      <c r="K34" s="1394"/>
      <c r="L34" s="1526"/>
      <c r="M34" s="1394"/>
      <c r="N34" s="1394"/>
      <c r="O34" s="1394"/>
      <c r="S34" s="2409" t="s">
        <v>447</v>
      </c>
      <c r="T34" s="2409"/>
      <c r="U34" s="1518"/>
      <c r="V34" s="2423" t="str">
        <f>IF(TITLE_DATE_PR_CHANGE="",IF(TITLE_DATE_PR="","",TITLE_DATE_PR),TITLE_DATE_PR_CHANGE)</f>
        <v/>
      </c>
      <c r="W34" s="2423"/>
      <c r="X34" s="2423"/>
      <c r="Y34" s="2423"/>
      <c r="Z34" s="2423"/>
      <c r="AA34" s="2423"/>
      <c r="AB34" s="2423"/>
      <c r="AC34" s="1781"/>
      <c r="AD34" s="2423" t="str">
        <f>IF(TITLE_DATE_PR_CHANGE="",IF(TITLE_DATE_PR="","",TITLE_DATE_PR),TITLE_DATE_PR_CHANGE)</f>
        <v/>
      </c>
      <c r="AE34" s="2423"/>
      <c r="AF34" s="2423"/>
      <c r="AG34" s="2423"/>
      <c r="AH34" s="2423"/>
      <c r="AI34" s="2423"/>
      <c r="AJ34" s="2423"/>
      <c r="AK34" s="1781"/>
      <c r="AL34" s="1781"/>
      <c r="AM34" s="426"/>
      <c r="AN34" s="514"/>
      <c r="AO34" s="514"/>
      <c r="AP34" s="514"/>
      <c r="AQ34" s="514"/>
      <c r="AR34" s="514"/>
      <c r="AS34" s="564">
        <v>0</v>
      </c>
    </row>
    <row s="7809" customFormat="1" customHeight="1" ht="18.75" hidden="1">
      <c r="A35" s="1394"/>
      <c r="B35" s="1394"/>
      <c r="C35" s="1394"/>
      <c r="D35" s="1394"/>
      <c r="E35" s="1394"/>
      <c r="F35" s="1394"/>
      <c r="G35" s="1394"/>
      <c r="H35" s="1394"/>
      <c r="I35" s="1394"/>
      <c r="J35" s="1394"/>
      <c r="K35" s="1394"/>
      <c r="L35" s="1526"/>
      <c r="M35" s="1394"/>
      <c r="N35" s="1394"/>
      <c r="O35" s="1394"/>
      <c r="S35" s="2409" t="s">
        <v>448</v>
      </c>
      <c r="T35" s="2409"/>
      <c r="U35" s="1518"/>
      <c r="V35" s="2410" t="str">
        <f>IF(TITLE_NUMBER_PR_CHANGE="",IF(TITLE_NUMBER_PR="","",TITLE_NUMBER_PR),TITLE_NUMBER_PR_CHANGE)</f>
        <v/>
      </c>
      <c r="W35" s="2410"/>
      <c r="X35" s="2410"/>
      <c r="Y35" s="2410"/>
      <c r="Z35" s="2410"/>
      <c r="AA35" s="2410"/>
      <c r="AB35" s="2410"/>
      <c r="AC35" s="1781"/>
      <c r="AD35" s="2410" t="str">
        <f>IF(TITLE_NUMBER_PR_CHANGE="",IF(TITLE_NUMBER_PR="","",TITLE_NUMBER_PR),TITLE_NUMBER_PR_CHANGE)</f>
        <v/>
      </c>
      <c r="AE35" s="2410"/>
      <c r="AF35" s="2410"/>
      <c r="AG35" s="2410"/>
      <c r="AH35" s="2410"/>
      <c r="AI35" s="2410"/>
      <c r="AJ35" s="2410"/>
      <c r="AK35" s="1781"/>
      <c r="AL35" s="1781"/>
      <c r="AM35" s="426"/>
      <c r="AN35" s="514"/>
      <c r="AO35" s="514"/>
      <c r="AP35" s="514"/>
      <c r="AQ35" s="514"/>
      <c r="AR35" s="514"/>
      <c r="AS35" s="564">
        <v>0</v>
      </c>
    </row>
    <row s="7809" customFormat="1" customHeight="1" ht="0">
      <c r="A36" s="1394"/>
      <c r="B36" s="1394"/>
      <c r="C36" s="1394"/>
      <c r="D36" s="1394"/>
      <c r="E36" s="1394"/>
      <c r="F36" s="1394"/>
      <c r="G36" s="1394"/>
      <c r="H36" s="1394"/>
      <c r="I36" s="1394"/>
      <c r="J36" s="1394"/>
      <c r="K36" s="1394"/>
      <c r="L36" s="1526"/>
      <c r="M36" s="1394"/>
      <c r="N36" s="1394"/>
      <c r="O36" s="1394"/>
      <c r="S36" s="1781"/>
      <c r="T36" s="1781"/>
      <c r="U36" s="2113"/>
      <c r="V36" s="1781"/>
      <c r="W36" s="1781"/>
      <c r="X36" s="1781"/>
      <c r="Y36" s="1781"/>
      <c r="Z36" s="1781"/>
      <c r="AA36" s="1781"/>
      <c r="AB36" s="1781"/>
      <c r="AC36" s="1788" t="s">
        <v>449</v>
      </c>
      <c r="AD36" s="1781"/>
      <c r="AE36" s="1781"/>
      <c r="AF36" s="1781"/>
      <c r="AG36" s="1781"/>
      <c r="AH36" s="1781"/>
      <c r="AI36" s="1781"/>
      <c r="AJ36" s="1781"/>
      <c r="AK36" s="1788" t="s">
        <v>449</v>
      </c>
      <c r="AN36" s="514"/>
      <c r="AO36" s="514"/>
      <c r="AP36" s="514"/>
      <c r="AQ36" s="514"/>
      <c r="AR36" s="514"/>
      <c r="AS36" s="564">
        <v>0</v>
      </c>
    </row>
    <row customHeight="1" ht="14.699999999999998">
      <c r="Q37" s="522"/>
      <c r="R37" s="522"/>
      <c r="S37" s="1421"/>
      <c r="T37" s="603"/>
      <c r="U37" s="1390"/>
      <c r="V37" s="2411"/>
      <c r="W37" s="2411"/>
      <c r="X37" s="2411"/>
      <c r="Y37" s="2411"/>
      <c r="Z37" s="2411"/>
      <c r="AA37" s="2411"/>
      <c r="AB37" s="2411"/>
      <c r="AC37" s="2411"/>
      <c r="AD37" s="2411"/>
      <c r="AE37" s="2411"/>
      <c r="AF37" s="2411"/>
      <c r="AG37" s="2411"/>
      <c r="AH37" s="2411"/>
      <c r="AI37" s="2411"/>
      <c r="AJ37" s="2411"/>
      <c r="AK37" s="2411"/>
      <c r="AS37" s="1777">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777">
        <v>14</v>
      </c>
    </row>
    <row customHeight="1" ht="14.699999999999998">
      <c r="Q39" s="522"/>
      <c r="R39" s="522"/>
      <c r="S39" s="2432" t="s">
        <v>89</v>
      </c>
      <c r="T39" s="2368" t="s">
        <v>450</v>
      </c>
      <c r="U39" s="483"/>
      <c r="V39" s="2433" t="s">
        <v>451</v>
      </c>
      <c r="W39" s="2434"/>
      <c r="X39" s="2434"/>
      <c r="Y39" s="2434"/>
      <c r="Z39" s="2434"/>
      <c r="AA39" s="2434"/>
      <c r="AB39" s="2435"/>
      <c r="AC39" s="2436" t="s">
        <v>452</v>
      </c>
      <c r="AD39" s="2433" t="s">
        <v>451</v>
      </c>
      <c r="AE39" s="2434"/>
      <c r="AF39" s="2434"/>
      <c r="AG39" s="2434"/>
      <c r="AH39" s="2434"/>
      <c r="AI39" s="2434"/>
      <c r="AJ39" s="2435"/>
      <c r="AK39" s="2436" t="s">
        <v>453</v>
      </c>
      <c r="AL39" s="2439" t="s">
        <v>454</v>
      </c>
      <c r="AM39" s="2286"/>
      <c r="AS39" s="1777">
        <v>14</v>
      </c>
    </row>
    <row customHeight="1" ht="35.699999999999996">
      <c r="Q40" s="522"/>
      <c r="R40" s="522"/>
      <c r="S40" s="2432"/>
      <c r="T40" s="2368"/>
      <c r="U40" s="1177"/>
      <c r="V40" s="2419" t="s">
        <v>455</v>
      </c>
      <c r="W40" s="2442" t="s">
        <v>456</v>
      </c>
      <c r="X40" s="2421" t="s">
        <v>457</v>
      </c>
      <c r="Y40" s="2422"/>
      <c r="Z40" s="2421" t="s">
        <v>471</v>
      </c>
      <c r="AA40" s="2428"/>
      <c r="AB40" s="2422"/>
      <c r="AC40" s="2437"/>
      <c r="AD40" s="2419" t="s">
        <v>455</v>
      </c>
      <c r="AE40" s="2442" t="s">
        <v>456</v>
      </c>
      <c r="AF40" s="2421" t="s">
        <v>457</v>
      </c>
      <c r="AG40" s="2422"/>
      <c r="AH40" s="2421" t="s">
        <v>458</v>
      </c>
      <c r="AI40" s="2428"/>
      <c r="AJ40" s="2422"/>
      <c r="AK40" s="2437"/>
      <c r="AL40" s="2440"/>
      <c r="AM40" s="2286"/>
      <c r="AS40" s="1777">
        <v>34</v>
      </c>
    </row>
    <row customHeight="1" ht="35.699999999999996">
      <c r="A41" s="1412"/>
      <c r="B41" s="1412" t="s">
        <v>159</v>
      </c>
      <c r="C41" s="1412" t="s">
        <v>160</v>
      </c>
      <c r="D41" s="1412" t="s">
        <v>161</v>
      </c>
      <c r="E41" s="1456" t="s">
        <v>459</v>
      </c>
      <c r="F41" s="1456" t="s">
        <v>460</v>
      </c>
      <c r="G41" s="1456" t="s">
        <v>461</v>
      </c>
      <c r="H41" s="1456" t="s">
        <v>462</v>
      </c>
      <c r="I41" s="1456" t="s">
        <v>463</v>
      </c>
      <c r="J41" s="1456" t="s">
        <v>464</v>
      </c>
      <c r="K41" s="1456" t="s">
        <v>465</v>
      </c>
      <c r="L41" s="1456" t="s">
        <v>440</v>
      </c>
      <c r="Q41" s="522"/>
      <c r="R41" s="522"/>
      <c r="S41" s="2432"/>
      <c r="T41" s="2368"/>
      <c r="U41" s="448"/>
      <c r="V41" s="2420"/>
      <c r="W41" s="2443"/>
      <c r="X41" s="2081" t="s">
        <v>466</v>
      </c>
      <c r="Y41" s="2081" t="s">
        <v>467</v>
      </c>
      <c r="Z41" s="2081" t="s">
        <v>468</v>
      </c>
      <c r="AA41" s="2429" t="s">
        <v>469</v>
      </c>
      <c r="AB41" s="2430"/>
      <c r="AC41" s="2438"/>
      <c r="AD41" s="2420"/>
      <c r="AE41" s="2443"/>
      <c r="AF41" s="2081" t="s">
        <v>466</v>
      </c>
      <c r="AG41" s="2081" t="s">
        <v>467</v>
      </c>
      <c r="AH41" s="2081" t="s">
        <v>468</v>
      </c>
      <c r="AI41" s="2429" t="s">
        <v>469</v>
      </c>
      <c r="AJ41" s="2430"/>
      <c r="AK41" s="2438"/>
      <c r="AL41" s="2441"/>
      <c r="AM41" s="2286"/>
      <c r="AS41" s="1777">
        <v>34</v>
      </c>
    </row>
    <row s="6314" customFormat="1" customHeight="1" ht="11.25" hidden="1">
      <c r="A42" s="1412"/>
      <c r="B42" s="1412"/>
      <c r="C42" s="1412"/>
      <c r="D42" s="1412"/>
      <c r="E42" s="1412"/>
      <c r="F42" s="1412"/>
      <c r="G42" s="1412"/>
      <c r="H42" s="1412"/>
      <c r="I42" s="1412"/>
      <c r="J42" s="1412"/>
      <c r="K42" s="1412"/>
      <c r="L42" s="1456"/>
      <c r="M42" s="2108"/>
      <c r="N42" s="2108"/>
      <c r="O42" s="2108"/>
      <c r="P42" s="1392"/>
      <c r="Q42" s="1393"/>
      <c r="R42" s="1400">
        <v>1</v>
      </c>
      <c r="S42" s="1423" t="s">
        <v>121</v>
      </c>
      <c r="T42" s="1401" t="s">
        <v>105</v>
      </c>
      <c r="U42" s="1391" t="str">
        <f>OFFSET(U42,0,-1)</f>
        <v>2</v>
      </c>
      <c r="V42" s="2099">
        <f>OFFSET(V42,0,-1)+1</f>
        <v>3</v>
      </c>
      <c r="W42" s="2099"/>
      <c r="X42" s="2099">
        <f>OFFSET(X42,0,-1)+1</f>
        <v>1</v>
      </c>
      <c r="Y42" s="2099">
        <f>OFFSET(Y42,0,-1)+1</f>
        <v>2</v>
      </c>
      <c r="Z42" s="2099">
        <f>OFFSET(Z42,0,-1)+1</f>
        <v>3</v>
      </c>
      <c r="AA42" s="2431">
        <f>OFFSET(AA42,0,-1)+1</f>
        <v>4</v>
      </c>
      <c r="AB42" s="2431"/>
      <c r="AC42" s="2099">
        <f>OFFSET(AC42,0,-2)+1</f>
        <v>5</v>
      </c>
      <c r="AD42" s="2099">
        <f>OFFSET(AD42,0,-1)+1</f>
        <v>6</v>
      </c>
      <c r="AE42" s="2099"/>
      <c r="AF42" s="2099">
        <f>OFFSET(AF42,0,-1)+1</f>
        <v>1</v>
      </c>
      <c r="AG42" s="2099">
        <f>OFFSET(AG42,0,-1)+1</f>
        <v>2</v>
      </c>
      <c r="AH42" s="2099">
        <f>OFFSET(AH42,0,-1)+1</f>
        <v>3</v>
      </c>
      <c r="AI42" s="2431">
        <f>OFFSET(AI42,0,-1)+1</f>
        <v>4</v>
      </c>
      <c r="AJ42" s="2431"/>
      <c r="AK42" s="2099">
        <f>OFFSET(AK42,0,-2)+1</f>
        <v>5</v>
      </c>
      <c r="AL42" s="1391">
        <f>OFFSET(AL42,0,-1)</f>
        <v>5</v>
      </c>
      <c r="AM42" s="2099">
        <f>OFFSET(AM42,0,-1)+1</f>
        <v>6</v>
      </c>
      <c r="AN42" s="1782"/>
      <c r="AO42" s="1782"/>
      <c r="AP42" s="1782"/>
      <c r="AQ42" s="1782"/>
      <c r="AR42" s="1782"/>
      <c r="AS42" s="1787">
        <v>0</v>
      </c>
    </row>
    <row customHeight="1" ht="22.049999999999997">
      <c r="A43" s="1413" t="s">
        <v>234</v>
      </c>
      <c r="B43" s="1413"/>
      <c r="C43" s="1413"/>
      <c r="D43" s="1413"/>
      <c r="E43" s="2448">
        <v>1</v>
      </c>
      <c r="F43" s="1413"/>
      <c r="G43" s="1413"/>
      <c r="H43" s="1413"/>
      <c r="I43" s="1413"/>
      <c r="J43" s="1413"/>
      <c r="K43" s="1413"/>
      <c r="L43" s="1456"/>
      <c r="M43" s="1756"/>
      <c r="N43" s="1756"/>
      <c r="O43" s="1756"/>
      <c r="P43" s="1736"/>
      <c r="Q43" s="506"/>
      <c r="R43" s="501"/>
      <c r="S43" s="2101">
        <f>INDEX(PT_DIFFERENTIATION_NUM_NTAR,MATCH(A43,PT_DIFFERENTIATION_NTAR_ID,0))</f>
        <v>0</v>
      </c>
      <c r="T43" s="1671"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70"/>
      <c r="AP43" s="1770" t="str">
        <f>IF(T43="","",T43)</f>
        <v>Наименование тарифа</v>
      </c>
      <c r="AQ43" s="1770"/>
      <c r="AR43" s="1770"/>
      <c r="AS43" s="1777">
        <v>21</v>
      </c>
    </row>
    <row customHeight="1" ht="22.049999999999997">
      <c r="A44" s="1413" t="s">
        <v>234</v>
      </c>
      <c r="B44" s="1413" t="s">
        <v>235</v>
      </c>
      <c r="C44" s="1413"/>
      <c r="D44" s="1413"/>
      <c r="E44" s="2449"/>
      <c r="F44" s="2448">
        <v>1</v>
      </c>
      <c r="G44" s="1413"/>
      <c r="H44" s="1413"/>
      <c r="I44" s="1413"/>
      <c r="J44" s="1413"/>
      <c r="K44" s="1413"/>
      <c r="L44" s="1456"/>
      <c r="M44" s="1756"/>
      <c r="N44" s="1756"/>
      <c r="O44" s="1756"/>
      <c r="P44" s="2083"/>
      <c r="Q44" s="498"/>
      <c r="R44" s="499"/>
      <c r="S44" s="2101" t="str">
        <f>INDEX(PT_DIFFERENTIATION_NUM_TER,MATCH(B44,PT_DIFFERENTIATION_TER_ID,0))</f>
        <v>.</v>
      </c>
      <c r="T44" s="1668"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1770"/>
      <c r="AP44" s="1770" t="str">
        <f>IF(T44="","",T44)</f>
        <v>Территория действия тарифа</v>
      </c>
      <c r="AQ44" s="1770"/>
      <c r="AR44" s="1770"/>
      <c r="AS44" s="1777">
        <v>21</v>
      </c>
    </row>
    <row customHeight="1" ht="24">
      <c r="A45" s="1413" t="s">
        <v>234</v>
      </c>
      <c r="B45" s="1413" t="s">
        <v>235</v>
      </c>
      <c r="C45" s="1413" t="s">
        <v>236</v>
      </c>
      <c r="D45" s="1413"/>
      <c r="E45" s="2449"/>
      <c r="F45" s="2449"/>
      <c r="G45" s="2448">
        <v>1</v>
      </c>
      <c r="H45" s="1413"/>
      <c r="I45" s="1413"/>
      <c r="J45" s="1413"/>
      <c r="K45" s="1413"/>
      <c r="L45" s="1456"/>
      <c r="M45" s="1756"/>
      <c r="N45" s="1756"/>
      <c r="O45" s="1756"/>
      <c r="P45" s="500"/>
      <c r="Q45" s="498"/>
      <c r="R45" s="499"/>
      <c r="S45" s="2101"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1770"/>
      <c r="AP45" s="1770" t="str">
        <f>IF(T45="","",T45)</f>
        <v>Наименование системы теплоснабжения </v>
      </c>
      <c r="AQ45" s="1770"/>
      <c r="AR45" s="1770"/>
      <c r="AS45" s="1777">
        <v>23</v>
      </c>
    </row>
    <row customHeight="1" ht="22.049999999999997">
      <c r="A46" s="1413" t="s">
        <v>234</v>
      </c>
      <c r="B46" s="1413" t="s">
        <v>235</v>
      </c>
      <c r="C46" s="1413" t="s">
        <v>236</v>
      </c>
      <c r="D46" s="1413" t="s">
        <v>237</v>
      </c>
      <c r="E46" s="2449"/>
      <c r="F46" s="2449"/>
      <c r="G46" s="2449"/>
      <c r="H46" s="2448">
        <v>1</v>
      </c>
      <c r="I46" s="1413"/>
      <c r="J46" s="1413"/>
      <c r="K46" s="1413"/>
      <c r="L46" s="1456"/>
      <c r="M46" s="1756"/>
      <c r="N46" s="1756"/>
      <c r="O46" s="1756"/>
      <c r="P46" s="500"/>
      <c r="Q46" s="498"/>
      <c r="R46" s="499"/>
      <c r="S46" s="2101"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1770"/>
      <c r="AP46" s="1770" t="str">
        <f>IF(T46="","",T46)</f>
        <v>Источник тепловой энергии  </v>
      </c>
      <c r="AQ46" s="1770"/>
      <c r="AR46" s="1770"/>
      <c r="AS46" s="1777">
        <v>21</v>
      </c>
    </row>
    <row customHeight="1" ht="49.5">
      <c r="A47" s="1413" t="s">
        <v>234</v>
      </c>
      <c r="B47" s="1413" t="s">
        <v>235</v>
      </c>
      <c r="C47" s="1413" t="s">
        <v>236</v>
      </c>
      <c r="D47" s="1413" t="s">
        <v>237</v>
      </c>
      <c r="E47" s="2449"/>
      <c r="F47" s="2449"/>
      <c r="G47" s="2449"/>
      <c r="H47" s="2449"/>
      <c r="I47" s="2286" t="str">
        <f>S46&amp;".1"</f>
        <v>....1</v>
      </c>
      <c r="J47" s="1413"/>
      <c r="K47" s="1413"/>
      <c r="L47" s="1456" t="s">
        <v>425</v>
      </c>
      <c r="P47" s="2416">
        <v>1</v>
      </c>
      <c r="Q47" s="2097"/>
      <c r="R47" s="502"/>
      <c r="S47" s="2101" t="str">
        <f>$I47</f>
        <v>....1</v>
      </c>
      <c r="T47" s="431" t="s">
        <v>426</v>
      </c>
      <c r="U47" s="446"/>
      <c r="V47" s="2404"/>
      <c r="W47" s="2405"/>
      <c r="X47" s="2405"/>
      <c r="Y47" s="2405"/>
      <c r="Z47" s="2405"/>
      <c r="AA47" s="2405"/>
      <c r="AB47" s="2405"/>
      <c r="AC47" s="2406"/>
      <c r="AD47" s="2404"/>
      <c r="AE47" s="2405"/>
      <c r="AF47" s="2405"/>
      <c r="AG47" s="2405"/>
      <c r="AH47" s="2405"/>
      <c r="AI47" s="2405"/>
      <c r="AJ47" s="2405"/>
      <c r="AK47" s="2405"/>
      <c r="AL47" s="2406"/>
      <c r="AM47" s="1404" t="s">
        <v>427</v>
      </c>
      <c r="AO47" s="1770"/>
      <c r="AP47" s="1770" t="str">
        <f>IF(T47="","",T47)</f>
        <v>Схема подключения теплопотребляющей установки к коллектору источника тепловой энергии</v>
      </c>
      <c r="AQ47" s="1770"/>
      <c r="AR47" s="1770"/>
      <c r="AS47" s="1777">
        <v>47</v>
      </c>
    </row>
    <row customHeight="1" ht="22.049999999999997">
      <c r="A48" s="1413" t="s">
        <v>234</v>
      </c>
      <c r="B48" s="1413" t="s">
        <v>235</v>
      </c>
      <c r="C48" s="1413" t="s">
        <v>236</v>
      </c>
      <c r="D48" s="1413" t="s">
        <v>237</v>
      </c>
      <c r="E48" s="2449"/>
      <c r="F48" s="2449"/>
      <c r="G48" s="2449"/>
      <c r="H48" s="2449"/>
      <c r="I48" s="2260"/>
      <c r="J48" s="2286" t="str">
        <f>I47&amp;".1"</f>
        <v>....1.1</v>
      </c>
      <c r="K48" s="1413"/>
      <c r="L48" s="1456" t="s">
        <v>428</v>
      </c>
      <c r="P48" s="2416"/>
      <c r="Q48" s="2416">
        <v>1</v>
      </c>
      <c r="R48" s="503"/>
      <c r="S48" s="2101" t="str">
        <f>$J48</f>
        <v>....1.1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1770"/>
      <c r="AP48" s="1770" t="str">
        <f>IF(T48="","",T48)</f>
        <v>Группа потребителей</v>
      </c>
      <c r="AQ48" s="1770"/>
      <c r="AR48" s="1770"/>
      <c r="AS48" s="1777">
        <v>21</v>
      </c>
    </row>
    <row customHeight="1" ht="22.049999999999997">
      <c r="A49" s="1413" t="s">
        <v>234</v>
      </c>
      <c r="B49" s="1413" t="s">
        <v>235</v>
      </c>
      <c r="C49" s="1413" t="s">
        <v>236</v>
      </c>
      <c r="D49" s="1413" t="s">
        <v>237</v>
      </c>
      <c r="E49" s="2449"/>
      <c r="F49" s="2449"/>
      <c r="G49" s="2449"/>
      <c r="H49" s="2449"/>
      <c r="I49" s="2260"/>
      <c r="J49" s="2260"/>
      <c r="K49" s="2286" t="str">
        <f>J48&amp;".1"</f>
        <v>....1.1.1</v>
      </c>
      <c r="L49" s="1456" t="s">
        <v>431</v>
      </c>
      <c r="P49" s="2416"/>
      <c r="Q49" s="2416"/>
      <c r="R49" s="503">
        <v>1</v>
      </c>
      <c r="S49" s="2101" t="str">
        <f>$K49</f>
        <v>....1.1.1</v>
      </c>
      <c r="T49" s="1493"/>
      <c r="U49" s="446"/>
      <c r="V49" s="897"/>
      <c r="W49" s="471"/>
      <c r="X49" s="897"/>
      <c r="Y49" s="1403"/>
      <c r="Z49" s="2424"/>
      <c r="AA49" s="2266" t="s">
        <v>63</v>
      </c>
      <c r="AB49" s="2424"/>
      <c r="AC49" s="2266" t="s">
        <v>63</v>
      </c>
      <c r="AD49" s="897"/>
      <c r="AE49" s="471"/>
      <c r="AF49" s="897"/>
      <c r="AG49" s="1403"/>
      <c r="AH49" s="2424"/>
      <c r="AI49" s="2266" t="s">
        <v>63</v>
      </c>
      <c r="AJ49" s="2446"/>
      <c r="AK49" s="2266" t="s">
        <v>63</v>
      </c>
      <c r="AL49" s="1494"/>
      <c r="AM49" s="2412" t="s">
        <v>432</v>
      </c>
      <c r="AN49" s="1782">
        <f>STRCHECKDATE(V50:AL50)</f>
      </c>
      <c r="AO49" s="1770"/>
      <c r="AP49" s="1770" t="str">
        <f>IF(T49="","",T49)</f>
        <v/>
      </c>
      <c r="AQ49" s="1770"/>
      <c r="AR49" s="1770"/>
      <c r="AS49" s="1777">
        <v>21</v>
      </c>
    </row>
    <row customHeight="1" ht="1.05">
      <c r="A50" s="1413" t="s">
        <v>234</v>
      </c>
      <c r="B50" s="1413" t="s">
        <v>235</v>
      </c>
      <c r="C50" s="1413" t="s">
        <v>236</v>
      </c>
      <c r="D50" s="1413" t="s">
        <v>237</v>
      </c>
      <c r="E50" s="2449"/>
      <c r="F50" s="2449"/>
      <c r="G50" s="2449"/>
      <c r="H50" s="2449"/>
      <c r="I50" s="2260"/>
      <c r="J50" s="2260"/>
      <c r="K50" s="2286"/>
      <c r="L50" s="1456"/>
      <c r="P50" s="2416"/>
      <c r="Q50" s="2416"/>
      <c r="R50" s="503"/>
      <c r="S50" s="2110"/>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1770"/>
      <c r="AP50" s="1770" t="str">
        <f>IF(T50="","",T50)</f>
        <v/>
      </c>
      <c r="AQ50" s="1770"/>
      <c r="AR50" s="1770"/>
      <c r="AS50" s="1777">
        <v>1</v>
      </c>
    </row>
    <row customHeight="1" ht="11.549999999999999">
      <c r="A51" s="1413" t="s">
        <v>234</v>
      </c>
      <c r="B51" s="1413" t="s">
        <v>235</v>
      </c>
      <c r="C51" s="1413" t="s">
        <v>236</v>
      </c>
      <c r="D51" s="1413" t="s">
        <v>237</v>
      </c>
      <c r="E51" s="2449"/>
      <c r="F51" s="2449"/>
      <c r="G51" s="2449"/>
      <c r="H51" s="2449"/>
      <c r="I51" s="2260"/>
      <c r="J51" s="2286"/>
      <c r="K51" s="1413"/>
      <c r="L51" s="1456"/>
      <c r="P51" s="2416"/>
      <c r="Q51" s="2416"/>
      <c r="R51" s="502"/>
      <c r="S51" s="1424"/>
      <c r="T51" s="434" t="s">
        <v>433</v>
      </c>
      <c r="U51" s="746"/>
      <c r="V51" s="746"/>
      <c r="W51" s="746"/>
      <c r="X51" s="746"/>
      <c r="Y51" s="746"/>
      <c r="Z51" s="746"/>
      <c r="AA51" s="746"/>
      <c r="AB51" s="746"/>
      <c r="AC51" s="746"/>
      <c r="AD51" s="746"/>
      <c r="AE51" s="746"/>
      <c r="AF51" s="746"/>
      <c r="AG51" s="746"/>
      <c r="AH51" s="746"/>
      <c r="AI51" s="746"/>
      <c r="AJ51" s="746"/>
      <c r="AK51" s="746"/>
      <c r="AL51" s="470"/>
      <c r="AM51" s="2414"/>
      <c r="AO51" s="1770"/>
      <c r="AP51" s="1770" t="str">
        <f>IF(T51="","",T51)</f>
        <v>Добавить вид теплоносителя (параметры теплоносителя)</v>
      </c>
      <c r="AQ51" s="1770"/>
      <c r="AR51" s="1770"/>
      <c r="AS51" s="1777">
        <v>11</v>
      </c>
    </row>
    <row customHeight="1" ht="11.549999999999999">
      <c r="A52" s="1413" t="s">
        <v>234</v>
      </c>
      <c r="B52" s="1413" t="s">
        <v>235</v>
      </c>
      <c r="C52" s="1413" t="s">
        <v>236</v>
      </c>
      <c r="D52" s="1413" t="s">
        <v>237</v>
      </c>
      <c r="E52" s="2449"/>
      <c r="F52" s="2449"/>
      <c r="G52" s="2449"/>
      <c r="H52" s="2449"/>
      <c r="I52" s="2286"/>
      <c r="J52" s="1413"/>
      <c r="K52" s="1413"/>
      <c r="L52" s="1456"/>
      <c r="P52" s="2416"/>
      <c r="Q52" s="2097"/>
      <c r="R52" s="502"/>
      <c r="S52" s="1424"/>
      <c r="T52" s="433" t="s">
        <v>434</v>
      </c>
      <c r="U52" s="746"/>
      <c r="V52" s="746"/>
      <c r="W52" s="746"/>
      <c r="X52" s="746"/>
      <c r="Y52" s="746"/>
      <c r="Z52" s="746"/>
      <c r="AA52" s="746"/>
      <c r="AB52" s="746"/>
      <c r="AC52" s="512"/>
      <c r="AD52" s="746"/>
      <c r="AE52" s="746"/>
      <c r="AF52" s="746"/>
      <c r="AG52" s="746"/>
      <c r="AH52" s="746"/>
      <c r="AI52" s="746"/>
      <c r="AJ52" s="746"/>
      <c r="AK52" s="512"/>
      <c r="AL52" s="746"/>
      <c r="AM52" s="449"/>
      <c r="AO52" s="1770"/>
      <c r="AP52" s="1770" t="str">
        <f>IF(T52="","",T52)</f>
        <v>Добавить группу потребителей</v>
      </c>
      <c r="AQ52" s="1770"/>
      <c r="AR52" s="1770"/>
      <c r="AS52" s="1777">
        <v>11</v>
      </c>
    </row>
    <row customHeight="1" ht="14.699999999999998">
      <c r="A53" s="1413" t="s">
        <v>234</v>
      </c>
      <c r="B53" s="1413" t="s">
        <v>235</v>
      </c>
      <c r="C53" s="1413" t="s">
        <v>236</v>
      </c>
      <c r="D53" s="1413" t="s">
        <v>237</v>
      </c>
      <c r="E53" s="2449"/>
      <c r="F53" s="2449"/>
      <c r="G53" s="2449"/>
      <c r="H53" s="2448"/>
      <c r="I53" s="1413"/>
      <c r="J53" s="1413"/>
      <c r="K53" s="1413"/>
      <c r="L53" s="1456"/>
      <c r="M53" s="1756"/>
      <c r="N53" s="1756"/>
      <c r="O53" s="1781"/>
      <c r="P53" s="506"/>
      <c r="Q53" s="521"/>
      <c r="R53" s="501"/>
      <c r="S53" s="1424"/>
      <c r="T53" s="511" t="s">
        <v>435</v>
      </c>
      <c r="U53" s="746"/>
      <c r="V53" s="746"/>
      <c r="W53" s="746"/>
      <c r="X53" s="746"/>
      <c r="Y53" s="746"/>
      <c r="Z53" s="746"/>
      <c r="AA53" s="746"/>
      <c r="AB53" s="746"/>
      <c r="AC53" s="512"/>
      <c r="AD53" s="746"/>
      <c r="AE53" s="746"/>
      <c r="AF53" s="746"/>
      <c r="AG53" s="746"/>
      <c r="AH53" s="746"/>
      <c r="AI53" s="746"/>
      <c r="AJ53" s="746"/>
      <c r="AK53" s="512"/>
      <c r="AL53" s="746"/>
      <c r="AM53" s="449"/>
      <c r="AO53" s="1770"/>
      <c r="AP53" s="1770" t="str">
        <f>IF(T53="","",T53)</f>
        <v>Добавить схему подключения</v>
      </c>
      <c r="AQ53" s="1770"/>
      <c r="AR53" s="1770"/>
      <c r="AS53" s="1777">
        <v>14</v>
      </c>
    </row>
    <row s="6720" customFormat="1" customHeight="1" ht="4.2">
      <c r="A54" s="1521" t="s">
        <v>234</v>
      </c>
      <c r="B54" s="1521" t="s">
        <v>235</v>
      </c>
      <c r="C54" s="1521" t="s">
        <v>236</v>
      </c>
      <c r="D54" s="1520"/>
      <c r="E54" s="2449"/>
      <c r="F54" s="2449"/>
      <c r="G54" s="2448"/>
      <c r="H54" s="1520"/>
      <c r="I54" s="1520"/>
      <c r="J54" s="1520"/>
      <c r="K54" s="1520"/>
      <c r="L54" s="1523"/>
      <c r="M54" s="1524"/>
      <c r="N54" s="1524"/>
      <c r="O54" s="497"/>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1397"/>
      <c r="AP54" s="1397" t="str">
        <f>IF(T54="","",T54)</f>
        <v>Добавить источник для дифференциации</v>
      </c>
      <c r="AQ54" s="1397"/>
      <c r="AR54" s="1397"/>
      <c r="AS54" s="1788">
        <v>4</v>
      </c>
    </row>
    <row s="6720" customFormat="1" customHeight="1" ht="4.2">
      <c r="A55" s="1521" t="s">
        <v>234</v>
      </c>
      <c r="B55" s="1521" t="s">
        <v>235</v>
      </c>
      <c r="C55" s="1520"/>
      <c r="D55" s="1520"/>
      <c r="E55" s="2449"/>
      <c r="F55" s="2448"/>
      <c r="G55" s="1520"/>
      <c r="H55" s="1520"/>
      <c r="I55" s="1520"/>
      <c r="J55" s="1520"/>
      <c r="K55" s="1520"/>
      <c r="L55" s="1523"/>
      <c r="M55" s="1525"/>
      <c r="N55" s="1525"/>
      <c r="O55" s="497"/>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1397"/>
      <c r="AP55" s="1397" t="str">
        <f>IF(T55="","",T55)</f>
        <v>Добавить централизованную систему для дифференциации</v>
      </c>
      <c r="AQ55" s="1397"/>
      <c r="AR55" s="1397"/>
      <c r="AS55" s="1788">
        <v>4</v>
      </c>
    </row>
    <row s="6720" customFormat="1" customHeight="1" ht="4.2">
      <c r="A56" s="1521" t="s">
        <v>234</v>
      </c>
      <c r="B56" s="1521"/>
      <c r="C56" s="1521"/>
      <c r="D56" s="1521"/>
      <c r="E56" s="2448"/>
      <c r="F56" s="1521"/>
      <c r="G56" s="1521"/>
      <c r="H56" s="1521"/>
      <c r="I56" s="1521"/>
      <c r="J56" s="1521"/>
      <c r="K56" s="1521"/>
      <c r="L56" s="1527"/>
      <c r="M56" s="1525"/>
      <c r="N56" s="1525"/>
      <c r="O56" s="497"/>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1770"/>
      <c r="AP56" s="1770" t="str">
        <f>IF(T56="","",T56)</f>
        <v>Добавить территорию для дифференциации</v>
      </c>
      <c r="AQ56" s="1770"/>
      <c r="AR56" s="1770"/>
      <c r="AS56" s="1782">
        <v>4</v>
      </c>
    </row>
    <row s="6720" customFormat="1" customHeight="1" ht="4.2">
      <c r="A57" s="1520"/>
      <c r="B57" s="1520"/>
      <c r="C57" s="1520"/>
      <c r="D57" s="1520"/>
      <c r="E57" s="1521"/>
      <c r="F57" s="1520"/>
      <c r="G57" s="1520"/>
      <c r="H57" s="1520"/>
      <c r="I57" s="1520"/>
      <c r="J57" s="1520"/>
      <c r="K57" s="1520"/>
      <c r="L57" s="1523"/>
      <c r="M57" s="1525"/>
      <c r="N57" s="1525"/>
      <c r="O57" s="497"/>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1397"/>
      <c r="AP57" s="1397" t="str">
        <f>IF(T57="","",T57)</f>
        <v>Добавить наименование тарифа</v>
      </c>
      <c r="AQ57" s="1397"/>
      <c r="AR57" s="1397"/>
      <c r="AS57" s="1788">
        <v>4</v>
      </c>
    </row>
    <row customHeight="1" ht="11.549999999999999">
      <c r="M58" s="1777"/>
      <c r="N58" s="1777"/>
      <c r="O58" s="1781"/>
      <c r="P58" s="1777"/>
      <c r="Q58" s="1777"/>
      <c r="R58" s="1777"/>
      <c r="S58" s="1777"/>
      <c r="AN58" s="1777"/>
      <c r="AO58" s="1777"/>
      <c r="AP58" s="1777"/>
      <c r="AQ58" s="1777"/>
      <c r="AR58" s="1777"/>
      <c r="AS58" s="1777">
        <v>11</v>
      </c>
    </row>
    <row customHeight="1" ht="28.5">
      <c r="O59" s="1781"/>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777">
        <v>27</v>
      </c>
    </row>
    <row customHeight="1" ht="65.25">
      <c r="O60" s="1781"/>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777">
        <v>62</v>
      </c>
    </row>
    <row customHeight="1" ht="14.699999999999998">
      <c r="O61" s="1781"/>
      <c r="AS61" s="1777">
        <v>14</v>
      </c>
    </row>
    <row customHeight="1" ht="18.75">
      <c r="O62" s="1781"/>
      <c r="S62" s="1399"/>
      <c r="T62" s="2444"/>
      <c r="U62" s="2444"/>
      <c r="V62" s="2444"/>
      <c r="W62" s="2444"/>
      <c r="X62" s="2444"/>
      <c r="Y62" s="2444"/>
      <c r="Z62" s="2444"/>
      <c r="AA62" s="2444"/>
      <c r="AB62" s="2444"/>
      <c r="AC62" s="2444"/>
      <c r="AD62" s="2444"/>
      <c r="AE62" s="2444"/>
      <c r="AF62" s="2444"/>
      <c r="AG62" s="2444"/>
      <c r="AH62" s="2444"/>
      <c r="AI62" s="2444"/>
      <c r="AJ62" s="2444"/>
      <c r="AK62" s="2444"/>
      <c r="AL62" s="2444"/>
      <c r="AM62" s="2444"/>
      <c r="AS62" s="1777">
        <v>18</v>
      </c>
    </row>
    <row customHeight="1" ht="18.75">
      <c r="O63" s="1781"/>
      <c r="T63" s="2444"/>
      <c r="U63" s="2444"/>
      <c r="V63" s="2444"/>
      <c r="W63" s="2444"/>
      <c r="X63" s="2444"/>
      <c r="Y63" s="2444"/>
      <c r="Z63" s="2444"/>
      <c r="AA63" s="2444"/>
      <c r="AB63" s="2444"/>
      <c r="AC63" s="2444"/>
      <c r="AD63" s="2444"/>
      <c r="AE63" s="2444"/>
      <c r="AF63" s="2444"/>
      <c r="AG63" s="2444"/>
      <c r="AH63" s="2444"/>
      <c r="AI63" s="2444"/>
      <c r="AJ63" s="2444"/>
      <c r="AK63" s="2444"/>
      <c r="AL63" s="2444"/>
      <c r="AM63" s="2444"/>
      <c r="AS63" s="1777">
        <v>18</v>
      </c>
    </row>
    <row customHeight="1" ht="29.25">
      <c r="O64" s="1781"/>
      <c r="S64" s="1399"/>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777">
        <v>28</v>
      </c>
    </row>
    <row customHeight="1" ht="22.5" hidden="1">
      <c r="A65" s="1777" t="s">
        <v>83</v>
      </c>
      <c r="B65" s="1777">
        <v>0</v>
      </c>
      <c r="C65" s="1777">
        <v>0</v>
      </c>
      <c r="D65" s="1777">
        <v>0</v>
      </c>
      <c r="E65" s="1777">
        <v>0</v>
      </c>
      <c r="F65" s="1777">
        <v>0</v>
      </c>
      <c r="G65" s="1777">
        <v>0</v>
      </c>
      <c r="H65" s="1777">
        <v>0</v>
      </c>
      <c r="I65" s="1777">
        <v>0</v>
      </c>
      <c r="J65" s="1777">
        <v>0</v>
      </c>
      <c r="K65" s="1777">
        <v>0</v>
      </c>
      <c r="L65" s="2082">
        <v>0</v>
      </c>
      <c r="M65" s="2108">
        <v>0</v>
      </c>
      <c r="N65" s="2108">
        <v>0</v>
      </c>
      <c r="O65" s="2108">
        <v>0</v>
      </c>
      <c r="P65" s="2108">
        <v>3</v>
      </c>
      <c r="Q65" s="490">
        <v>3</v>
      </c>
      <c r="R65" s="490">
        <v>3</v>
      </c>
      <c r="S65" s="727">
        <v>12</v>
      </c>
      <c r="T65" s="1777">
        <v>31</v>
      </c>
      <c r="U65" s="1777">
        <v>0</v>
      </c>
      <c r="V65" s="1777">
        <v>0</v>
      </c>
      <c r="W65" s="1777">
        <v>0</v>
      </c>
      <c r="X65" s="1777">
        <v>0</v>
      </c>
      <c r="Y65" s="1777">
        <v>0</v>
      </c>
      <c r="Z65" s="1777">
        <v>0</v>
      </c>
      <c r="AA65" s="1777">
        <v>0</v>
      </c>
      <c r="AB65" s="1777">
        <v>0</v>
      </c>
      <c r="AC65" s="1777">
        <v>0</v>
      </c>
      <c r="AD65" s="1777">
        <v>24</v>
      </c>
      <c r="AE65" s="1777">
        <v>0</v>
      </c>
      <c r="AF65" s="1777">
        <v>24</v>
      </c>
      <c r="AG65" s="1777">
        <v>24</v>
      </c>
      <c r="AH65" s="1777">
        <v>11</v>
      </c>
      <c r="AI65" s="1777">
        <v>3</v>
      </c>
      <c r="AJ65" s="1777">
        <v>11</v>
      </c>
      <c r="AK65" s="1777">
        <v>0</v>
      </c>
      <c r="AL65" s="1777">
        <v>4</v>
      </c>
      <c r="AM65" s="1777">
        <v>115</v>
      </c>
      <c r="AN65" s="1782">
        <v>10</v>
      </c>
      <c r="AO65" s="1782">
        <v>10</v>
      </c>
      <c r="AP65" s="1782">
        <v>10</v>
      </c>
      <c r="AQ65" s="1782">
        <v>10</v>
      </c>
      <c r="AR65" s="1782">
        <v>10</v>
      </c>
      <c r="AS65" s="177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5D3D2-5FE2-E7B1-6708-0.1AC8737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235" width="10.57421875" hidden="1"/>
    <col min="2" max="2" style="7235" width="11.00390625" hidden="1" customWidth="1"/>
    <col min="3" max="3" style="7235" width="10.57421875" hidden="1"/>
    <col min="4" max="4" style="7235" width="11.8515625" hidden="1" customWidth="1"/>
    <col min="5" max="5" style="7235" width="10.00390625" hidden="1" customWidth="1"/>
    <col min="6" max="6" style="7235" width="8.7109375" hidden="1" customWidth="1"/>
    <col min="7" max="7" style="7235" width="7.57421875" hidden="1" customWidth="1"/>
    <col min="8" max="8" style="7235" width="11.421875" hidden="1" customWidth="1"/>
    <col min="9" max="9" style="7235" width="12.00390625" hidden="1" customWidth="1"/>
    <col min="10" max="10" style="7235" width="9.8515625" hidden="1" customWidth="1"/>
    <col min="11" max="11" style="7235" width="11.421875" hidden="1" customWidth="1"/>
    <col min="12" max="12" style="7917" width="19.140625" hidden="1" customWidth="1"/>
    <col min="13" max="14" style="7938" width="12.28125" hidden="1" customWidth="1"/>
    <col min="15" max="15" style="7938" width="23.421875" hidden="1" customWidth="1"/>
    <col min="16" max="16" style="7938" width="3.00390625" customWidth="1"/>
    <col min="17" max="18" style="7205" width="3.00390625" customWidth="1"/>
    <col min="19" max="19" style="7910" width="12.00390625" customWidth="1"/>
    <col min="20" max="20" style="7235" width="31.00390625" customWidth="1"/>
    <col min="21" max="21" style="7235" width="0.140625" customWidth="1"/>
    <col min="22" max="22" style="7235" width="24.7109375" hidden="1" customWidth="1"/>
    <col min="23" max="23" style="7235" width="0.140625" hidden="1" customWidth="1"/>
    <col min="24" max="25" style="7235" width="24.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24.7109375" customWidth="1"/>
    <col min="31" max="31" style="7235" width="0.140625" customWidth="1"/>
    <col min="32" max="33" style="7235" width="24.0039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10.57421875" hidden="1"/>
  </cols>
  <sheetData>
    <row customHeight="1" ht="22.5" hidden="1">
      <c r="AS1" s="1777" t="s">
        <v>14</v>
      </c>
    </row>
    <row customHeight="1" ht="21" hidden="1">
      <c r="A2" s="1413"/>
      <c r="B2" s="1413"/>
      <c r="C2" s="1413"/>
      <c r="D2" s="1413"/>
      <c r="E2" s="2448">
        <v>1</v>
      </c>
      <c r="F2" s="1413"/>
      <c r="G2" s="1413"/>
      <c r="H2" s="1413"/>
      <c r="I2" s="1413"/>
      <c r="J2" s="1413"/>
      <c r="K2" s="1413"/>
      <c r="L2" s="1456"/>
      <c r="M2" s="1756"/>
      <c r="N2" s="1756"/>
      <c r="O2" s="1756"/>
      <c r="P2" s="1736"/>
      <c r="Q2" s="506"/>
      <c r="R2" s="501"/>
      <c r="S2" s="2101">
        <f>INDEX(PT_DIFFERENTIATION_NUM_NTAR,MATCH(A2,PT_DIFFERENTIATION_NTAR_ID,0))</f>
      </c>
      <c r="T2" s="1671"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1770"/>
      <c r="AP2" s="1770" t="str">
        <f>IF(T2="","",T2)</f>
        <v>Наименование тарифа</v>
      </c>
      <c r="AQ2" s="1770"/>
      <c r="AR2" s="1770"/>
      <c r="AS2" s="1777">
        <v>0</v>
      </c>
    </row>
    <row customHeight="1" ht="21" hidden="1">
      <c r="A3" s="1413"/>
      <c r="B3" s="1413"/>
      <c r="C3" s="1413"/>
      <c r="D3" s="1413"/>
      <c r="E3" s="2449"/>
      <c r="F3" s="2448">
        <v>1</v>
      </c>
      <c r="G3" s="1413"/>
      <c r="H3" s="1413"/>
      <c r="I3" s="1413"/>
      <c r="J3" s="1413"/>
      <c r="K3" s="1413"/>
      <c r="L3" s="1456"/>
      <c r="M3" s="1756"/>
      <c r="N3" s="1756"/>
      <c r="O3" s="1756"/>
      <c r="P3" s="2083"/>
      <c r="Q3" s="498"/>
      <c r="R3" s="499"/>
      <c r="S3" s="2101">
        <f>INDEX(PT_DIFFERENTIATION_NUM_TER,MATCH(B3,PT_DIFFERENTIATION_TER_ID,0))</f>
      </c>
      <c r="T3" s="1668"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1770"/>
      <c r="AP3" s="1770" t="str">
        <f>IF(T3="","",T3)</f>
        <v>Территория действия тарифа</v>
      </c>
      <c r="AQ3" s="1770"/>
      <c r="AR3" s="1770"/>
      <c r="AS3" s="1777">
        <v>0</v>
      </c>
    </row>
    <row customHeight="1" ht="23.25" hidden="1">
      <c r="A4" s="1413"/>
      <c r="B4" s="1413"/>
      <c r="C4" s="1413"/>
      <c r="D4" s="1413"/>
      <c r="E4" s="2449"/>
      <c r="F4" s="2449"/>
      <c r="G4" s="2448">
        <v>1</v>
      </c>
      <c r="H4" s="1413"/>
      <c r="I4" s="1413"/>
      <c r="J4" s="1413"/>
      <c r="K4" s="1413"/>
      <c r="L4" s="1456"/>
      <c r="M4" s="1756"/>
      <c r="N4" s="1756"/>
      <c r="O4" s="1756"/>
      <c r="P4" s="500"/>
      <c r="Q4" s="498"/>
      <c r="R4" s="499"/>
      <c r="S4" s="2101">
        <f>INDEX(PT_DIFFERENTIATION_NUM_CS,MATCH(C4,PT_DIFFERENTIATION_CS_ID,0))</f>
      </c>
      <c r="T4" s="455" t="s">
        <v>421</v>
      </c>
      <c r="U4" s="446"/>
      <c r="V4" s="2401"/>
      <c r="W4" s="2402"/>
      <c r="X4" s="2402"/>
      <c r="Y4" s="2402"/>
      <c r="Z4" s="2402"/>
      <c r="AA4" s="2402"/>
      <c r="AB4" s="2402"/>
      <c r="AC4" s="2403"/>
      <c r="AD4" s="2401">
        <f>INDEX(PT_DIFFERENTIATION_CS,MATCH(C4,PT_DIFFERENTIATION_CS_ID,0))</f>
      </c>
      <c r="AE4" s="2402"/>
      <c r="AF4" s="2402"/>
      <c r="AG4" s="2402"/>
      <c r="AH4" s="2402"/>
      <c r="AI4" s="2402"/>
      <c r="AJ4" s="2402"/>
      <c r="AK4" s="2402"/>
      <c r="AL4" s="2403"/>
      <c r="AM4" s="1404" t="s">
        <v>422</v>
      </c>
      <c r="AO4" s="1770"/>
      <c r="AP4" s="1770" t="str">
        <f>IF(T4="","",T4)</f>
        <v>Наименование системы теплоснабжения </v>
      </c>
      <c r="AQ4" s="1770"/>
      <c r="AR4" s="1770"/>
      <c r="AS4" s="1777">
        <v>0</v>
      </c>
    </row>
    <row customHeight="1" ht="21" hidden="1">
      <c r="A5" s="1413"/>
      <c r="B5" s="1413"/>
      <c r="C5" s="1413"/>
      <c r="D5" s="1413"/>
      <c r="E5" s="2449"/>
      <c r="F5" s="2449"/>
      <c r="G5" s="2449"/>
      <c r="H5" s="2448">
        <v>1</v>
      </c>
      <c r="I5" s="1413"/>
      <c r="J5" s="1413"/>
      <c r="K5" s="1413"/>
      <c r="L5" s="1456"/>
      <c r="M5" s="1756"/>
      <c r="N5" s="1756"/>
      <c r="O5" s="1756"/>
      <c r="P5" s="500"/>
      <c r="Q5" s="498"/>
      <c r="R5" s="499"/>
      <c r="S5" s="2101">
        <f>INDEX(PT_DIFFERENTIATION_NUM_IST_TE,MATCH(D5,PT_DIFFERENTIATION_IST_TE_ID,0))</f>
      </c>
      <c r="T5" s="456" t="s">
        <v>423</v>
      </c>
      <c r="U5" s="446"/>
      <c r="V5" s="2401"/>
      <c r="W5" s="2402"/>
      <c r="X5" s="2402"/>
      <c r="Y5" s="2402"/>
      <c r="Z5" s="2402"/>
      <c r="AA5" s="2402"/>
      <c r="AB5" s="2402"/>
      <c r="AC5" s="2403"/>
      <c r="AD5" s="2401">
        <f>INDEX(PT_DIFFERENTIATION_IST_TE,MATCH(D5,PT_DIFFERENTIATION_IST_TE_ID,0))</f>
      </c>
      <c r="AE5" s="2402"/>
      <c r="AF5" s="2402"/>
      <c r="AG5" s="2402"/>
      <c r="AH5" s="2402"/>
      <c r="AI5" s="2402"/>
      <c r="AJ5" s="2402"/>
      <c r="AK5" s="2402"/>
      <c r="AL5" s="2403"/>
      <c r="AM5" s="1404" t="s">
        <v>424</v>
      </c>
      <c r="AO5" s="1770"/>
      <c r="AP5" s="1770" t="str">
        <f>IF(T5="","",T5)</f>
        <v>Источник тепловой энергии  </v>
      </c>
      <c r="AQ5" s="1770"/>
      <c r="AR5" s="1770"/>
      <c r="AS5" s="1777">
        <v>0</v>
      </c>
    </row>
    <row customHeight="1" ht="47.25" hidden="1">
      <c r="A6" s="1413"/>
      <c r="B6" s="1413"/>
      <c r="C6" s="1413"/>
      <c r="D6" s="1413"/>
      <c r="E6" s="2449"/>
      <c r="F6" s="2449"/>
      <c r="G6" s="2449"/>
      <c r="H6" s="2449"/>
      <c r="I6" s="2286">
        <f>S5&amp;".1"</f>
      </c>
      <c r="J6" s="1413"/>
      <c r="K6" s="1413"/>
      <c r="L6" s="1456" t="s">
        <v>425</v>
      </c>
      <c r="M6" s="1781"/>
      <c r="P6" s="2416">
        <v>1</v>
      </c>
      <c r="Q6" s="2097"/>
      <c r="R6" s="502"/>
      <c r="S6" s="2101">
        <f>$I6</f>
      </c>
      <c r="T6" s="431" t="s">
        <v>426</v>
      </c>
      <c r="U6" s="446"/>
      <c r="V6" s="2404"/>
      <c r="W6" s="2405"/>
      <c r="X6" s="2405"/>
      <c r="Y6" s="2405"/>
      <c r="Z6" s="2405"/>
      <c r="AA6" s="2405"/>
      <c r="AB6" s="2405"/>
      <c r="AC6" s="2406"/>
      <c r="AD6" s="2404"/>
      <c r="AE6" s="2405"/>
      <c r="AF6" s="2405"/>
      <c r="AG6" s="2405"/>
      <c r="AH6" s="2405"/>
      <c r="AI6" s="2405"/>
      <c r="AJ6" s="2405"/>
      <c r="AK6" s="2405"/>
      <c r="AL6" s="2406"/>
      <c r="AM6" s="1404" t="s">
        <v>427</v>
      </c>
      <c r="AO6" s="1770"/>
      <c r="AP6" s="1770" t="str">
        <f>IF(T6="","",T6)</f>
        <v>Схема подключения теплопотребляющей установки к коллектору источника тепловой энергии</v>
      </c>
      <c r="AQ6" s="1770"/>
      <c r="AR6" s="1770"/>
      <c r="AS6" s="1777">
        <v>0</v>
      </c>
    </row>
    <row customHeight="1" ht="21" hidden="1">
      <c r="A7" s="1413"/>
      <c r="B7" s="1413"/>
      <c r="C7" s="1413"/>
      <c r="D7" s="1413"/>
      <c r="E7" s="2449"/>
      <c r="F7" s="2449"/>
      <c r="G7" s="2449"/>
      <c r="H7" s="2449"/>
      <c r="I7" s="2260"/>
      <c r="J7" s="2286">
        <f>I6&amp;".1"</f>
      </c>
      <c r="K7" s="1413"/>
      <c r="L7" s="1456" t="s">
        <v>428</v>
      </c>
      <c r="M7" s="1781"/>
      <c r="N7" s="1777"/>
      <c r="P7" s="2416"/>
      <c r="Q7" s="2416">
        <v>1</v>
      </c>
      <c r="R7" s="503"/>
      <c r="S7" s="2101">
        <f>$J7</f>
      </c>
      <c r="T7" s="432" t="s">
        <v>429</v>
      </c>
      <c r="U7" s="446"/>
      <c r="V7" s="2404"/>
      <c r="W7" s="2405"/>
      <c r="X7" s="2405"/>
      <c r="Y7" s="2405"/>
      <c r="Z7" s="2405"/>
      <c r="AA7" s="2405"/>
      <c r="AB7" s="2405"/>
      <c r="AC7" s="2406"/>
      <c r="AD7" s="2404"/>
      <c r="AE7" s="2405"/>
      <c r="AF7" s="2405"/>
      <c r="AG7" s="2405"/>
      <c r="AH7" s="2405"/>
      <c r="AI7" s="2405"/>
      <c r="AJ7" s="2405"/>
      <c r="AK7" s="2405"/>
      <c r="AL7" s="2406"/>
      <c r="AM7" s="1404" t="s">
        <v>430</v>
      </c>
      <c r="AO7" s="1770"/>
      <c r="AP7" s="1770" t="str">
        <f>IF(T7="","",T7)</f>
        <v>Группа потребителей</v>
      </c>
      <c r="AQ7" s="1770"/>
      <c r="AR7" s="1770"/>
      <c r="AS7" s="1777">
        <v>0</v>
      </c>
    </row>
    <row customHeight="1" ht="21" hidden="1">
      <c r="A8" s="1413"/>
      <c r="B8" s="1413"/>
      <c r="C8" s="1413"/>
      <c r="D8" s="1413"/>
      <c r="E8" s="2449"/>
      <c r="F8" s="2449"/>
      <c r="G8" s="2449"/>
      <c r="H8" s="2449"/>
      <c r="I8" s="2260"/>
      <c r="J8" s="2260"/>
      <c r="K8" s="2286">
        <f>J7&amp;".1"</f>
      </c>
      <c r="L8" s="1456" t="s">
        <v>431</v>
      </c>
      <c r="M8" s="1781"/>
      <c r="N8" s="1777"/>
      <c r="O8" s="1777"/>
      <c r="P8" s="2416"/>
      <c r="Q8" s="2416"/>
      <c r="R8" s="503">
        <v>1</v>
      </c>
      <c r="S8" s="2101">
        <f>$K8</f>
      </c>
      <c r="T8" s="1493"/>
      <c r="U8" s="446"/>
      <c r="V8" s="897"/>
      <c r="W8" s="471"/>
      <c r="X8" s="897"/>
      <c r="Y8" s="1403"/>
      <c r="Z8" s="2424"/>
      <c r="AA8" s="2266" t="s">
        <v>63</v>
      </c>
      <c r="AB8" s="2424"/>
      <c r="AC8" s="2266" t="s">
        <v>63</v>
      </c>
      <c r="AD8" s="897"/>
      <c r="AE8" s="471"/>
      <c r="AF8" s="897"/>
      <c r="AG8" s="1403"/>
      <c r="AH8" s="2424"/>
      <c r="AI8" s="2266" t="s">
        <v>63</v>
      </c>
      <c r="AJ8" s="2424"/>
      <c r="AK8" s="2266" t="s">
        <v>63</v>
      </c>
      <c r="AL8" s="471"/>
      <c r="AM8" s="2412" t="s">
        <v>432</v>
      </c>
      <c r="AN8" s="1782">
        <f>STRCHECKDATE(V9:AL9)</f>
      </c>
      <c r="AO8" s="1770"/>
      <c r="AP8" s="1770" t="str">
        <f>IF(T8="","",T8)</f>
        <v/>
      </c>
      <c r="AQ8" s="1770"/>
      <c r="AR8" s="1770"/>
      <c r="AS8" s="1777">
        <v>0</v>
      </c>
    </row>
    <row customHeight="1" ht="0.75" hidden="1">
      <c r="A9" s="1413"/>
      <c r="B9" s="1413"/>
      <c r="C9" s="1413"/>
      <c r="D9" s="1413"/>
      <c r="E9" s="2449"/>
      <c r="F9" s="2449"/>
      <c r="G9" s="2449"/>
      <c r="H9" s="2449"/>
      <c r="I9" s="2260"/>
      <c r="J9" s="2260"/>
      <c r="K9" s="2286"/>
      <c r="L9" s="1456"/>
      <c r="M9" s="1781"/>
      <c r="N9" s="1777"/>
      <c r="O9" s="1777"/>
      <c r="P9" s="2416"/>
      <c r="Q9" s="2416"/>
      <c r="R9" s="503"/>
      <c r="S9" s="2110"/>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1770"/>
      <c r="AP9" s="1770" t="str">
        <f>IF(T9="","",T9)</f>
        <v/>
      </c>
      <c r="AQ9" s="1770"/>
      <c r="AR9" s="1770"/>
      <c r="AS9" s="1777">
        <v>0</v>
      </c>
    </row>
    <row customHeight="1" ht="15" hidden="1">
      <c r="A10" s="1413"/>
      <c r="B10" s="1413"/>
      <c r="C10" s="1413"/>
      <c r="D10" s="1413"/>
      <c r="E10" s="2449"/>
      <c r="F10" s="2449"/>
      <c r="G10" s="2449"/>
      <c r="H10" s="2449"/>
      <c r="I10" s="2260"/>
      <c r="J10" s="2286"/>
      <c r="K10" s="1413"/>
      <c r="L10" s="1456"/>
      <c r="M10" s="1781"/>
      <c r="N10" s="1777"/>
      <c r="P10" s="2416"/>
      <c r="Q10" s="2416"/>
      <c r="R10" s="502"/>
      <c r="S10" s="1424"/>
      <c r="T10" s="434" t="s">
        <v>433</v>
      </c>
      <c r="U10" s="746"/>
      <c r="V10" s="746"/>
      <c r="W10" s="746"/>
      <c r="X10" s="746"/>
      <c r="Y10" s="746"/>
      <c r="Z10" s="746"/>
      <c r="AA10" s="746"/>
      <c r="AB10" s="746"/>
      <c r="AC10" s="746"/>
      <c r="AD10" s="746"/>
      <c r="AE10" s="746"/>
      <c r="AF10" s="746"/>
      <c r="AG10" s="746"/>
      <c r="AH10" s="746"/>
      <c r="AI10" s="746"/>
      <c r="AJ10" s="746"/>
      <c r="AK10" s="746"/>
      <c r="AL10" s="470"/>
      <c r="AM10" s="2414"/>
      <c r="AO10" s="1770"/>
      <c r="AP10" s="1770" t="str">
        <f>IF(T10="","",T10)</f>
        <v>Добавить вид теплоносителя (параметры теплоносителя)</v>
      </c>
      <c r="AQ10" s="1770"/>
      <c r="AR10" s="1770"/>
      <c r="AS10" s="1777">
        <v>0</v>
      </c>
    </row>
    <row customHeight="1" ht="15" hidden="1">
      <c r="A11" s="1413"/>
      <c r="B11" s="1413"/>
      <c r="C11" s="1413"/>
      <c r="D11" s="1413"/>
      <c r="E11" s="2449"/>
      <c r="F11" s="2449"/>
      <c r="G11" s="2449"/>
      <c r="H11" s="2449"/>
      <c r="I11" s="2286"/>
      <c r="J11" s="1413"/>
      <c r="K11" s="1413"/>
      <c r="L11" s="1456"/>
      <c r="M11" s="1781"/>
      <c r="P11" s="2416"/>
      <c r="Q11" s="2097"/>
      <c r="R11" s="502"/>
      <c r="S11" s="1424"/>
      <c r="T11" s="433" t="s">
        <v>434</v>
      </c>
      <c r="U11" s="746"/>
      <c r="V11" s="746"/>
      <c r="W11" s="746"/>
      <c r="X11" s="746"/>
      <c r="Y11" s="746"/>
      <c r="Z11" s="746"/>
      <c r="AA11" s="746"/>
      <c r="AB11" s="746"/>
      <c r="AC11" s="512"/>
      <c r="AD11" s="746"/>
      <c r="AE11" s="746"/>
      <c r="AF11" s="746"/>
      <c r="AG11" s="746"/>
      <c r="AH11" s="746"/>
      <c r="AI11" s="746"/>
      <c r="AJ11" s="746"/>
      <c r="AK11" s="512"/>
      <c r="AL11" s="746"/>
      <c r="AM11" s="449"/>
      <c r="AO11" s="1770"/>
      <c r="AP11" s="1770" t="str">
        <f>IF(T11="","",T11)</f>
        <v>Добавить группу потребителей</v>
      </c>
      <c r="AQ11" s="1770"/>
      <c r="AR11" s="1770"/>
      <c r="AS11" s="1777">
        <v>0</v>
      </c>
    </row>
    <row customHeight="1" ht="14.25" hidden="1">
      <c r="A12" s="1413"/>
      <c r="B12" s="1413"/>
      <c r="C12" s="1413"/>
      <c r="D12" s="1413"/>
      <c r="E12" s="2449"/>
      <c r="F12" s="2449"/>
      <c r="G12" s="2449"/>
      <c r="H12" s="2448"/>
      <c r="I12" s="1413"/>
      <c r="J12" s="1413"/>
      <c r="K12" s="1413"/>
      <c r="L12" s="1456"/>
      <c r="M12" s="1756"/>
      <c r="N12" s="1756"/>
      <c r="O12" s="1781"/>
      <c r="P12" s="506"/>
      <c r="Q12" s="521"/>
      <c r="R12" s="501"/>
      <c r="S12" s="1424"/>
      <c r="T12" s="511" t="s">
        <v>435</v>
      </c>
      <c r="U12" s="746"/>
      <c r="V12" s="746"/>
      <c r="W12" s="746"/>
      <c r="X12" s="746"/>
      <c r="Y12" s="746"/>
      <c r="Z12" s="746"/>
      <c r="AA12" s="746"/>
      <c r="AB12" s="746"/>
      <c r="AC12" s="512"/>
      <c r="AD12" s="746"/>
      <c r="AE12" s="746"/>
      <c r="AF12" s="746"/>
      <c r="AG12" s="746"/>
      <c r="AH12" s="746"/>
      <c r="AI12" s="746"/>
      <c r="AJ12" s="746"/>
      <c r="AK12" s="512"/>
      <c r="AL12" s="746"/>
      <c r="AM12" s="449"/>
      <c r="AO12" s="1770"/>
      <c r="AP12" s="1770" t="str">
        <f>IF(T12="","",T12)</f>
        <v>Добавить схему подключения</v>
      </c>
      <c r="AQ12" s="1770"/>
      <c r="AR12" s="1770"/>
      <c r="AS12" s="1777">
        <v>0</v>
      </c>
    </row>
    <row s="6720" customFormat="1" customHeight="1" ht="0.75" hidden="1">
      <c r="A13" s="2117"/>
      <c r="B13" s="2117"/>
      <c r="C13" s="2117"/>
      <c r="D13" s="2117"/>
      <c r="E13" s="2449"/>
      <c r="F13" s="2449"/>
      <c r="G13" s="2448"/>
      <c r="H13" s="2117"/>
      <c r="I13" s="2117"/>
      <c r="J13" s="2117"/>
      <c r="K13" s="2117"/>
      <c r="L13" s="1526"/>
      <c r="M13" s="1756"/>
      <c r="N13" s="1756"/>
      <c r="O13" s="1781"/>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1397"/>
      <c r="AP13" s="1397" t="str">
        <f>IF(T13="","",T13)</f>
        <v>Добавить источник для дифференциации</v>
      </c>
      <c r="AQ13" s="1397"/>
      <c r="AR13" s="1397"/>
      <c r="AS13" s="1788">
        <v>0</v>
      </c>
    </row>
    <row s="6720" customFormat="1" customHeight="1" ht="0.75" hidden="1">
      <c r="A14" s="2117"/>
      <c r="B14" s="2117"/>
      <c r="C14" s="2117"/>
      <c r="D14" s="2117"/>
      <c r="E14" s="2449"/>
      <c r="F14" s="2448"/>
      <c r="G14" s="2117"/>
      <c r="H14" s="2117"/>
      <c r="I14" s="2117"/>
      <c r="J14" s="2117"/>
      <c r="K14" s="2117"/>
      <c r="L14" s="1526"/>
      <c r="M14" s="2118"/>
      <c r="N14" s="2118"/>
      <c r="O14" s="1781"/>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1397"/>
      <c r="AP14" s="1397" t="str">
        <f>IF(T14="","",T14)</f>
        <v>Добавить централизованную систему для дифференциации</v>
      </c>
      <c r="AQ14" s="1397"/>
      <c r="AR14" s="1397"/>
      <c r="AS14" s="1788">
        <v>0</v>
      </c>
    </row>
    <row s="6720" customFormat="1" customHeight="1" ht="0.75" hidden="1">
      <c r="A15" s="2117"/>
      <c r="B15" s="2117"/>
      <c r="C15" s="2117"/>
      <c r="D15" s="2117"/>
      <c r="E15" s="2448"/>
      <c r="F15" s="2117"/>
      <c r="G15" s="2117"/>
      <c r="H15" s="2117"/>
      <c r="I15" s="2117"/>
      <c r="J15" s="2117"/>
      <c r="K15" s="2117"/>
      <c r="L15" s="1526"/>
      <c r="M15" s="2118"/>
      <c r="N15" s="2118"/>
      <c r="O15" s="1781"/>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1397"/>
      <c r="AP15" s="1397" t="str">
        <f>IF(T15="","",T15)</f>
        <v>Добавить территорию для дифференциации</v>
      </c>
      <c r="AQ15" s="1397"/>
      <c r="AR15" s="1397"/>
      <c r="AS15" s="1788">
        <v>0</v>
      </c>
    </row>
    <row customHeight="1" ht="14.25" hidden="1">
      <c r="AS16" s="1777">
        <v>0</v>
      </c>
    </row>
    <row customHeight="1" ht="14.25" hidden="1">
      <c r="AD17" s="1506"/>
      <c r="AE17" s="1506"/>
      <c r="AF17" s="1506"/>
      <c r="AG17" s="1507"/>
      <c r="AH17" s="2426"/>
      <c r="AI17" s="2427" t="s">
        <v>63</v>
      </c>
      <c r="AJ17" s="2426"/>
      <c r="AK17" s="2427" t="s">
        <v>63</v>
      </c>
      <c r="AS17" s="1777">
        <v>0</v>
      </c>
    </row>
    <row customHeight="1" ht="14.25" hidden="1">
      <c r="AD18" s="1506"/>
      <c r="AE18" s="1506"/>
      <c r="AF18" s="1506"/>
      <c r="AG18" s="474" t="str">
        <f>AH17&amp;"-"&amp;AJ17</f>
        <v>-</v>
      </c>
      <c r="AH18" s="2427"/>
      <c r="AI18" s="2427"/>
      <c r="AJ18" s="2427"/>
      <c r="AK18" s="2427"/>
      <c r="AS18" s="1777">
        <v>0</v>
      </c>
    </row>
    <row customHeight="1" ht="14.25" hidden="1">
      <c r="AS19" s="1777">
        <v>0</v>
      </c>
    </row>
    <row s="7180" customFormat="1" customHeight="1" ht="22.5" hidden="1">
      <c r="A20" s="1777"/>
      <c r="B20" s="1777"/>
      <c r="C20" s="1777"/>
      <c r="D20" s="1777"/>
      <c r="E20" s="1777"/>
      <c r="F20" s="1777"/>
      <c r="G20" s="1777"/>
      <c r="H20" s="1777"/>
      <c r="I20" s="1777"/>
      <c r="J20" s="1777"/>
      <c r="K20" s="1777"/>
      <c r="L20" s="2082"/>
      <c r="M20" s="2108"/>
      <c r="N20" s="2108"/>
      <c r="O20" s="1491" t="s">
        <v>439</v>
      </c>
      <c r="P20" s="1508"/>
      <c r="Q20" s="1517"/>
      <c r="R20" s="1517"/>
      <c r="S20" s="875"/>
      <c r="Z20" s="1513"/>
      <c r="AB20" s="1513"/>
      <c r="AH20" s="1513"/>
      <c r="AJ20" s="1513"/>
      <c r="AN20" s="1782"/>
      <c r="AO20" s="1782"/>
      <c r="AP20" s="1782"/>
      <c r="AQ20" s="1782"/>
      <c r="AR20" s="1782"/>
      <c r="AS20" s="1512">
        <v>0</v>
      </c>
    </row>
    <row s="7180" customFormat="1" customHeight="1" ht="14.25" hidden="1">
      <c r="A21" s="1777"/>
      <c r="B21" s="1777"/>
      <c r="C21" s="1777"/>
      <c r="D21" s="1777"/>
      <c r="E21" s="1777"/>
      <c r="F21" s="1777"/>
      <c r="G21" s="1777"/>
      <c r="H21" s="1777"/>
      <c r="I21" s="1777"/>
      <c r="J21" s="1777"/>
      <c r="K21" s="1777"/>
      <c r="L21" s="2082"/>
      <c r="M21" s="2108"/>
      <c r="N21" s="2108"/>
      <c r="O21" s="2108"/>
      <c r="P21" s="1508"/>
      <c r="Q21" s="1517"/>
      <c r="R21" s="1517"/>
      <c r="S21" s="875"/>
      <c r="AN21" s="1782"/>
      <c r="AO21" s="1782"/>
      <c r="AP21" s="1782"/>
      <c r="AQ21" s="1782"/>
      <c r="AR21" s="1782"/>
      <c r="AS21" s="1512">
        <v>0</v>
      </c>
    </row>
    <row s="7180" customFormat="1" customHeight="1" ht="14.25" hidden="1">
      <c r="A22" s="1777"/>
      <c r="B22" s="1777"/>
      <c r="C22" s="1777"/>
      <c r="D22" s="1777"/>
      <c r="E22" s="1777"/>
      <c r="F22" s="1777"/>
      <c r="G22" s="1777"/>
      <c r="H22" s="1777"/>
      <c r="I22" s="1777"/>
      <c r="J22" s="1777"/>
      <c r="K22" s="1777"/>
      <c r="L22" s="2082"/>
      <c r="M22" s="2108"/>
      <c r="N22" s="2108"/>
      <c r="O22" s="1456" t="s">
        <v>440</v>
      </c>
      <c r="P22" s="1508"/>
      <c r="Q22" s="1517"/>
      <c r="R22" s="1517"/>
      <c r="S22" s="875"/>
      <c r="T22" s="1512" t="s">
        <v>441</v>
      </c>
      <c r="AA22" s="741" t="s">
        <v>442</v>
      </c>
      <c r="AC22" s="741" t="s">
        <v>443</v>
      </c>
      <c r="AD22" s="1512" t="s">
        <v>441</v>
      </c>
      <c r="AI22" s="741" t="s">
        <v>444</v>
      </c>
      <c r="AK22" s="741" t="s">
        <v>443</v>
      </c>
      <c r="AN22" s="1782"/>
      <c r="AO22" s="1782"/>
      <c r="AP22" s="1782"/>
      <c r="AQ22" s="1782"/>
      <c r="AR22" s="1782"/>
      <c r="AS22" s="1512">
        <v>0</v>
      </c>
    </row>
    <row customHeight="1" ht="14.25" hidden="1">
      <c r="O23" s="1456"/>
      <c r="AS23" s="1777">
        <v>0</v>
      </c>
    </row>
    <row customHeight="1" ht="14.25" hidden="1">
      <c r="O24" s="1456"/>
      <c r="AS24" s="1777">
        <v>0</v>
      </c>
    </row>
    <row customHeight="1" ht="14.699999999999998">
      <c r="Q25" s="522"/>
      <c r="R25" s="522"/>
      <c r="S25" s="1421"/>
      <c r="T25" s="603"/>
      <c r="U25" s="603"/>
      <c r="V25" s="1781"/>
      <c r="W25" s="1781"/>
      <c r="X25" s="1781"/>
      <c r="Y25" s="1781"/>
      <c r="Z25" s="1781"/>
      <c r="AA25" s="1781"/>
      <c r="AB25" s="1781"/>
      <c r="AC25" s="1781"/>
      <c r="AD25" s="1781"/>
      <c r="AE25" s="1781"/>
      <c r="AF25" s="1781"/>
      <c r="AG25" s="1781"/>
      <c r="AH25" s="1781"/>
      <c r="AI25" s="1781"/>
      <c r="AJ25" s="1781"/>
      <c r="AK25" s="1781"/>
      <c r="AS25" s="1777">
        <v>14</v>
      </c>
    </row>
    <row customHeight="1" ht="14.699999999999998">
      <c r="Q26" s="522"/>
      <c r="R26" s="522"/>
      <c r="S26" s="24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7"/>
      <c r="U26" s="2407"/>
      <c r="V26" s="2407"/>
      <c r="W26" s="2407"/>
      <c r="X26" s="2407"/>
      <c r="Y26" s="2407"/>
      <c r="Z26" s="2407"/>
      <c r="AA26" s="2407"/>
      <c r="AB26" s="2407"/>
      <c r="AC26" s="2407"/>
      <c r="AD26" s="2407"/>
      <c r="AE26" s="2407"/>
      <c r="AF26" s="2407"/>
      <c r="AG26" s="2407"/>
      <c r="AH26" s="2407"/>
      <c r="AI26" s="2407"/>
      <c r="AJ26" s="2407"/>
      <c r="AK26" s="1389"/>
      <c r="AS26" s="1777">
        <v>14</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777">
        <v>14</v>
      </c>
    </row>
    <row customHeight="1" ht="14.25" hidden="1">
      <c r="Q28" s="522"/>
      <c r="R28" s="522"/>
      <c r="S28" s="1421"/>
      <c r="T28" s="603"/>
      <c r="U28" s="603"/>
      <c r="V28" s="468"/>
      <c r="W28" s="468"/>
      <c r="X28" s="468"/>
      <c r="Y28" s="468"/>
      <c r="Z28" s="468"/>
      <c r="AA28" s="468"/>
      <c r="AB28" s="468"/>
      <c r="AC28" s="468"/>
      <c r="AD28" s="468"/>
      <c r="AE28" s="468"/>
      <c r="AF28" s="468"/>
      <c r="AG28" s="468"/>
      <c r="AH28" s="468"/>
      <c r="AI28" s="468"/>
      <c r="AJ28" s="468"/>
      <c r="AK28" s="468"/>
      <c r="AL28" s="1781"/>
      <c r="AS28" s="1777">
        <v>0</v>
      </c>
    </row>
    <row s="7809" customFormat="1" customHeight="1" ht="25.5" hidden="1">
      <c r="A29" s="1394"/>
      <c r="B29" s="1394"/>
      <c r="C29" s="1394"/>
      <c r="D29" s="1394"/>
      <c r="E29" s="1394"/>
      <c r="F29" s="1394"/>
      <c r="G29" s="1394"/>
      <c r="H29" s="1394"/>
      <c r="I29" s="1394"/>
      <c r="J29" s="1394"/>
      <c r="K29" s="1394"/>
      <c r="L29" s="1526"/>
      <c r="M29" s="1394"/>
      <c r="N29" s="1394"/>
      <c r="O29" s="1394"/>
      <c r="S29" s="2409" t="s">
        <v>42</v>
      </c>
      <c r="T29" s="2409"/>
      <c r="U29" s="1518"/>
      <c r="V29" s="2410" t="str">
        <f>IF(TITLE_NAME_OR_PR_CHANGE="",IF(TITLE_NAME_OR_PR="","",TITLE_NAME_OR_PR),TITLE_NAME_OR_PR_CHANGE)</f>
        <v/>
      </c>
      <c r="W29" s="2410"/>
      <c r="X29" s="2410"/>
      <c r="Y29" s="2410"/>
      <c r="Z29" s="2410"/>
      <c r="AA29" s="2410"/>
      <c r="AB29" s="2410"/>
      <c r="AC29" s="1781"/>
      <c r="AD29" s="2410" t="str">
        <f>IF(TITLE_NAME_OR_PR_CHANGE="",IF(TITLE_NAME_OR_PR="","",TITLE_NAME_OR_PR),TITLE_NAME_OR_PR_CHANGE)</f>
        <v/>
      </c>
      <c r="AE29" s="2410"/>
      <c r="AF29" s="2410"/>
      <c r="AG29" s="2410"/>
      <c r="AH29" s="2410"/>
      <c r="AI29" s="2410"/>
      <c r="AJ29" s="2410"/>
      <c r="AK29" s="1781"/>
      <c r="AL29" s="1781"/>
      <c r="AM29" s="426"/>
      <c r="AN29" s="514"/>
      <c r="AO29" s="514"/>
      <c r="AP29" s="514"/>
      <c r="AQ29" s="514"/>
      <c r="AR29" s="514"/>
      <c r="AS29" s="564">
        <v>0</v>
      </c>
    </row>
    <row s="7809" customFormat="1" customHeight="1" ht="18.75" hidden="1">
      <c r="A30" s="1394"/>
      <c r="B30" s="1394"/>
      <c r="C30" s="1394"/>
      <c r="D30" s="1394"/>
      <c r="E30" s="1394"/>
      <c r="F30" s="1394"/>
      <c r="G30" s="1394"/>
      <c r="H30" s="1394"/>
      <c r="I30" s="1394"/>
      <c r="J30" s="1394"/>
      <c r="K30" s="1394"/>
      <c r="L30" s="1526"/>
      <c r="M30" s="1394"/>
      <c r="N30" s="1394"/>
      <c r="O30" s="1394"/>
      <c r="S30" s="2409" t="s">
        <v>445</v>
      </c>
      <c r="T30" s="2409"/>
      <c r="U30" s="1518"/>
      <c r="V30" s="2423" t="str">
        <f>IF(TITLE_DATE_PR_CHANGE="",IF(TITLE_DATE_PR="","",TITLE_DATE_PR),TITLE_DATE_PR_CHANGE)</f>
        <v/>
      </c>
      <c r="W30" s="2423"/>
      <c r="X30" s="2423"/>
      <c r="Y30" s="2423"/>
      <c r="Z30" s="2423"/>
      <c r="AA30" s="2423"/>
      <c r="AB30" s="2423"/>
      <c r="AC30" s="1781"/>
      <c r="AD30" s="2423" t="str">
        <f>IF(TITLE_DATE_PR_CHANGE="",IF(TITLE_DATE_PR="","",TITLE_DATE_PR),TITLE_DATE_PR_CHANGE)</f>
        <v/>
      </c>
      <c r="AE30" s="2423"/>
      <c r="AF30" s="2423"/>
      <c r="AG30" s="2423"/>
      <c r="AH30" s="2423"/>
      <c r="AI30" s="2423"/>
      <c r="AJ30" s="2423"/>
      <c r="AK30" s="1781"/>
      <c r="AL30" s="1781"/>
      <c r="AM30" s="426"/>
      <c r="AN30" s="514"/>
      <c r="AO30" s="514"/>
      <c r="AP30" s="514"/>
      <c r="AQ30" s="514"/>
      <c r="AR30" s="514"/>
      <c r="AS30" s="564">
        <v>0</v>
      </c>
    </row>
    <row s="7809" customFormat="1" customHeight="1" ht="18.75" hidden="1">
      <c r="A31" s="1394"/>
      <c r="B31" s="1394"/>
      <c r="C31" s="1394"/>
      <c r="D31" s="1394"/>
      <c r="E31" s="1394"/>
      <c r="F31" s="1394"/>
      <c r="G31" s="1394"/>
      <c r="H31" s="1394"/>
      <c r="I31" s="1394"/>
      <c r="J31" s="1394"/>
      <c r="K31" s="1394"/>
      <c r="L31" s="1526"/>
      <c r="M31" s="1394"/>
      <c r="N31" s="1394"/>
      <c r="O31" s="1394"/>
      <c r="S31" s="2409" t="s">
        <v>446</v>
      </c>
      <c r="T31" s="2409"/>
      <c r="U31" s="1518"/>
      <c r="V31" s="2410" t="str">
        <f>IF(TITLE_NUMBER_PR_CHANGE="",IF(TITLE_NUMBER_PR="","",TITLE_NUMBER_PR),TITLE_NUMBER_PR_CHANGE)</f>
        <v/>
      </c>
      <c r="W31" s="2410"/>
      <c r="X31" s="2410"/>
      <c r="Y31" s="2410"/>
      <c r="Z31" s="2410"/>
      <c r="AA31" s="2410"/>
      <c r="AB31" s="2410"/>
      <c r="AC31" s="1781"/>
      <c r="AD31" s="2410" t="str">
        <f>IF(TITLE_NUMBER_PR_CHANGE="",IF(TITLE_NUMBER_PR="","",TITLE_NUMBER_PR),TITLE_NUMBER_PR_CHANGE)</f>
        <v/>
      </c>
      <c r="AE31" s="2410"/>
      <c r="AF31" s="2410"/>
      <c r="AG31" s="2410"/>
      <c r="AH31" s="2410"/>
      <c r="AI31" s="2410"/>
      <c r="AJ31" s="2410"/>
      <c r="AK31" s="1781"/>
      <c r="AL31" s="1781"/>
      <c r="AM31" s="426"/>
      <c r="AN31" s="514"/>
      <c r="AO31" s="514"/>
      <c r="AP31" s="514"/>
      <c r="AQ31" s="514"/>
      <c r="AR31" s="514"/>
      <c r="AS31" s="564">
        <v>0</v>
      </c>
    </row>
    <row s="7809" customFormat="1" customHeight="1" ht="18.75" hidden="1">
      <c r="A32" s="1394"/>
      <c r="B32" s="1394"/>
      <c r="C32" s="1394"/>
      <c r="D32" s="1394"/>
      <c r="E32" s="1394"/>
      <c r="F32" s="1394"/>
      <c r="G32" s="1394"/>
      <c r="H32" s="1394"/>
      <c r="I32" s="1394"/>
      <c r="J32" s="1394"/>
      <c r="K32" s="1394"/>
      <c r="L32" s="1526"/>
      <c r="M32" s="1394"/>
      <c r="N32" s="1394"/>
      <c r="O32" s="1394"/>
      <c r="S32" s="2409" t="s">
        <v>43</v>
      </c>
      <c r="T32" s="2409"/>
      <c r="U32" s="1518"/>
      <c r="V32" s="2410" t="str">
        <f>IF(TITLE_IST_PUB_CHANGE="",IF(TITLE_IST_PUB="","",TITLE_IST_PUB),TITLE_IST_PUB_CHANGE)</f>
        <v/>
      </c>
      <c r="W32" s="2410"/>
      <c r="X32" s="2410"/>
      <c r="Y32" s="2410"/>
      <c r="Z32" s="2410"/>
      <c r="AA32" s="2410"/>
      <c r="AB32" s="2410"/>
      <c r="AC32" s="1781"/>
      <c r="AD32" s="2410" t="str">
        <f>IF(TITLE_IST_PUB_CHANGE="",IF(TITLE_IST_PUB="","",TITLE_IST_PUB),TITLE_IST_PUB_CHANGE)</f>
        <v/>
      </c>
      <c r="AE32" s="2410"/>
      <c r="AF32" s="2410"/>
      <c r="AG32" s="2410"/>
      <c r="AH32" s="2410"/>
      <c r="AI32" s="2410"/>
      <c r="AJ32" s="2410"/>
      <c r="AK32" s="1781"/>
      <c r="AL32" s="1781"/>
      <c r="AM32" s="426"/>
      <c r="AN32" s="514"/>
      <c r="AO32" s="514"/>
      <c r="AP32" s="514"/>
      <c r="AQ32" s="514"/>
      <c r="AR32" s="514"/>
      <c r="AS32" s="564">
        <v>0</v>
      </c>
    </row>
    <row customHeight="1" ht="14.25" hidden="1">
      <c r="Q33" s="522"/>
      <c r="R33" s="522"/>
      <c r="S33" s="1421"/>
      <c r="T33" s="603"/>
      <c r="U33" s="603"/>
      <c r="V33" s="468"/>
      <c r="W33" s="468"/>
      <c r="X33" s="468"/>
      <c r="Y33" s="468"/>
      <c r="Z33" s="468"/>
      <c r="AA33" s="468"/>
      <c r="AB33" s="468"/>
      <c r="AC33" s="468"/>
      <c r="AD33" s="468"/>
      <c r="AE33" s="468"/>
      <c r="AF33" s="468"/>
      <c r="AG33" s="468"/>
      <c r="AH33" s="468"/>
      <c r="AI33" s="468"/>
      <c r="AJ33" s="468"/>
      <c r="AK33" s="468"/>
      <c r="AL33" s="1781"/>
      <c r="AS33" s="1777">
        <v>0</v>
      </c>
    </row>
    <row s="7809" customFormat="1" customHeight="1" ht="18.75" hidden="1">
      <c r="A34" s="1394"/>
      <c r="B34" s="1394"/>
      <c r="C34" s="1394"/>
      <c r="D34" s="1394"/>
      <c r="E34" s="1394"/>
      <c r="F34" s="1394"/>
      <c r="G34" s="1394"/>
      <c r="H34" s="1394"/>
      <c r="I34" s="1394"/>
      <c r="J34" s="1394"/>
      <c r="K34" s="1394"/>
      <c r="L34" s="1526"/>
      <c r="M34" s="1394"/>
      <c r="N34" s="1394"/>
      <c r="O34" s="1394"/>
      <c r="S34" s="2409" t="s">
        <v>447</v>
      </c>
      <c r="T34" s="2409"/>
      <c r="U34" s="1518"/>
      <c r="V34" s="2423" t="str">
        <f>IF(TITLE_DATE_PR_CHANGE="",IF(TITLE_DATE_PR="","",TITLE_DATE_PR),TITLE_DATE_PR_CHANGE)</f>
        <v/>
      </c>
      <c r="W34" s="2423"/>
      <c r="X34" s="2423"/>
      <c r="Y34" s="2423"/>
      <c r="Z34" s="2423"/>
      <c r="AA34" s="2423"/>
      <c r="AB34" s="2423"/>
      <c r="AC34" s="1781"/>
      <c r="AD34" s="2423" t="str">
        <f>IF(TITLE_DATE_PR_CHANGE="",IF(TITLE_DATE_PR="","",TITLE_DATE_PR),TITLE_DATE_PR_CHANGE)</f>
        <v/>
      </c>
      <c r="AE34" s="2423"/>
      <c r="AF34" s="2423"/>
      <c r="AG34" s="2423"/>
      <c r="AH34" s="2423"/>
      <c r="AI34" s="2423"/>
      <c r="AJ34" s="2423"/>
      <c r="AK34" s="1781"/>
      <c r="AL34" s="1781"/>
      <c r="AM34" s="426"/>
      <c r="AN34" s="514"/>
      <c r="AO34" s="514"/>
      <c r="AP34" s="514"/>
      <c r="AQ34" s="514"/>
      <c r="AR34" s="514"/>
      <c r="AS34" s="564">
        <v>0</v>
      </c>
    </row>
    <row s="7809" customFormat="1" customHeight="1" ht="18.75" hidden="1">
      <c r="A35" s="1394"/>
      <c r="B35" s="1394"/>
      <c r="C35" s="1394"/>
      <c r="D35" s="1394"/>
      <c r="E35" s="1394"/>
      <c r="F35" s="1394"/>
      <c r="G35" s="1394"/>
      <c r="H35" s="1394"/>
      <c r="I35" s="1394"/>
      <c r="J35" s="1394"/>
      <c r="K35" s="1394"/>
      <c r="L35" s="1526"/>
      <c r="M35" s="1394"/>
      <c r="N35" s="1394"/>
      <c r="O35" s="1394"/>
      <c r="S35" s="2409" t="s">
        <v>448</v>
      </c>
      <c r="T35" s="2409"/>
      <c r="U35" s="1518"/>
      <c r="V35" s="2410" t="str">
        <f>IF(TITLE_NUMBER_PR_CHANGE="",IF(TITLE_NUMBER_PR="","",TITLE_NUMBER_PR),TITLE_NUMBER_PR_CHANGE)</f>
        <v/>
      </c>
      <c r="W35" s="2410"/>
      <c r="X35" s="2410"/>
      <c r="Y35" s="2410"/>
      <c r="Z35" s="2410"/>
      <c r="AA35" s="2410"/>
      <c r="AB35" s="2410"/>
      <c r="AC35" s="1781"/>
      <c r="AD35" s="2410" t="str">
        <f>IF(TITLE_NUMBER_PR_CHANGE="",IF(TITLE_NUMBER_PR="","",TITLE_NUMBER_PR),TITLE_NUMBER_PR_CHANGE)</f>
        <v/>
      </c>
      <c r="AE35" s="2410"/>
      <c r="AF35" s="2410"/>
      <c r="AG35" s="2410"/>
      <c r="AH35" s="2410"/>
      <c r="AI35" s="2410"/>
      <c r="AJ35" s="2410"/>
      <c r="AK35" s="1781"/>
      <c r="AL35" s="1781"/>
      <c r="AM35" s="426"/>
      <c r="AN35" s="514"/>
      <c r="AO35" s="514"/>
      <c r="AP35" s="514"/>
      <c r="AQ35" s="514"/>
      <c r="AR35" s="514"/>
      <c r="AS35" s="564">
        <v>0</v>
      </c>
    </row>
    <row s="7809" customFormat="1" customHeight="1" ht="0">
      <c r="A36" s="1394"/>
      <c r="B36" s="1394"/>
      <c r="C36" s="1394"/>
      <c r="D36" s="1394"/>
      <c r="E36" s="1394"/>
      <c r="F36" s="1394"/>
      <c r="G36" s="1394"/>
      <c r="H36" s="1394"/>
      <c r="I36" s="1394"/>
      <c r="J36" s="1394"/>
      <c r="K36" s="1394"/>
      <c r="L36" s="1526"/>
      <c r="M36" s="1394"/>
      <c r="N36" s="1394"/>
      <c r="O36" s="1394"/>
      <c r="S36" s="1781"/>
      <c r="T36" s="1781"/>
      <c r="U36" s="2113"/>
      <c r="V36" s="1781"/>
      <c r="W36" s="1781"/>
      <c r="X36" s="1781"/>
      <c r="Y36" s="1781"/>
      <c r="Z36" s="1781"/>
      <c r="AA36" s="1781"/>
      <c r="AB36" s="1781"/>
      <c r="AC36" s="1788" t="s">
        <v>449</v>
      </c>
      <c r="AD36" s="1781"/>
      <c r="AE36" s="1781"/>
      <c r="AF36" s="1781"/>
      <c r="AG36" s="1781"/>
      <c r="AH36" s="1781"/>
      <c r="AI36" s="1781"/>
      <c r="AJ36" s="1781"/>
      <c r="AK36" s="1788" t="s">
        <v>449</v>
      </c>
      <c r="AN36" s="514"/>
      <c r="AO36" s="514"/>
      <c r="AP36" s="514"/>
      <c r="AQ36" s="514"/>
      <c r="AR36" s="514"/>
      <c r="AS36" s="564">
        <v>0</v>
      </c>
    </row>
    <row customHeight="1" ht="14.699999999999998">
      <c r="Q37" s="522"/>
      <c r="R37" s="522"/>
      <c r="S37" s="1421"/>
      <c r="T37" s="603"/>
      <c r="U37" s="1390"/>
      <c r="V37" s="2411"/>
      <c r="W37" s="2411"/>
      <c r="X37" s="2411"/>
      <c r="Y37" s="2411"/>
      <c r="Z37" s="2411"/>
      <c r="AA37" s="2411"/>
      <c r="AB37" s="2411"/>
      <c r="AC37" s="2411"/>
      <c r="AD37" s="2411"/>
      <c r="AE37" s="2411"/>
      <c r="AF37" s="2411"/>
      <c r="AG37" s="2411"/>
      <c r="AH37" s="2411"/>
      <c r="AI37" s="2411"/>
      <c r="AJ37" s="2411"/>
      <c r="AK37" s="2411"/>
      <c r="AS37" s="1777">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777">
        <v>14</v>
      </c>
    </row>
    <row customHeight="1" ht="14.699999999999998">
      <c r="Q39" s="522"/>
      <c r="R39" s="522"/>
      <c r="S39" s="2432" t="s">
        <v>89</v>
      </c>
      <c r="T39" s="2368" t="s">
        <v>450</v>
      </c>
      <c r="U39" s="483"/>
      <c r="V39" s="2433" t="s">
        <v>451</v>
      </c>
      <c r="W39" s="2434"/>
      <c r="X39" s="2434"/>
      <c r="Y39" s="2434"/>
      <c r="Z39" s="2434"/>
      <c r="AA39" s="2434"/>
      <c r="AB39" s="2435"/>
      <c r="AC39" s="2436" t="s">
        <v>452</v>
      </c>
      <c r="AD39" s="2433" t="s">
        <v>451</v>
      </c>
      <c r="AE39" s="2434"/>
      <c r="AF39" s="2434"/>
      <c r="AG39" s="2434"/>
      <c r="AH39" s="2434"/>
      <c r="AI39" s="2434"/>
      <c r="AJ39" s="2435"/>
      <c r="AK39" s="2436" t="s">
        <v>453</v>
      </c>
      <c r="AL39" s="2439" t="s">
        <v>454</v>
      </c>
      <c r="AM39" s="2286"/>
      <c r="AS39" s="1777">
        <v>14</v>
      </c>
    </row>
    <row customHeight="1" ht="35.699999999999996">
      <c r="Q40" s="522"/>
      <c r="R40" s="522"/>
      <c r="S40" s="2432"/>
      <c r="T40" s="2368"/>
      <c r="U40" s="1177"/>
      <c r="V40" s="2419" t="s">
        <v>455</v>
      </c>
      <c r="W40" s="2442" t="s">
        <v>456</v>
      </c>
      <c r="X40" s="2421" t="s">
        <v>457</v>
      </c>
      <c r="Y40" s="2422"/>
      <c r="Z40" s="2421" t="s">
        <v>471</v>
      </c>
      <c r="AA40" s="2428"/>
      <c r="AB40" s="2422"/>
      <c r="AC40" s="2437"/>
      <c r="AD40" s="2419" t="s">
        <v>455</v>
      </c>
      <c r="AE40" s="2442" t="s">
        <v>456</v>
      </c>
      <c r="AF40" s="2421" t="s">
        <v>457</v>
      </c>
      <c r="AG40" s="2422"/>
      <c r="AH40" s="2421" t="s">
        <v>458</v>
      </c>
      <c r="AI40" s="2428"/>
      <c r="AJ40" s="2422"/>
      <c r="AK40" s="2437"/>
      <c r="AL40" s="2440"/>
      <c r="AM40" s="2286"/>
      <c r="AS40" s="1777">
        <v>34</v>
      </c>
    </row>
    <row customHeight="1" ht="35.699999999999996">
      <c r="A41" s="1412"/>
      <c r="B41" s="1412" t="s">
        <v>159</v>
      </c>
      <c r="C41" s="1412" t="s">
        <v>160</v>
      </c>
      <c r="D41" s="1412" t="s">
        <v>161</v>
      </c>
      <c r="E41" s="1456" t="s">
        <v>459</v>
      </c>
      <c r="F41" s="1456" t="s">
        <v>460</v>
      </c>
      <c r="G41" s="1456" t="s">
        <v>461</v>
      </c>
      <c r="H41" s="1456" t="s">
        <v>462</v>
      </c>
      <c r="I41" s="1456" t="s">
        <v>463</v>
      </c>
      <c r="J41" s="1456" t="s">
        <v>464</v>
      </c>
      <c r="K41" s="1456" t="s">
        <v>465</v>
      </c>
      <c r="L41" s="1456" t="s">
        <v>440</v>
      </c>
      <c r="Q41" s="522"/>
      <c r="R41" s="522"/>
      <c r="S41" s="2432"/>
      <c r="T41" s="2368"/>
      <c r="U41" s="448"/>
      <c r="V41" s="2420"/>
      <c r="W41" s="2443"/>
      <c r="X41" s="2081" t="s">
        <v>466</v>
      </c>
      <c r="Y41" s="2081" t="s">
        <v>467</v>
      </c>
      <c r="Z41" s="2081" t="s">
        <v>468</v>
      </c>
      <c r="AA41" s="2429" t="s">
        <v>469</v>
      </c>
      <c r="AB41" s="2430"/>
      <c r="AC41" s="2438"/>
      <c r="AD41" s="2420"/>
      <c r="AE41" s="2443"/>
      <c r="AF41" s="2081" t="s">
        <v>466</v>
      </c>
      <c r="AG41" s="2081" t="s">
        <v>467</v>
      </c>
      <c r="AH41" s="2081" t="s">
        <v>468</v>
      </c>
      <c r="AI41" s="2429" t="s">
        <v>469</v>
      </c>
      <c r="AJ41" s="2430"/>
      <c r="AK41" s="2438"/>
      <c r="AL41" s="2441"/>
      <c r="AM41" s="2286"/>
      <c r="AS41" s="1777">
        <v>34</v>
      </c>
    </row>
    <row s="6314" customFormat="1" customHeight="1" ht="11.25" hidden="1">
      <c r="A42" s="1412"/>
      <c r="B42" s="1412"/>
      <c r="C42" s="1412"/>
      <c r="D42" s="1412"/>
      <c r="E42" s="1412"/>
      <c r="F42" s="1412"/>
      <c r="G42" s="1412"/>
      <c r="H42" s="1412"/>
      <c r="I42" s="1412"/>
      <c r="J42" s="1412"/>
      <c r="K42" s="1412"/>
      <c r="L42" s="1456"/>
      <c r="M42" s="2108"/>
      <c r="N42" s="2108"/>
      <c r="O42" s="2108"/>
      <c r="P42" s="1392"/>
      <c r="Q42" s="1393"/>
      <c r="R42" s="1400">
        <v>1</v>
      </c>
      <c r="S42" s="1423" t="s">
        <v>121</v>
      </c>
      <c r="T42" s="1401" t="s">
        <v>105</v>
      </c>
      <c r="U42" s="1391" t="str">
        <f>OFFSET(U42,0,-1)</f>
        <v>2</v>
      </c>
      <c r="V42" s="2099">
        <f>OFFSET(V42,0,-1)+1</f>
        <v>3</v>
      </c>
      <c r="W42" s="2099"/>
      <c r="X42" s="2099">
        <f>OFFSET(X42,0,-1)+1</f>
        <v>1</v>
      </c>
      <c r="Y42" s="2099">
        <f>OFFSET(Y42,0,-1)+1</f>
        <v>2</v>
      </c>
      <c r="Z42" s="2099">
        <f>OFFSET(Z42,0,-1)+1</f>
        <v>3</v>
      </c>
      <c r="AA42" s="2431">
        <f>OFFSET(AA42,0,-1)+1</f>
        <v>4</v>
      </c>
      <c r="AB42" s="2431"/>
      <c r="AC42" s="2099">
        <f>OFFSET(AC42,0,-2)+1</f>
        <v>5</v>
      </c>
      <c r="AD42" s="2099">
        <f>OFFSET(AD42,0,-1)+1</f>
        <v>6</v>
      </c>
      <c r="AE42" s="2099"/>
      <c r="AF42" s="2099">
        <f>OFFSET(AF42,0,-1)+1</f>
        <v>1</v>
      </c>
      <c r="AG42" s="2099">
        <f>OFFSET(AG42,0,-1)+1</f>
        <v>2</v>
      </c>
      <c r="AH42" s="2099">
        <f>OFFSET(AH42,0,-1)+1</f>
        <v>3</v>
      </c>
      <c r="AI42" s="2431">
        <f>OFFSET(AI42,0,-1)+1</f>
        <v>4</v>
      </c>
      <c r="AJ42" s="2431"/>
      <c r="AK42" s="2099">
        <f>OFFSET(AK42,0,-2)+1</f>
        <v>5</v>
      </c>
      <c r="AL42" s="1391">
        <f>OFFSET(AL42,0,-1)</f>
        <v>5</v>
      </c>
      <c r="AM42" s="2099">
        <f>OFFSET(AM42,0,-1)+1</f>
        <v>6</v>
      </c>
      <c r="AN42" s="1782"/>
      <c r="AO42" s="1782"/>
      <c r="AP42" s="1782"/>
      <c r="AQ42" s="1782"/>
      <c r="AR42" s="1782"/>
      <c r="AS42" s="1787">
        <v>0</v>
      </c>
    </row>
    <row customHeight="1" ht="22.049999999999997">
      <c r="A43" s="1413" t="s">
        <v>234</v>
      </c>
      <c r="B43" s="1413"/>
      <c r="C43" s="1413"/>
      <c r="D43" s="1413"/>
      <c r="E43" s="2448">
        <v>1</v>
      </c>
      <c r="F43" s="1413"/>
      <c r="G43" s="1413"/>
      <c r="H43" s="1413"/>
      <c r="I43" s="1413"/>
      <c r="J43" s="1413"/>
      <c r="K43" s="1413"/>
      <c r="L43" s="1456"/>
      <c r="M43" s="1756"/>
      <c r="N43" s="1756"/>
      <c r="O43" s="1756"/>
      <c r="P43" s="1736"/>
      <c r="Q43" s="506"/>
      <c r="R43" s="501"/>
      <c r="S43" s="2101">
        <f>INDEX(PT_DIFFERENTIATION_NUM_NTAR,MATCH(A43,PT_DIFFERENTIATION_NTAR_ID,0))</f>
        <v>0</v>
      </c>
      <c r="T43" s="1671"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70"/>
      <c r="AP43" s="1770" t="str">
        <f>IF(T43="","",T43)</f>
        <v>Наименование тарифа</v>
      </c>
      <c r="AQ43" s="1770"/>
      <c r="AR43" s="1770"/>
      <c r="AS43" s="1777">
        <v>21</v>
      </c>
    </row>
    <row customHeight="1" ht="22.049999999999997">
      <c r="A44" s="1413" t="s">
        <v>234</v>
      </c>
      <c r="B44" s="1413" t="s">
        <v>235</v>
      </c>
      <c r="C44" s="1413"/>
      <c r="D44" s="1413"/>
      <c r="E44" s="2449"/>
      <c r="F44" s="2448">
        <v>1</v>
      </c>
      <c r="G44" s="1413"/>
      <c r="H44" s="1413"/>
      <c r="I44" s="1413"/>
      <c r="J44" s="1413"/>
      <c r="K44" s="1413"/>
      <c r="L44" s="1456"/>
      <c r="M44" s="1756"/>
      <c r="N44" s="1756"/>
      <c r="O44" s="1756"/>
      <c r="P44" s="2083"/>
      <c r="Q44" s="498"/>
      <c r="R44" s="499"/>
      <c r="S44" s="2101" t="str">
        <f>INDEX(PT_DIFFERENTIATION_NUM_TER,MATCH(B44,PT_DIFFERENTIATION_TER_ID,0))</f>
        <v>.</v>
      </c>
      <c r="T44" s="1668"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1770"/>
      <c r="AP44" s="1770" t="str">
        <f>IF(T44="","",T44)</f>
        <v>Территория действия тарифа</v>
      </c>
      <c r="AQ44" s="1770"/>
      <c r="AR44" s="1770"/>
      <c r="AS44" s="1777">
        <v>21</v>
      </c>
    </row>
    <row customHeight="1" ht="24">
      <c r="A45" s="1413" t="s">
        <v>234</v>
      </c>
      <c r="B45" s="1413" t="s">
        <v>235</v>
      </c>
      <c r="C45" s="1413" t="s">
        <v>236</v>
      </c>
      <c r="D45" s="1413"/>
      <c r="E45" s="2449"/>
      <c r="F45" s="2449"/>
      <c r="G45" s="2448">
        <v>1</v>
      </c>
      <c r="H45" s="1413"/>
      <c r="I45" s="1413"/>
      <c r="J45" s="1413"/>
      <c r="K45" s="1413"/>
      <c r="L45" s="1456"/>
      <c r="M45" s="1756"/>
      <c r="N45" s="1756"/>
      <c r="O45" s="1756"/>
      <c r="P45" s="500"/>
      <c r="Q45" s="498"/>
      <c r="R45" s="499"/>
      <c r="S45" s="2101"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1770"/>
      <c r="AP45" s="1770" t="str">
        <f>IF(T45="","",T45)</f>
        <v>Наименование системы теплоснабжения </v>
      </c>
      <c r="AQ45" s="1770"/>
      <c r="AR45" s="1770"/>
      <c r="AS45" s="1777">
        <v>23</v>
      </c>
    </row>
    <row customHeight="1" ht="22.049999999999997">
      <c r="A46" s="1413" t="s">
        <v>234</v>
      </c>
      <c r="B46" s="1413" t="s">
        <v>235</v>
      </c>
      <c r="C46" s="1413" t="s">
        <v>236</v>
      </c>
      <c r="D46" s="1413" t="s">
        <v>237</v>
      </c>
      <c r="E46" s="2449"/>
      <c r="F46" s="2449"/>
      <c r="G46" s="2449"/>
      <c r="H46" s="2448">
        <v>1</v>
      </c>
      <c r="I46" s="1413"/>
      <c r="J46" s="1413"/>
      <c r="K46" s="1413"/>
      <c r="L46" s="1456"/>
      <c r="M46" s="1756"/>
      <c r="N46" s="1756"/>
      <c r="O46" s="1756"/>
      <c r="P46" s="500"/>
      <c r="Q46" s="498"/>
      <c r="R46" s="499"/>
      <c r="S46" s="2101"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1770"/>
      <c r="AP46" s="1770" t="str">
        <f>IF(T46="","",T46)</f>
        <v>Источник тепловой энергии  </v>
      </c>
      <c r="AQ46" s="1770"/>
      <c r="AR46" s="1770"/>
      <c r="AS46" s="1777">
        <v>21</v>
      </c>
    </row>
    <row customHeight="1" ht="49.5">
      <c r="A47" s="1413" t="s">
        <v>234</v>
      </c>
      <c r="B47" s="1413" t="s">
        <v>235</v>
      </c>
      <c r="C47" s="1413" t="s">
        <v>236</v>
      </c>
      <c r="D47" s="1413" t="s">
        <v>237</v>
      </c>
      <c r="E47" s="2449"/>
      <c r="F47" s="2449"/>
      <c r="G47" s="2449"/>
      <c r="H47" s="2449"/>
      <c r="I47" s="2286" t="str">
        <f>S46&amp;".1"</f>
        <v>....1</v>
      </c>
      <c r="J47" s="1413"/>
      <c r="K47" s="1413"/>
      <c r="L47" s="1456" t="s">
        <v>425</v>
      </c>
      <c r="P47" s="2416">
        <v>1</v>
      </c>
      <c r="Q47" s="2097"/>
      <c r="R47" s="502"/>
      <c r="S47" s="2101" t="str">
        <f>$I47</f>
        <v>....1</v>
      </c>
      <c r="T47" s="431" t="s">
        <v>426</v>
      </c>
      <c r="U47" s="446"/>
      <c r="V47" s="2404"/>
      <c r="W47" s="2405"/>
      <c r="X47" s="2405"/>
      <c r="Y47" s="2405"/>
      <c r="Z47" s="2405"/>
      <c r="AA47" s="2405"/>
      <c r="AB47" s="2405"/>
      <c r="AC47" s="2406"/>
      <c r="AD47" s="2404"/>
      <c r="AE47" s="2405"/>
      <c r="AF47" s="2405"/>
      <c r="AG47" s="2405"/>
      <c r="AH47" s="2405"/>
      <c r="AI47" s="2405"/>
      <c r="AJ47" s="2405"/>
      <c r="AK47" s="2405"/>
      <c r="AL47" s="2406"/>
      <c r="AM47" s="1404" t="s">
        <v>427</v>
      </c>
      <c r="AO47" s="1770"/>
      <c r="AP47" s="1770" t="str">
        <f>IF(T47="","",T47)</f>
        <v>Схема подключения теплопотребляющей установки к коллектору источника тепловой энергии</v>
      </c>
      <c r="AQ47" s="1770"/>
      <c r="AR47" s="1770"/>
      <c r="AS47" s="1777">
        <v>47</v>
      </c>
    </row>
    <row customHeight="1" ht="22.049999999999997">
      <c r="A48" s="1413" t="s">
        <v>234</v>
      </c>
      <c r="B48" s="1413" t="s">
        <v>235</v>
      </c>
      <c r="C48" s="1413" t="s">
        <v>236</v>
      </c>
      <c r="D48" s="1413" t="s">
        <v>237</v>
      </c>
      <c r="E48" s="2449"/>
      <c r="F48" s="2449"/>
      <c r="G48" s="2449"/>
      <c r="H48" s="2449"/>
      <c r="I48" s="2260"/>
      <c r="J48" s="2286" t="str">
        <f>I47&amp;".1"</f>
        <v>....1.1</v>
      </c>
      <c r="K48" s="1413"/>
      <c r="L48" s="1456" t="s">
        <v>428</v>
      </c>
      <c r="P48" s="2416"/>
      <c r="Q48" s="2416">
        <v>1</v>
      </c>
      <c r="R48" s="503"/>
      <c r="S48" s="2101" t="str">
        <f>$J48</f>
        <v>....1.1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1770"/>
      <c r="AP48" s="1770" t="str">
        <f>IF(T48="","",T48)</f>
        <v>Группа потребителей</v>
      </c>
      <c r="AQ48" s="1770"/>
      <c r="AR48" s="1770"/>
      <c r="AS48" s="1777">
        <v>21</v>
      </c>
    </row>
    <row customHeight="1" ht="22.049999999999997">
      <c r="A49" s="1413" t="s">
        <v>234</v>
      </c>
      <c r="B49" s="1413" t="s">
        <v>235</v>
      </c>
      <c r="C49" s="1413" t="s">
        <v>236</v>
      </c>
      <c r="D49" s="1413" t="s">
        <v>237</v>
      </c>
      <c r="E49" s="2449"/>
      <c r="F49" s="2449"/>
      <c r="G49" s="2449"/>
      <c r="H49" s="2449"/>
      <c r="I49" s="2260"/>
      <c r="J49" s="2260"/>
      <c r="K49" s="2286" t="str">
        <f>J48&amp;".1"</f>
        <v>....1.1.1</v>
      </c>
      <c r="L49" s="1456" t="s">
        <v>431</v>
      </c>
      <c r="P49" s="2416"/>
      <c r="Q49" s="2416"/>
      <c r="R49" s="503">
        <v>1</v>
      </c>
      <c r="S49" s="2101" t="str">
        <f>$K49</f>
        <v>....1.1.1</v>
      </c>
      <c r="T49" s="1493"/>
      <c r="U49" s="446"/>
      <c r="V49" s="897"/>
      <c r="W49" s="471"/>
      <c r="X49" s="897"/>
      <c r="Y49" s="1403"/>
      <c r="Z49" s="2424"/>
      <c r="AA49" s="2266" t="s">
        <v>63</v>
      </c>
      <c r="AB49" s="2424"/>
      <c r="AC49" s="2266" t="s">
        <v>63</v>
      </c>
      <c r="AD49" s="897"/>
      <c r="AE49" s="471"/>
      <c r="AF49" s="897"/>
      <c r="AG49" s="1403"/>
      <c r="AH49" s="2424"/>
      <c r="AI49" s="2266" t="s">
        <v>63</v>
      </c>
      <c r="AJ49" s="2446"/>
      <c r="AK49" s="2266" t="s">
        <v>63</v>
      </c>
      <c r="AL49" s="1494"/>
      <c r="AM49" s="2412" t="s">
        <v>432</v>
      </c>
      <c r="AN49" s="1782">
        <f>STRCHECKDATE(V50:AL50)</f>
      </c>
      <c r="AO49" s="1770"/>
      <c r="AP49" s="1770" t="str">
        <f>IF(T49="","",T49)</f>
        <v/>
      </c>
      <c r="AQ49" s="1770"/>
      <c r="AR49" s="1770"/>
      <c r="AS49" s="1777">
        <v>21</v>
      </c>
    </row>
    <row customHeight="1" ht="1.05">
      <c r="A50" s="1413" t="s">
        <v>234</v>
      </c>
      <c r="B50" s="1413" t="s">
        <v>235</v>
      </c>
      <c r="C50" s="1413" t="s">
        <v>236</v>
      </c>
      <c r="D50" s="1413" t="s">
        <v>237</v>
      </c>
      <c r="E50" s="2449"/>
      <c r="F50" s="2449"/>
      <c r="G50" s="2449"/>
      <c r="H50" s="2449"/>
      <c r="I50" s="2260"/>
      <c r="J50" s="2260"/>
      <c r="K50" s="2286"/>
      <c r="L50" s="1456"/>
      <c r="P50" s="2416"/>
      <c r="Q50" s="2416"/>
      <c r="R50" s="503"/>
      <c r="S50" s="2110"/>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1770"/>
      <c r="AP50" s="1770" t="str">
        <f>IF(T50="","",T50)</f>
        <v/>
      </c>
      <c r="AQ50" s="1770"/>
      <c r="AR50" s="1770"/>
      <c r="AS50" s="1777">
        <v>1</v>
      </c>
    </row>
    <row customHeight="1" ht="11.549999999999999">
      <c r="A51" s="1413" t="s">
        <v>234</v>
      </c>
      <c r="B51" s="1413" t="s">
        <v>235</v>
      </c>
      <c r="C51" s="1413" t="s">
        <v>236</v>
      </c>
      <c r="D51" s="1413" t="s">
        <v>237</v>
      </c>
      <c r="E51" s="2449"/>
      <c r="F51" s="2449"/>
      <c r="G51" s="2449"/>
      <c r="H51" s="2449"/>
      <c r="I51" s="2260"/>
      <c r="J51" s="2286"/>
      <c r="K51" s="1413"/>
      <c r="L51" s="1456"/>
      <c r="P51" s="2416"/>
      <c r="Q51" s="2416"/>
      <c r="R51" s="502"/>
      <c r="S51" s="1424"/>
      <c r="T51" s="434" t="s">
        <v>433</v>
      </c>
      <c r="U51" s="746"/>
      <c r="V51" s="746"/>
      <c r="W51" s="746"/>
      <c r="X51" s="746"/>
      <c r="Y51" s="746"/>
      <c r="Z51" s="746"/>
      <c r="AA51" s="746"/>
      <c r="AB51" s="746"/>
      <c r="AC51" s="746"/>
      <c r="AD51" s="746"/>
      <c r="AE51" s="746"/>
      <c r="AF51" s="746"/>
      <c r="AG51" s="746"/>
      <c r="AH51" s="746"/>
      <c r="AI51" s="746"/>
      <c r="AJ51" s="746"/>
      <c r="AK51" s="746"/>
      <c r="AL51" s="470"/>
      <c r="AM51" s="2414"/>
      <c r="AO51" s="1770"/>
      <c r="AP51" s="1770" t="str">
        <f>IF(T51="","",T51)</f>
        <v>Добавить вид теплоносителя (параметры теплоносителя)</v>
      </c>
      <c r="AQ51" s="1770"/>
      <c r="AR51" s="1770"/>
      <c r="AS51" s="1777">
        <v>11</v>
      </c>
    </row>
    <row customHeight="1" ht="11.549999999999999">
      <c r="A52" s="1413" t="s">
        <v>234</v>
      </c>
      <c r="B52" s="1413" t="s">
        <v>235</v>
      </c>
      <c r="C52" s="1413" t="s">
        <v>236</v>
      </c>
      <c r="D52" s="1413" t="s">
        <v>237</v>
      </c>
      <c r="E52" s="2449"/>
      <c r="F52" s="2449"/>
      <c r="G52" s="2449"/>
      <c r="H52" s="2449"/>
      <c r="I52" s="2286"/>
      <c r="J52" s="1413"/>
      <c r="K52" s="1413"/>
      <c r="L52" s="1456"/>
      <c r="P52" s="2416"/>
      <c r="Q52" s="2097"/>
      <c r="R52" s="502"/>
      <c r="S52" s="1424"/>
      <c r="T52" s="433" t="s">
        <v>434</v>
      </c>
      <c r="U52" s="746"/>
      <c r="V52" s="746"/>
      <c r="W52" s="746"/>
      <c r="X52" s="746"/>
      <c r="Y52" s="746"/>
      <c r="Z52" s="746"/>
      <c r="AA52" s="746"/>
      <c r="AB52" s="746"/>
      <c r="AC52" s="512"/>
      <c r="AD52" s="746"/>
      <c r="AE52" s="746"/>
      <c r="AF52" s="746"/>
      <c r="AG52" s="746"/>
      <c r="AH52" s="746"/>
      <c r="AI52" s="746"/>
      <c r="AJ52" s="746"/>
      <c r="AK52" s="512"/>
      <c r="AL52" s="746"/>
      <c r="AM52" s="449"/>
      <c r="AO52" s="1770"/>
      <c r="AP52" s="1770" t="str">
        <f>IF(T52="","",T52)</f>
        <v>Добавить группу потребителей</v>
      </c>
      <c r="AQ52" s="1770"/>
      <c r="AR52" s="1770"/>
      <c r="AS52" s="1777">
        <v>11</v>
      </c>
    </row>
    <row customHeight="1" ht="14.699999999999998">
      <c r="A53" s="1413" t="s">
        <v>234</v>
      </c>
      <c r="B53" s="1413" t="s">
        <v>235</v>
      </c>
      <c r="C53" s="1413" t="s">
        <v>236</v>
      </c>
      <c r="D53" s="1413" t="s">
        <v>237</v>
      </c>
      <c r="E53" s="2449"/>
      <c r="F53" s="2449"/>
      <c r="G53" s="2449"/>
      <c r="H53" s="2448"/>
      <c r="I53" s="1413"/>
      <c r="J53" s="1413"/>
      <c r="K53" s="1413"/>
      <c r="L53" s="1456"/>
      <c r="M53" s="1756"/>
      <c r="N53" s="1756"/>
      <c r="O53" s="1781"/>
      <c r="P53" s="506"/>
      <c r="Q53" s="521"/>
      <c r="R53" s="501"/>
      <c r="S53" s="1424"/>
      <c r="T53" s="511" t="s">
        <v>435</v>
      </c>
      <c r="U53" s="746"/>
      <c r="V53" s="746"/>
      <c r="W53" s="746"/>
      <c r="X53" s="746"/>
      <c r="Y53" s="746"/>
      <c r="Z53" s="746"/>
      <c r="AA53" s="746"/>
      <c r="AB53" s="746"/>
      <c r="AC53" s="512"/>
      <c r="AD53" s="746"/>
      <c r="AE53" s="746"/>
      <c r="AF53" s="746"/>
      <c r="AG53" s="746"/>
      <c r="AH53" s="746"/>
      <c r="AI53" s="746"/>
      <c r="AJ53" s="746"/>
      <c r="AK53" s="512"/>
      <c r="AL53" s="746"/>
      <c r="AM53" s="449"/>
      <c r="AO53" s="1770"/>
      <c r="AP53" s="1770" t="str">
        <f>IF(T53="","",T53)</f>
        <v>Добавить схему подключения</v>
      </c>
      <c r="AQ53" s="1770"/>
      <c r="AR53" s="1770"/>
      <c r="AS53" s="1777">
        <v>14</v>
      </c>
    </row>
    <row s="6720" customFormat="1" customHeight="1" ht="1.05">
      <c r="A54" s="1413" t="s">
        <v>234</v>
      </c>
      <c r="B54" s="1413" t="s">
        <v>235</v>
      </c>
      <c r="C54" s="1413" t="s">
        <v>236</v>
      </c>
      <c r="D54" s="2117"/>
      <c r="E54" s="2449"/>
      <c r="F54" s="2449"/>
      <c r="G54" s="2448"/>
      <c r="H54" s="2117"/>
      <c r="I54" s="2117"/>
      <c r="J54" s="2117"/>
      <c r="K54" s="2117"/>
      <c r="L54" s="1526"/>
      <c r="M54" s="1756"/>
      <c r="N54" s="1756"/>
      <c r="O54" s="1781"/>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1397"/>
      <c r="AP54" s="1397" t="str">
        <f>IF(T54="","",T54)</f>
        <v>Добавить источник для дифференциации</v>
      </c>
      <c r="AQ54" s="1397"/>
      <c r="AR54" s="1397"/>
      <c r="AS54" s="1788">
        <v>1</v>
      </c>
    </row>
    <row s="6720" customFormat="1" customHeight="1" ht="1.05">
      <c r="A55" s="1413" t="s">
        <v>234</v>
      </c>
      <c r="B55" s="1413" t="s">
        <v>235</v>
      </c>
      <c r="C55" s="2117"/>
      <c r="D55" s="2117"/>
      <c r="E55" s="2449"/>
      <c r="F55" s="2448"/>
      <c r="G55" s="2117"/>
      <c r="H55" s="2117"/>
      <c r="I55" s="2117"/>
      <c r="J55" s="2117"/>
      <c r="K55" s="2117"/>
      <c r="L55" s="1526"/>
      <c r="M55" s="2118"/>
      <c r="N55" s="2118"/>
      <c r="O55" s="1781"/>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1397"/>
      <c r="AP55" s="1397" t="str">
        <f>IF(T55="","",T55)</f>
        <v>Добавить централизованную систему для дифференциации</v>
      </c>
      <c r="AQ55" s="1397"/>
      <c r="AR55" s="1397"/>
      <c r="AS55" s="1788">
        <v>1</v>
      </c>
    </row>
    <row s="6720" customFormat="1" customHeight="1" ht="1.05">
      <c r="A56" s="1413" t="s">
        <v>234</v>
      </c>
      <c r="B56" s="1413"/>
      <c r="C56" s="1413"/>
      <c r="D56" s="1413"/>
      <c r="E56" s="2448"/>
      <c r="F56" s="1413"/>
      <c r="G56" s="1413"/>
      <c r="H56" s="1413"/>
      <c r="I56" s="1413"/>
      <c r="J56" s="1413"/>
      <c r="K56" s="1413"/>
      <c r="L56" s="1456"/>
      <c r="M56" s="2118"/>
      <c r="N56" s="2118"/>
      <c r="O56" s="1781"/>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1770"/>
      <c r="AP56" s="1770" t="str">
        <f>IF(T56="","",T56)</f>
        <v>Добавить территорию для дифференциации</v>
      </c>
      <c r="AQ56" s="1770"/>
      <c r="AR56" s="1770"/>
      <c r="AS56" s="1782">
        <v>1</v>
      </c>
    </row>
    <row s="6720" customFormat="1" customHeight="1" ht="1.05">
      <c r="A57" s="2117"/>
      <c r="B57" s="2117"/>
      <c r="C57" s="2117"/>
      <c r="D57" s="2117"/>
      <c r="E57" s="1413"/>
      <c r="F57" s="2117"/>
      <c r="G57" s="2117"/>
      <c r="H57" s="2117"/>
      <c r="I57" s="2117"/>
      <c r="J57" s="2117"/>
      <c r="K57" s="2117"/>
      <c r="L57" s="1526"/>
      <c r="M57" s="2118"/>
      <c r="N57" s="2118"/>
      <c r="O57" s="1781"/>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1397"/>
      <c r="AP57" s="1397" t="str">
        <f>IF(T57="","",T57)</f>
        <v>Добавить наименование тарифа</v>
      </c>
      <c r="AQ57" s="1397"/>
      <c r="AR57" s="1397"/>
      <c r="AS57" s="1788">
        <v>1</v>
      </c>
    </row>
    <row customHeight="1" ht="11.549999999999999">
      <c r="M58" s="1777"/>
      <c r="N58" s="1777"/>
      <c r="O58" s="1781"/>
      <c r="P58" s="1777"/>
      <c r="Q58" s="1777"/>
      <c r="R58" s="1777"/>
      <c r="S58" s="1777"/>
      <c r="AN58" s="1777"/>
      <c r="AO58" s="1777"/>
      <c r="AP58" s="1777"/>
      <c r="AQ58" s="1777"/>
      <c r="AR58" s="1777"/>
      <c r="AS58" s="1777">
        <v>11</v>
      </c>
    </row>
    <row customHeight="1" ht="28.5">
      <c r="O59" s="1781"/>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777">
        <v>27</v>
      </c>
    </row>
    <row customHeight="1" ht="65.25">
      <c r="O60" s="1781"/>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777">
        <v>62</v>
      </c>
    </row>
    <row customHeight="1" ht="14.699999999999998">
      <c r="O61" s="1781"/>
      <c r="AS61" s="1777">
        <v>14</v>
      </c>
    </row>
    <row customHeight="1" ht="18.75">
      <c r="O62" s="1781"/>
      <c r="S62" s="1399"/>
      <c r="T62" s="2444"/>
      <c r="U62" s="2444"/>
      <c r="V62" s="2444"/>
      <c r="W62" s="2444"/>
      <c r="X62" s="2444"/>
      <c r="Y62" s="2444"/>
      <c r="Z62" s="2444"/>
      <c r="AA62" s="2444"/>
      <c r="AB62" s="2444"/>
      <c r="AC62" s="2444"/>
      <c r="AD62" s="2444"/>
      <c r="AE62" s="2444"/>
      <c r="AF62" s="2444"/>
      <c r="AG62" s="2444"/>
      <c r="AH62" s="2444"/>
      <c r="AI62" s="2444"/>
      <c r="AJ62" s="2444"/>
      <c r="AK62" s="2444"/>
      <c r="AL62" s="2444"/>
      <c r="AM62" s="2444"/>
      <c r="AS62" s="1777">
        <v>18</v>
      </c>
    </row>
    <row customHeight="1" ht="18.75">
      <c r="O63" s="1781"/>
      <c r="T63" s="2444"/>
      <c r="U63" s="2444"/>
      <c r="V63" s="2444"/>
      <c r="W63" s="2444"/>
      <c r="X63" s="2444"/>
      <c r="Y63" s="2444"/>
      <c r="Z63" s="2444"/>
      <c r="AA63" s="2444"/>
      <c r="AB63" s="2444"/>
      <c r="AC63" s="2444"/>
      <c r="AD63" s="2444"/>
      <c r="AE63" s="2444"/>
      <c r="AF63" s="2444"/>
      <c r="AG63" s="2444"/>
      <c r="AH63" s="2444"/>
      <c r="AI63" s="2444"/>
      <c r="AJ63" s="2444"/>
      <c r="AK63" s="2444"/>
      <c r="AL63" s="2444"/>
      <c r="AM63" s="2444"/>
      <c r="AS63" s="1777">
        <v>18</v>
      </c>
    </row>
    <row customHeight="1" ht="29.25">
      <c r="O64" s="1781"/>
      <c r="S64" s="1399"/>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777">
        <v>28</v>
      </c>
    </row>
    <row customHeight="1" ht="22.5" hidden="1">
      <c r="A65" s="1777" t="s">
        <v>83</v>
      </c>
      <c r="B65" s="1777">
        <v>0</v>
      </c>
      <c r="C65" s="1777">
        <v>0</v>
      </c>
      <c r="D65" s="1777">
        <v>0</v>
      </c>
      <c r="E65" s="1777">
        <v>0</v>
      </c>
      <c r="F65" s="1777">
        <v>0</v>
      </c>
      <c r="G65" s="1777">
        <v>0</v>
      </c>
      <c r="H65" s="1777">
        <v>0</v>
      </c>
      <c r="I65" s="1777">
        <v>0</v>
      </c>
      <c r="J65" s="1777">
        <v>0</v>
      </c>
      <c r="K65" s="1777">
        <v>0</v>
      </c>
      <c r="L65" s="2082">
        <v>0</v>
      </c>
      <c r="M65" s="2108">
        <v>0</v>
      </c>
      <c r="N65" s="2108">
        <v>0</v>
      </c>
      <c r="O65" s="2108">
        <v>0</v>
      </c>
      <c r="P65" s="2108">
        <v>3</v>
      </c>
      <c r="Q65" s="490">
        <v>3</v>
      </c>
      <c r="R65" s="490">
        <v>3</v>
      </c>
      <c r="S65" s="727">
        <v>12</v>
      </c>
      <c r="T65" s="1777">
        <v>31</v>
      </c>
      <c r="U65" s="1777">
        <v>0</v>
      </c>
      <c r="V65" s="1777">
        <v>0</v>
      </c>
      <c r="W65" s="1777">
        <v>0</v>
      </c>
      <c r="X65" s="1777">
        <v>0</v>
      </c>
      <c r="Y65" s="1777">
        <v>0</v>
      </c>
      <c r="Z65" s="1777">
        <v>0</v>
      </c>
      <c r="AA65" s="1777">
        <v>0</v>
      </c>
      <c r="AB65" s="1777">
        <v>0</v>
      </c>
      <c r="AC65" s="1777">
        <v>0</v>
      </c>
      <c r="AD65" s="1777">
        <v>24</v>
      </c>
      <c r="AE65" s="1777">
        <v>0</v>
      </c>
      <c r="AF65" s="1777">
        <v>24</v>
      </c>
      <c r="AG65" s="1777">
        <v>24</v>
      </c>
      <c r="AH65" s="1777">
        <v>11</v>
      </c>
      <c r="AI65" s="1777">
        <v>3</v>
      </c>
      <c r="AJ65" s="1777">
        <v>11</v>
      </c>
      <c r="AK65" s="1777">
        <v>0</v>
      </c>
      <c r="AL65" s="1777">
        <v>4</v>
      </c>
      <c r="AM65" s="1777">
        <v>115</v>
      </c>
      <c r="AN65" s="1782">
        <v>10</v>
      </c>
      <c r="AO65" s="1782">
        <v>10</v>
      </c>
      <c r="AP65" s="1782">
        <v>10</v>
      </c>
      <c r="AQ65" s="1782">
        <v>10</v>
      </c>
      <c r="AR65" s="1782">
        <v>10</v>
      </c>
      <c r="AS65" s="177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6D1B07-8896-380E-6C24-0.449AB5F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1.00390625" customWidth="1"/>
    <col min="21" max="21" style="7235" width="0.7109375" hidden="1" customWidth="1"/>
    <col min="22" max="22" style="7235" width="1.7109375" hidden="1" customWidth="1"/>
    <col min="23" max="23" style="7235" width="24.7109375" hidden="1" customWidth="1"/>
    <col min="24" max="25" style="7235" width="0.14062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0.140625" customWidth="1"/>
    <col min="31" max="31" style="7235" width="24.00390625" customWidth="1"/>
    <col min="32" max="33" style="7235" width="0.14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10.57421875" hidden="1"/>
  </cols>
  <sheetData>
    <row customHeight="1" ht="22.5" hidden="1">
      <c r="Y1" s="473"/>
      <c r="Z1" s="473"/>
      <c r="AG1" s="473"/>
      <c r="AH1" s="473"/>
      <c r="AS1" s="1301" t="s">
        <v>14</v>
      </c>
    </row>
    <row customHeight="1" ht="21" hidden="1">
      <c r="A2" s="1509"/>
      <c r="B2" s="1509"/>
      <c r="C2" s="1509"/>
      <c r="D2" s="1509"/>
      <c r="E2" s="2417">
        <v>1</v>
      </c>
      <c r="F2" s="1509"/>
      <c r="G2" s="1509"/>
      <c r="H2" s="1509"/>
      <c r="I2" s="1509"/>
      <c r="J2" s="1509"/>
      <c r="K2" s="1509"/>
      <c r="L2" s="1510"/>
      <c r="M2" s="1511"/>
      <c r="N2" s="1511"/>
      <c r="O2" s="1511"/>
      <c r="P2" s="507"/>
      <c r="Q2" s="506"/>
      <c r="R2" s="501"/>
      <c r="S2" s="1482">
        <f>INDEX(PT_DIFFERENTIATION_NUM_NTAR,MATCH(A2,PT_DIFFERENTIATION_NTAR_ID,0))</f>
      </c>
      <c r="T2" s="444"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646"/>
      <c r="AP2" s="646" t="str">
        <f>IF(T2="","",T2)</f>
        <v>Наименование тарифа</v>
      </c>
      <c r="AQ2" s="646"/>
      <c r="AR2" s="646"/>
      <c r="AS2" s="1301">
        <v>0</v>
      </c>
    </row>
    <row customHeight="1" ht="21" hidden="1">
      <c r="A3" s="1509"/>
      <c r="B3" s="1509"/>
      <c r="C3" s="1509"/>
      <c r="D3" s="1509"/>
      <c r="E3" s="2418"/>
      <c r="F3" s="2417">
        <v>1</v>
      </c>
      <c r="G3" s="1509"/>
      <c r="H3" s="1509"/>
      <c r="I3" s="1509"/>
      <c r="J3" s="1509"/>
      <c r="K3" s="1509"/>
      <c r="L3" s="1510"/>
      <c r="M3" s="1511"/>
      <c r="N3" s="1511"/>
      <c r="O3" s="1511"/>
      <c r="P3" s="1478"/>
      <c r="Q3" s="498"/>
      <c r="R3" s="499"/>
      <c r="S3" s="1482">
        <f>INDEX(PT_DIFFERENTIATION_NUM_TER,MATCH(B3,PT_DIFFERENTIATION_TER_ID,0))</f>
      </c>
      <c r="T3" s="454"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646"/>
      <c r="AP3" s="646" t="str">
        <f>IF(T3="","",T3)</f>
        <v>Территория действия тарифа</v>
      </c>
      <c r="AQ3" s="646"/>
      <c r="AR3" s="646"/>
      <c r="AS3" s="1301">
        <v>0</v>
      </c>
    </row>
    <row customHeight="1" ht="23.25" hidden="1">
      <c r="A4" s="1509"/>
      <c r="B4" s="1509"/>
      <c r="C4" s="1509"/>
      <c r="D4" s="1509"/>
      <c r="E4" s="2418"/>
      <c r="F4" s="2418"/>
      <c r="G4" s="2417">
        <v>1</v>
      </c>
      <c r="H4" s="1509"/>
      <c r="I4" s="1509"/>
      <c r="J4" s="1509"/>
      <c r="K4" s="1509"/>
      <c r="L4" s="1510"/>
      <c r="M4" s="1511"/>
      <c r="N4" s="1511"/>
      <c r="O4" s="1511"/>
      <c r="P4" s="500"/>
      <c r="Q4" s="498"/>
      <c r="R4" s="499"/>
      <c r="S4" s="1482">
        <f>INDEX(PT_DIFFERENTIATION_NUM_CS,MATCH(C4,PT_DIFFERENTIATION_CS_ID,0))</f>
      </c>
      <c r="T4" s="455" t="s">
        <v>421</v>
      </c>
      <c r="U4" s="446"/>
      <c r="V4" s="2401"/>
      <c r="W4" s="2402"/>
      <c r="X4" s="2402"/>
      <c r="Y4" s="2402"/>
      <c r="Z4" s="2402"/>
      <c r="AA4" s="2402"/>
      <c r="AB4" s="2402"/>
      <c r="AC4" s="2403"/>
      <c r="AD4" s="2401">
        <f>INDEX(PT_DIFFERENTIATION_CS,MATCH(C4,PT_DIFFERENTIATION_CS_ID,0))</f>
      </c>
      <c r="AE4" s="2402"/>
      <c r="AF4" s="2402"/>
      <c r="AG4" s="2402"/>
      <c r="AH4" s="2402"/>
      <c r="AI4" s="2402"/>
      <c r="AJ4" s="2402"/>
      <c r="AK4" s="2402"/>
      <c r="AL4" s="2403"/>
      <c r="AM4" s="1404" t="s">
        <v>422</v>
      </c>
      <c r="AO4" s="646"/>
      <c r="AP4" s="646" t="str">
        <f>IF(T4="","",T4)</f>
        <v>Наименование системы теплоснабжения </v>
      </c>
      <c r="AQ4" s="646"/>
      <c r="AR4" s="646"/>
      <c r="AS4" s="1301">
        <v>0</v>
      </c>
    </row>
    <row customHeight="1" ht="21" hidden="1">
      <c r="A5" s="1509"/>
      <c r="B5" s="1509"/>
      <c r="C5" s="1509"/>
      <c r="D5" s="1509"/>
      <c r="E5" s="2418"/>
      <c r="F5" s="2418"/>
      <c r="G5" s="2418"/>
      <c r="H5" s="2417">
        <v>1</v>
      </c>
      <c r="I5" s="1509"/>
      <c r="J5" s="1509"/>
      <c r="K5" s="1509"/>
      <c r="L5" s="1510"/>
      <c r="M5" s="1511"/>
      <c r="N5" s="1511"/>
      <c r="O5" s="1511"/>
      <c r="P5" s="500"/>
      <c r="Q5" s="498"/>
      <c r="R5" s="499"/>
      <c r="S5" s="1482">
        <f>INDEX(PT_DIFFERENTIATION_NUM_IST_TE,MATCH(D5,PT_DIFFERENTIATION_IST_TE_ID,0))</f>
      </c>
      <c r="T5" s="456" t="s">
        <v>423</v>
      </c>
      <c r="U5" s="446"/>
      <c r="V5" s="2401"/>
      <c r="W5" s="2402"/>
      <c r="X5" s="2402"/>
      <c r="Y5" s="2402"/>
      <c r="Z5" s="2402"/>
      <c r="AA5" s="2402"/>
      <c r="AB5" s="2402"/>
      <c r="AC5" s="2403"/>
      <c r="AD5" s="2401">
        <f>INDEX(PT_DIFFERENTIATION_IST_TE,MATCH(D5,PT_DIFFERENTIATION_IST_TE_ID,0))</f>
      </c>
      <c r="AE5" s="2402"/>
      <c r="AF5" s="2402"/>
      <c r="AG5" s="2402"/>
      <c r="AH5" s="2402"/>
      <c r="AI5" s="2402"/>
      <c r="AJ5" s="2402"/>
      <c r="AK5" s="2402"/>
      <c r="AL5" s="2403"/>
      <c r="AM5" s="1404" t="s">
        <v>424</v>
      </c>
      <c r="AO5" s="646"/>
      <c r="AP5" s="646" t="str">
        <f>IF(T5="","",T5)</f>
        <v>Источник тепловой энергии  </v>
      </c>
      <c r="AQ5" s="646"/>
      <c r="AR5" s="646"/>
      <c r="AS5" s="1301">
        <v>0</v>
      </c>
    </row>
    <row customHeight="1" ht="47.25" hidden="1">
      <c r="A6" s="1509"/>
      <c r="B6" s="1509"/>
      <c r="C6" s="1509"/>
      <c r="D6" s="1509"/>
      <c r="E6" s="2418"/>
      <c r="F6" s="2418"/>
      <c r="G6" s="2418"/>
      <c r="H6" s="2418"/>
      <c r="I6" s="2415">
        <f>S5&amp;".1"</f>
      </c>
      <c r="J6" s="1509"/>
      <c r="K6" s="1509"/>
      <c r="L6" s="1510" t="s">
        <v>425</v>
      </c>
      <c r="M6" s="683"/>
      <c r="P6" s="2416">
        <v>1</v>
      </c>
      <c r="Q6" s="1477"/>
      <c r="R6" s="502"/>
      <c r="S6" s="1482">
        <f>$I6</f>
      </c>
      <c r="T6" s="431" t="s">
        <v>426</v>
      </c>
      <c r="U6" s="446"/>
      <c r="V6" s="2404"/>
      <c r="W6" s="2405"/>
      <c r="X6" s="2405"/>
      <c r="Y6" s="2405"/>
      <c r="Z6" s="2405"/>
      <c r="AA6" s="2405"/>
      <c r="AB6" s="2405"/>
      <c r="AC6" s="2406"/>
      <c r="AD6" s="2404"/>
      <c r="AE6" s="2405"/>
      <c r="AF6" s="2405"/>
      <c r="AG6" s="2405"/>
      <c r="AH6" s="2405"/>
      <c r="AI6" s="2405"/>
      <c r="AJ6" s="2405"/>
      <c r="AK6" s="2405"/>
      <c r="AL6" s="2406"/>
      <c r="AM6" s="1404" t="s">
        <v>427</v>
      </c>
      <c r="AO6" s="646"/>
      <c r="AP6" s="646" t="str">
        <f>IF(T6="","",T6)</f>
        <v>Схема подключения теплопотребляющей установки к коллектору источника тепловой энергии</v>
      </c>
      <c r="AQ6" s="646"/>
      <c r="AR6" s="646"/>
      <c r="AS6" s="1301">
        <v>0</v>
      </c>
    </row>
    <row customHeight="1" ht="21" hidden="1">
      <c r="A7" s="1509"/>
      <c r="B7" s="1509"/>
      <c r="C7" s="1509"/>
      <c r="D7" s="1509"/>
      <c r="E7" s="2418"/>
      <c r="F7" s="2418"/>
      <c r="G7" s="2418"/>
      <c r="H7" s="2418"/>
      <c r="I7" s="2445"/>
      <c r="J7" s="2415">
        <f>I6&amp;".1"</f>
      </c>
      <c r="K7" s="1509"/>
      <c r="L7" s="1510" t="s">
        <v>428</v>
      </c>
      <c r="M7" s="683"/>
      <c r="N7" s="1512"/>
      <c r="P7" s="2416"/>
      <c r="Q7" s="2416">
        <v>1</v>
      </c>
      <c r="R7" s="503"/>
      <c r="S7" s="1482">
        <f>$J7</f>
      </c>
      <c r="T7" s="432" t="s">
        <v>429</v>
      </c>
      <c r="U7" s="446"/>
      <c r="V7" s="2404"/>
      <c r="W7" s="2405"/>
      <c r="X7" s="2405"/>
      <c r="Y7" s="2405"/>
      <c r="Z7" s="2405"/>
      <c r="AA7" s="2405"/>
      <c r="AB7" s="2405"/>
      <c r="AC7" s="2406"/>
      <c r="AD7" s="2404"/>
      <c r="AE7" s="2405"/>
      <c r="AF7" s="2405"/>
      <c r="AG7" s="2405"/>
      <c r="AH7" s="2405"/>
      <c r="AI7" s="2405"/>
      <c r="AJ7" s="2405"/>
      <c r="AK7" s="2405"/>
      <c r="AL7" s="2406"/>
      <c r="AM7" s="1404" t="s">
        <v>430</v>
      </c>
      <c r="AO7" s="646"/>
      <c r="AP7" s="646" t="str">
        <f>IF(T7="","",T7)</f>
        <v>Группа потребителей</v>
      </c>
      <c r="AQ7" s="646"/>
      <c r="AR7" s="646"/>
      <c r="AS7" s="1301">
        <v>0</v>
      </c>
    </row>
    <row customHeight="1" ht="21" hidden="1">
      <c r="A8" s="1509"/>
      <c r="B8" s="1509"/>
      <c r="C8" s="1509"/>
      <c r="D8" s="1509"/>
      <c r="E8" s="2418"/>
      <c r="F8" s="2418"/>
      <c r="G8" s="2418"/>
      <c r="H8" s="2418"/>
      <c r="I8" s="2445"/>
      <c r="J8" s="2445"/>
      <c r="K8" s="2415">
        <f>J7&amp;".1"</f>
      </c>
      <c r="L8" s="1510" t="s">
        <v>431</v>
      </c>
      <c r="M8" s="683"/>
      <c r="N8" s="1512"/>
      <c r="O8" s="1512"/>
      <c r="P8" s="2416"/>
      <c r="Q8" s="2416"/>
      <c r="R8" s="503">
        <v>1</v>
      </c>
      <c r="S8" s="1482">
        <f>$K8</f>
      </c>
      <c r="T8" s="1493"/>
      <c r="U8" s="446"/>
      <c r="V8" s="471"/>
      <c r="W8" s="897"/>
      <c r="X8" s="471"/>
      <c r="Y8" s="530"/>
      <c r="Z8" s="2424"/>
      <c r="AA8" s="2266" t="s">
        <v>63</v>
      </c>
      <c r="AB8" s="2424"/>
      <c r="AC8" s="2266" t="s">
        <v>63</v>
      </c>
      <c r="AD8" s="471"/>
      <c r="AE8" s="897"/>
      <c r="AF8" s="471"/>
      <c r="AG8" s="530"/>
      <c r="AH8" s="2424"/>
      <c r="AI8" s="2266" t="s">
        <v>63</v>
      </c>
      <c r="AJ8" s="2424"/>
      <c r="AK8" s="2266" t="s">
        <v>63</v>
      </c>
      <c r="AL8" s="471"/>
      <c r="AM8" s="2412" t="s">
        <v>432</v>
      </c>
      <c r="AN8" s="657">
        <f>STRCHECKDATE(V9:AL9)</f>
      </c>
      <c r="AO8" s="646"/>
      <c r="AP8" s="646" t="str">
        <f>IF(T8="","",T8)</f>
        <v/>
      </c>
      <c r="AQ8" s="646"/>
      <c r="AR8" s="646"/>
      <c r="AS8" s="1301">
        <v>0</v>
      </c>
    </row>
    <row customHeight="1" ht="0.75" hidden="1">
      <c r="A9" s="1509"/>
      <c r="B9" s="1509"/>
      <c r="C9" s="1509"/>
      <c r="D9" s="1509"/>
      <c r="E9" s="2418"/>
      <c r="F9" s="2418"/>
      <c r="G9" s="2418"/>
      <c r="H9" s="2418"/>
      <c r="I9" s="2445"/>
      <c r="J9" s="2445"/>
      <c r="K9" s="2415"/>
      <c r="L9" s="1510"/>
      <c r="M9" s="683"/>
      <c r="N9" s="1512"/>
      <c r="O9" s="1512"/>
      <c r="P9" s="2416"/>
      <c r="Q9" s="2416"/>
      <c r="R9" s="503"/>
      <c r="S9" s="1488"/>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646"/>
      <c r="AP9" s="646" t="str">
        <f>IF(T9="","",T9)</f>
        <v/>
      </c>
      <c r="AQ9" s="646"/>
      <c r="AR9" s="646"/>
      <c r="AS9" s="1301">
        <v>0</v>
      </c>
    </row>
    <row customHeight="1" ht="15" hidden="1">
      <c r="A10" s="1509"/>
      <c r="B10" s="1509"/>
      <c r="C10" s="1509"/>
      <c r="D10" s="1509"/>
      <c r="E10" s="2418"/>
      <c r="F10" s="2418"/>
      <c r="G10" s="2418"/>
      <c r="H10" s="2418"/>
      <c r="I10" s="2445"/>
      <c r="J10" s="2415"/>
      <c r="K10" s="1509"/>
      <c r="L10" s="1510"/>
      <c r="M10" s="683"/>
      <c r="N10" s="1512"/>
      <c r="P10" s="2416"/>
      <c r="Q10" s="2416"/>
      <c r="R10" s="502"/>
      <c r="S10" s="1424"/>
      <c r="T10" s="434" t="s">
        <v>433</v>
      </c>
      <c r="U10" s="513"/>
      <c r="V10" s="513"/>
      <c r="W10" s="513"/>
      <c r="X10" s="513"/>
      <c r="Y10" s="513"/>
      <c r="Z10" s="513"/>
      <c r="AA10" s="513"/>
      <c r="AB10" s="513"/>
      <c r="AC10" s="513"/>
      <c r="AD10" s="513"/>
      <c r="AE10" s="513"/>
      <c r="AF10" s="513"/>
      <c r="AG10" s="513"/>
      <c r="AH10" s="513"/>
      <c r="AI10" s="513"/>
      <c r="AJ10" s="513"/>
      <c r="AK10" s="513"/>
      <c r="AL10" s="470"/>
      <c r="AM10" s="2414"/>
      <c r="AO10" s="646"/>
      <c r="AP10" s="646" t="str">
        <f>IF(T10="","",T10)</f>
        <v>Добавить вид теплоносителя (параметры теплоносителя)</v>
      </c>
      <c r="AQ10" s="646"/>
      <c r="AR10" s="646"/>
      <c r="AS10" s="1301">
        <v>0</v>
      </c>
    </row>
    <row customHeight="1" ht="15" hidden="1">
      <c r="A11" s="1509"/>
      <c r="B11" s="1509"/>
      <c r="C11" s="1509"/>
      <c r="D11" s="1509"/>
      <c r="E11" s="2418"/>
      <c r="F11" s="2418"/>
      <c r="G11" s="2418"/>
      <c r="H11" s="2418"/>
      <c r="I11" s="2415"/>
      <c r="J11" s="1509"/>
      <c r="K11" s="1509"/>
      <c r="L11" s="1510"/>
      <c r="M11" s="683"/>
      <c r="P11" s="2416"/>
      <c r="Q11" s="1477"/>
      <c r="R11" s="502"/>
      <c r="S11" s="1424"/>
      <c r="T11" s="433" t="s">
        <v>434</v>
      </c>
      <c r="U11" s="513"/>
      <c r="V11" s="513"/>
      <c r="W11" s="513"/>
      <c r="X11" s="513"/>
      <c r="Y11" s="513"/>
      <c r="Z11" s="513"/>
      <c r="AA11" s="513"/>
      <c r="AB11" s="513"/>
      <c r="AC11" s="512"/>
      <c r="AD11" s="513"/>
      <c r="AE11" s="513"/>
      <c r="AF11" s="513"/>
      <c r="AG11" s="513"/>
      <c r="AH11" s="513"/>
      <c r="AI11" s="513"/>
      <c r="AJ11" s="513"/>
      <c r="AK11" s="512"/>
      <c r="AL11" s="513"/>
      <c r="AM11" s="449"/>
      <c r="AO11" s="646"/>
      <c r="AP11" s="646" t="str">
        <f>IF(T11="","",T11)</f>
        <v>Добавить группу потребителей</v>
      </c>
      <c r="AQ11" s="646"/>
      <c r="AR11" s="646"/>
      <c r="AS11" s="1301">
        <v>0</v>
      </c>
    </row>
    <row customHeight="1" ht="14.25" hidden="1">
      <c r="A12" s="1509"/>
      <c r="B12" s="1509"/>
      <c r="C12" s="1509"/>
      <c r="D12" s="1509"/>
      <c r="E12" s="2418"/>
      <c r="F12" s="2418"/>
      <c r="G12" s="2418"/>
      <c r="H12" s="2417"/>
      <c r="I12" s="1509"/>
      <c r="J12" s="1509"/>
      <c r="K12" s="1509"/>
      <c r="L12" s="1510"/>
      <c r="M12" s="1511"/>
      <c r="N12" s="1511"/>
      <c r="O12" s="683"/>
      <c r="P12" s="506"/>
      <c r="Q12" s="521"/>
      <c r="R12" s="501"/>
      <c r="S12" s="1424"/>
      <c r="T12" s="511" t="s">
        <v>435</v>
      </c>
      <c r="U12" s="513"/>
      <c r="V12" s="513"/>
      <c r="W12" s="513"/>
      <c r="X12" s="513"/>
      <c r="Y12" s="513"/>
      <c r="Z12" s="513"/>
      <c r="AA12" s="513"/>
      <c r="AB12" s="513"/>
      <c r="AC12" s="512"/>
      <c r="AD12" s="513"/>
      <c r="AE12" s="513"/>
      <c r="AF12" s="513"/>
      <c r="AG12" s="513"/>
      <c r="AH12" s="513"/>
      <c r="AI12" s="513"/>
      <c r="AJ12" s="513"/>
      <c r="AK12" s="512"/>
      <c r="AL12" s="513"/>
      <c r="AM12" s="449"/>
      <c r="AO12" s="646"/>
      <c r="AP12" s="646" t="str">
        <f>IF(T12="","",T12)</f>
        <v>Добавить схему подключения</v>
      </c>
      <c r="AQ12" s="646"/>
      <c r="AR12" s="646"/>
      <c r="AS12" s="1301">
        <v>0</v>
      </c>
    </row>
    <row s="6720" customFormat="1" customHeight="1" ht="0.75" hidden="1">
      <c r="A13" s="1460"/>
      <c r="B13" s="1460"/>
      <c r="C13" s="1460"/>
      <c r="D13" s="1460"/>
      <c r="E13" s="2418"/>
      <c r="F13" s="2418"/>
      <c r="G13" s="2417"/>
      <c r="H13" s="1460"/>
      <c r="I13" s="1460"/>
      <c r="J13" s="1460"/>
      <c r="K13" s="1460"/>
      <c r="L13" s="1485"/>
      <c r="M13" s="1461"/>
      <c r="N13" s="1461"/>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935"/>
      <c r="AP13" s="935" t="str">
        <f>IF(T13="","",T13)</f>
        <v>Добавить источник для дифференциации</v>
      </c>
      <c r="AQ13" s="935"/>
      <c r="AR13" s="935"/>
      <c r="AS13" s="664">
        <v>0</v>
      </c>
    </row>
    <row s="6720" customFormat="1" customHeight="1" ht="0.75" hidden="1">
      <c r="A14" s="1460"/>
      <c r="B14" s="1460"/>
      <c r="C14" s="1460"/>
      <c r="D14" s="1460"/>
      <c r="E14" s="2418"/>
      <c r="F14" s="2417"/>
      <c r="G14" s="1460"/>
      <c r="H14" s="1460"/>
      <c r="I14" s="1460"/>
      <c r="J14" s="1460"/>
      <c r="K14" s="1460"/>
      <c r="L14" s="1485"/>
      <c r="M14" s="1467"/>
      <c r="N14" s="1467"/>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935"/>
      <c r="AP14" s="935" t="str">
        <f>IF(T14="","",T14)</f>
        <v>Добавить централизованную систему для дифференциации</v>
      </c>
      <c r="AQ14" s="935"/>
      <c r="AR14" s="935"/>
      <c r="AS14" s="664">
        <v>0</v>
      </c>
    </row>
    <row s="6720" customFormat="1" customHeight="1" ht="0.75" hidden="1">
      <c r="A15" s="1460"/>
      <c r="B15" s="1460"/>
      <c r="C15" s="1460"/>
      <c r="D15" s="1460"/>
      <c r="E15" s="2417"/>
      <c r="F15" s="1460"/>
      <c r="G15" s="1460"/>
      <c r="H15" s="1460"/>
      <c r="I15" s="1460"/>
      <c r="J15" s="1460"/>
      <c r="K15" s="1460"/>
      <c r="L15" s="1485"/>
      <c r="M15" s="1467"/>
      <c r="N15" s="1467"/>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935"/>
      <c r="AP15" s="935" t="str">
        <f>IF(T15="","",T15)</f>
        <v>Добавить территорию для дифференциации</v>
      </c>
      <c r="AQ15" s="935"/>
      <c r="AR15" s="935"/>
      <c r="AS15" s="664">
        <v>0</v>
      </c>
    </row>
    <row customHeight="1" ht="14.25" hidden="1">
      <c r="AC16" s="473"/>
      <c r="AK16" s="473"/>
      <c r="AS16" s="1301">
        <v>0</v>
      </c>
    </row>
    <row customHeight="1" ht="14.25" hidden="1">
      <c r="AD17" s="1506"/>
      <c r="AE17" s="1506"/>
      <c r="AF17" s="1506"/>
      <c r="AG17" s="1507"/>
      <c r="AH17" s="2426"/>
      <c r="AI17" s="2427" t="s">
        <v>63</v>
      </c>
      <c r="AJ17" s="2426"/>
      <c r="AK17" s="2427" t="s">
        <v>63</v>
      </c>
      <c r="AS17" s="1301">
        <v>0</v>
      </c>
    </row>
    <row customHeight="1" ht="14.25" hidden="1">
      <c r="AD18" s="1506"/>
      <c r="AE18" s="1506"/>
      <c r="AF18" s="1506"/>
      <c r="AG18" s="474" t="str">
        <f>AH17&amp;"-"&amp;AJ17</f>
        <v>-</v>
      </c>
      <c r="AH18" s="2427"/>
      <c r="AI18" s="2427"/>
      <c r="AJ18" s="2427"/>
      <c r="AK18" s="2427"/>
      <c r="AS18" s="1301">
        <v>0</v>
      </c>
    </row>
    <row customHeight="1" ht="14.25" hidden="1">
      <c r="AK19" s="473"/>
      <c r="AS19" s="1301">
        <v>0</v>
      </c>
    </row>
    <row s="7180" customFormat="1" customHeight="1" ht="22.5" hidden="1">
      <c r="L20" s="1475"/>
      <c r="M20" s="1508"/>
      <c r="N20" s="1508"/>
      <c r="O20" s="1513" t="s">
        <v>439</v>
      </c>
      <c r="P20" s="1508"/>
      <c r="Q20" s="1517"/>
      <c r="R20" s="1517"/>
      <c r="S20" s="875"/>
      <c r="Z20" s="1513"/>
      <c r="AB20" s="1513"/>
      <c r="AC20" s="1512"/>
      <c r="AH20" s="1513"/>
      <c r="AJ20" s="1513"/>
      <c r="AK20" s="1512"/>
      <c r="AN20" s="657"/>
      <c r="AO20" s="657"/>
      <c r="AP20" s="657"/>
      <c r="AQ20" s="657"/>
      <c r="AR20" s="657"/>
      <c r="AS20" s="1306">
        <v>0</v>
      </c>
    </row>
    <row s="7180" customFormat="1" customHeight="1" ht="14.25" hidden="1">
      <c r="L21" s="1475"/>
      <c r="M21" s="1508"/>
      <c r="N21" s="1508"/>
      <c r="O21" s="1508"/>
      <c r="P21" s="1508"/>
      <c r="Q21" s="1517"/>
      <c r="R21" s="1517"/>
      <c r="S21" s="875"/>
      <c r="AC21" s="1512"/>
      <c r="AK21" s="1512"/>
      <c r="AN21" s="657"/>
      <c r="AO21" s="657"/>
      <c r="AP21" s="657"/>
      <c r="AQ21" s="657"/>
      <c r="AR21" s="657"/>
      <c r="AS21" s="1306">
        <v>0</v>
      </c>
    </row>
    <row s="7180" customFormat="1" customHeight="1" ht="33.75" hidden="1">
      <c r="L22" s="1475"/>
      <c r="M22" s="1508"/>
      <c r="N22" s="1508"/>
      <c r="O22" s="1510" t="s">
        <v>440</v>
      </c>
      <c r="P22" s="1508"/>
      <c r="Q22" s="1517"/>
      <c r="R22" s="1517"/>
      <c r="S22" s="875"/>
      <c r="T22" s="1306" t="s">
        <v>441</v>
      </c>
      <c r="AA22" s="332" t="s">
        <v>442</v>
      </c>
      <c r="AC22" s="332" t="s">
        <v>443</v>
      </c>
      <c r="AD22" s="1306" t="s">
        <v>441</v>
      </c>
      <c r="AI22" s="332" t="s">
        <v>444</v>
      </c>
      <c r="AK22" s="332" t="s">
        <v>443</v>
      </c>
      <c r="AN22" s="657"/>
      <c r="AO22" s="657"/>
      <c r="AP22" s="657"/>
      <c r="AQ22" s="657"/>
      <c r="AR22" s="657"/>
      <c r="AS22" s="1306">
        <v>0</v>
      </c>
    </row>
    <row customHeight="1" ht="14.25" hidden="1">
      <c r="O23" s="1510"/>
      <c r="AS23" s="1301">
        <v>0</v>
      </c>
    </row>
    <row customHeight="1" ht="14.25" hidden="1">
      <c r="O24" s="1510"/>
      <c r="AS24" s="1301">
        <v>0</v>
      </c>
    </row>
    <row customHeight="1" ht="14.699999999999998">
      <c r="Q25" s="522"/>
      <c r="R25" s="522"/>
      <c r="S25" s="1421"/>
      <c r="T25" s="509"/>
      <c r="U25" s="509"/>
      <c r="V25" s="655"/>
      <c r="W25" s="655"/>
      <c r="X25" s="655"/>
      <c r="Y25" s="655"/>
      <c r="Z25" s="655"/>
      <c r="AA25" s="655"/>
      <c r="AB25" s="655"/>
      <c r="AC25" s="655"/>
      <c r="AD25" s="655"/>
      <c r="AE25" s="655"/>
      <c r="AF25" s="655"/>
      <c r="AG25" s="655"/>
      <c r="AH25" s="655"/>
      <c r="AI25" s="655"/>
      <c r="AJ25" s="655"/>
      <c r="AK25" s="655"/>
      <c r="AS25" s="1301">
        <v>14</v>
      </c>
    </row>
    <row customHeight="1" ht="29.25">
      <c r="Q26" s="522"/>
      <c r="R26" s="522"/>
      <c r="S26" s="24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7"/>
      <c r="U26" s="2407"/>
      <c r="V26" s="2407"/>
      <c r="W26" s="2407"/>
      <c r="X26" s="2407"/>
      <c r="Y26" s="2407"/>
      <c r="Z26" s="2407"/>
      <c r="AA26" s="2407"/>
      <c r="AB26" s="2407"/>
      <c r="AC26" s="2407"/>
      <c r="AD26" s="2407"/>
      <c r="AE26" s="2407"/>
      <c r="AF26" s="2407"/>
      <c r="AG26" s="2407"/>
      <c r="AH26" s="2407"/>
      <c r="AI26" s="2407"/>
      <c r="AJ26" s="2407"/>
      <c r="AK26" s="1389"/>
      <c r="AS26" s="1301">
        <v>28</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301">
        <v>14</v>
      </c>
    </row>
    <row customHeight="1" ht="14.25" hidden="1">
      <c r="Q28" s="522"/>
      <c r="R28" s="522"/>
      <c r="S28" s="1421"/>
      <c r="T28" s="509"/>
      <c r="U28" s="509"/>
      <c r="V28" s="468"/>
      <c r="W28" s="468"/>
      <c r="X28" s="468"/>
      <c r="Y28" s="468"/>
      <c r="Z28" s="468"/>
      <c r="AA28" s="468"/>
      <c r="AB28" s="468"/>
      <c r="AC28" s="468"/>
      <c r="AD28" s="468"/>
      <c r="AE28" s="468"/>
      <c r="AF28" s="468"/>
      <c r="AG28" s="468"/>
      <c r="AH28" s="468"/>
      <c r="AI28" s="468"/>
      <c r="AJ28" s="468"/>
      <c r="AK28" s="468"/>
      <c r="AL28" s="655"/>
      <c r="AS28" s="1301">
        <v>0</v>
      </c>
    </row>
    <row s="7809" customFormat="1" customHeight="1" ht="25.5" hidden="1">
      <c r="A29" s="1514"/>
      <c r="B29" s="1514"/>
      <c r="C29" s="1514"/>
      <c r="D29" s="1514"/>
      <c r="E29" s="1514"/>
      <c r="F29" s="1514"/>
      <c r="G29" s="1514"/>
      <c r="H29" s="1514"/>
      <c r="I29" s="1514"/>
      <c r="J29" s="1514"/>
      <c r="K29" s="1514"/>
      <c r="L29" s="1515"/>
      <c r="M29" s="1514"/>
      <c r="N29" s="1514"/>
      <c r="O29" s="1514"/>
      <c r="S29" s="2409" t="s">
        <v>42</v>
      </c>
      <c r="T29" s="2409"/>
      <c r="U29" s="1518"/>
      <c r="V29" s="2410" t="str">
        <f>IF(TITLE_NAME_OR_PR_CHANGE="",IF(TITLE_NAME_OR_PR="","",TITLE_NAME_OR_PR),TITLE_NAME_OR_PR_CHANGE)</f>
        <v/>
      </c>
      <c r="W29" s="2410"/>
      <c r="X29" s="2410"/>
      <c r="Y29" s="2410"/>
      <c r="Z29" s="2410"/>
      <c r="AA29" s="2410"/>
      <c r="AB29" s="2410"/>
      <c r="AC29" s="472"/>
      <c r="AD29" s="2410" t="str">
        <f>IF(TITLE_NAME_OR_PR_CHANGE="",IF(TITLE_NAME_OR_PR="","",TITLE_NAME_OR_PR),TITLE_NAME_OR_PR_CHANGE)</f>
        <v/>
      </c>
      <c r="AE29" s="2410"/>
      <c r="AF29" s="2410"/>
      <c r="AG29" s="2410"/>
      <c r="AH29" s="2410"/>
      <c r="AI29" s="2410"/>
      <c r="AJ29" s="2410"/>
      <c r="AK29" s="472"/>
      <c r="AL29" s="472"/>
      <c r="AM29" s="426"/>
      <c r="AN29" s="514"/>
      <c r="AO29" s="514"/>
      <c r="AP29" s="514"/>
      <c r="AQ29" s="514"/>
      <c r="AR29" s="514"/>
      <c r="AS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445</v>
      </c>
      <c r="T30" s="2409"/>
      <c r="U30" s="1518"/>
      <c r="V30" s="2423" t="str">
        <f>IF(TITLE_DATE_PR_CHANGE="",IF(TITLE_DATE_PR="","",TITLE_DATE_PR),TITLE_DATE_PR_CHANGE)</f>
        <v/>
      </c>
      <c r="W30" s="2423"/>
      <c r="X30" s="2423"/>
      <c r="Y30" s="2423"/>
      <c r="Z30" s="2423"/>
      <c r="AA30" s="2423"/>
      <c r="AB30" s="2423"/>
      <c r="AC30" s="472"/>
      <c r="AD30" s="2423" t="str">
        <f>IF(TITLE_DATE_PR_CHANGE="",IF(TITLE_DATE_PR="","",TITLE_DATE_PR),TITLE_DATE_PR_CHANGE)</f>
        <v/>
      </c>
      <c r="AE30" s="2423"/>
      <c r="AF30" s="2423"/>
      <c r="AG30" s="2423"/>
      <c r="AH30" s="2423"/>
      <c r="AI30" s="2423"/>
      <c r="AJ30" s="2423"/>
      <c r="AK30" s="472"/>
      <c r="AL30" s="472"/>
      <c r="AM30" s="426"/>
      <c r="AN30" s="514"/>
      <c r="AO30" s="514"/>
      <c r="AP30" s="514"/>
      <c r="AQ30" s="514"/>
      <c r="AR30" s="514"/>
      <c r="AS30" s="564">
        <v>0</v>
      </c>
    </row>
    <row s="7809" customFormat="1" customHeight="1" ht="18.75" hidden="1">
      <c r="A31" s="1514"/>
      <c r="B31" s="1514"/>
      <c r="C31" s="1514"/>
      <c r="D31" s="1514"/>
      <c r="E31" s="1514"/>
      <c r="F31" s="1514"/>
      <c r="G31" s="1514"/>
      <c r="H31" s="1514"/>
      <c r="I31" s="1514"/>
      <c r="J31" s="1514"/>
      <c r="K31" s="1514"/>
      <c r="L31" s="1515"/>
      <c r="M31" s="1514"/>
      <c r="N31" s="1514"/>
      <c r="O31" s="1514"/>
      <c r="S31" s="2409" t="s">
        <v>446</v>
      </c>
      <c r="T31" s="2409"/>
      <c r="U31" s="1518"/>
      <c r="V31" s="2410" t="str">
        <f>IF(TITLE_NUMBER_PR_CHANGE="",IF(TITLE_NUMBER_PR="","",TITLE_NUMBER_PR),TITLE_NUMBER_PR_CHANGE)</f>
        <v/>
      </c>
      <c r="W31" s="2410"/>
      <c r="X31" s="2410"/>
      <c r="Y31" s="2410"/>
      <c r="Z31" s="2410"/>
      <c r="AA31" s="2410"/>
      <c r="AB31" s="2410"/>
      <c r="AC31" s="472"/>
      <c r="AD31" s="2410" t="str">
        <f>IF(TITLE_NUMBER_PR_CHANGE="",IF(TITLE_NUMBER_PR="","",TITLE_NUMBER_PR),TITLE_NUMBER_PR_CHANGE)</f>
        <v/>
      </c>
      <c r="AE31" s="2410"/>
      <c r="AF31" s="2410"/>
      <c r="AG31" s="2410"/>
      <c r="AH31" s="2410"/>
      <c r="AI31" s="2410"/>
      <c r="AJ31" s="2410"/>
      <c r="AK31" s="472"/>
      <c r="AL31" s="472"/>
      <c r="AM31" s="426"/>
      <c r="AN31" s="514"/>
      <c r="AO31" s="514"/>
      <c r="AP31" s="514"/>
      <c r="AQ31" s="514"/>
      <c r="AR31" s="514"/>
      <c r="AS31" s="564">
        <v>0</v>
      </c>
    </row>
    <row s="7809" customFormat="1" customHeight="1" ht="18.75" hidden="1">
      <c r="A32" s="1514"/>
      <c r="B32" s="1514"/>
      <c r="C32" s="1514"/>
      <c r="D32" s="1514"/>
      <c r="E32" s="1514"/>
      <c r="F32" s="1514"/>
      <c r="G32" s="1514"/>
      <c r="H32" s="1514"/>
      <c r="I32" s="1514"/>
      <c r="J32" s="1514"/>
      <c r="K32" s="1514"/>
      <c r="L32" s="1515"/>
      <c r="M32" s="1514"/>
      <c r="N32" s="1514"/>
      <c r="O32" s="1514"/>
      <c r="S32" s="2409" t="s">
        <v>43</v>
      </c>
      <c r="T32" s="2409"/>
      <c r="U32" s="1518"/>
      <c r="V32" s="2410" t="str">
        <f>IF(TITLE_IST_PUB_CHANGE="",IF(TITLE_IST_PUB="","",TITLE_IST_PUB),TITLE_IST_PUB_CHANGE)</f>
        <v/>
      </c>
      <c r="W32" s="2410"/>
      <c r="X32" s="2410"/>
      <c r="Y32" s="2410"/>
      <c r="Z32" s="2410"/>
      <c r="AA32" s="2410"/>
      <c r="AB32" s="2410"/>
      <c r="AC32" s="472"/>
      <c r="AD32" s="2410" t="str">
        <f>IF(TITLE_IST_PUB_CHANGE="",IF(TITLE_IST_PUB="","",TITLE_IST_PUB),TITLE_IST_PUB_CHANGE)</f>
        <v/>
      </c>
      <c r="AE32" s="2410"/>
      <c r="AF32" s="2410"/>
      <c r="AG32" s="2410"/>
      <c r="AH32" s="2410"/>
      <c r="AI32" s="2410"/>
      <c r="AJ32" s="2410"/>
      <c r="AK32" s="472"/>
      <c r="AL32" s="472"/>
      <c r="AM32" s="426"/>
      <c r="AN32" s="514"/>
      <c r="AO32" s="514"/>
      <c r="AP32" s="514"/>
      <c r="AQ32" s="514"/>
      <c r="AR32" s="514"/>
      <c r="AS32" s="564">
        <v>0</v>
      </c>
    </row>
    <row customHeight="1" ht="14.25" hidden="1">
      <c r="Q33" s="522"/>
      <c r="R33" s="522"/>
      <c r="S33" s="1421"/>
      <c r="T33" s="509"/>
      <c r="U33" s="509"/>
      <c r="V33" s="468"/>
      <c r="W33" s="468"/>
      <c r="X33" s="468"/>
      <c r="Y33" s="468"/>
      <c r="Z33" s="468"/>
      <c r="AA33" s="468"/>
      <c r="AB33" s="468"/>
      <c r="AC33" s="468"/>
      <c r="AD33" s="468"/>
      <c r="AE33" s="468"/>
      <c r="AF33" s="468"/>
      <c r="AG33" s="468"/>
      <c r="AH33" s="468"/>
      <c r="AI33" s="468"/>
      <c r="AJ33" s="468"/>
      <c r="AK33" s="468"/>
      <c r="AL33" s="655"/>
      <c r="AS33" s="1301">
        <v>0</v>
      </c>
    </row>
    <row s="7809" customFormat="1" customHeight="1" ht="18.75" hidden="1">
      <c r="A34" s="1514"/>
      <c r="B34" s="1514"/>
      <c r="C34" s="1514"/>
      <c r="D34" s="1514"/>
      <c r="E34" s="1514"/>
      <c r="F34" s="1514"/>
      <c r="G34" s="1514"/>
      <c r="H34" s="1514"/>
      <c r="I34" s="1514"/>
      <c r="J34" s="1514"/>
      <c r="K34" s="1514"/>
      <c r="L34" s="1515"/>
      <c r="M34" s="1514"/>
      <c r="N34" s="1514"/>
      <c r="O34" s="1514"/>
      <c r="S34" s="2409" t="s">
        <v>447</v>
      </c>
      <c r="T34" s="2409"/>
      <c r="U34" s="1518"/>
      <c r="V34" s="2423" t="str">
        <f>IF(TITLE_DATE_PR_CHANGE="",IF(TITLE_DATE_PR="","",TITLE_DATE_PR),TITLE_DATE_PR_CHANGE)</f>
        <v/>
      </c>
      <c r="W34" s="2423"/>
      <c r="X34" s="2423"/>
      <c r="Y34" s="2423"/>
      <c r="Z34" s="2423"/>
      <c r="AA34" s="2423"/>
      <c r="AB34" s="2423"/>
      <c r="AC34" s="472"/>
      <c r="AD34" s="2423" t="str">
        <f>IF(TITLE_DATE_PR_CHANGE="",IF(TITLE_DATE_PR="","",TITLE_DATE_PR),TITLE_DATE_PR_CHANGE)</f>
        <v/>
      </c>
      <c r="AE34" s="2423"/>
      <c r="AF34" s="2423"/>
      <c r="AG34" s="2423"/>
      <c r="AH34" s="2423"/>
      <c r="AI34" s="2423"/>
      <c r="AJ34" s="2423"/>
      <c r="AK34" s="472"/>
      <c r="AL34" s="472"/>
      <c r="AM34" s="426"/>
      <c r="AN34" s="514"/>
      <c r="AO34" s="514"/>
      <c r="AP34" s="514"/>
      <c r="AQ34" s="514"/>
      <c r="AR34" s="514"/>
      <c r="AS34" s="564">
        <v>0</v>
      </c>
    </row>
    <row s="7809" customFormat="1" customHeight="1" ht="18.75" hidden="1">
      <c r="A35" s="1514"/>
      <c r="B35" s="1514"/>
      <c r="C35" s="1514"/>
      <c r="D35" s="1514"/>
      <c r="E35" s="1514"/>
      <c r="F35" s="1514"/>
      <c r="G35" s="1514"/>
      <c r="H35" s="1514"/>
      <c r="I35" s="1514"/>
      <c r="J35" s="1514"/>
      <c r="K35" s="1514"/>
      <c r="L35" s="1515"/>
      <c r="M35" s="1514"/>
      <c r="N35" s="1514"/>
      <c r="O35" s="1514"/>
      <c r="S35" s="2409" t="s">
        <v>448</v>
      </c>
      <c r="T35" s="2409"/>
      <c r="U35" s="1518"/>
      <c r="V35" s="2410" t="str">
        <f>IF(TITLE_NUMBER_PR_CHANGE="",IF(TITLE_NUMBER_PR="","",TITLE_NUMBER_PR),TITLE_NUMBER_PR_CHANGE)</f>
        <v/>
      </c>
      <c r="W35" s="2410"/>
      <c r="X35" s="2410"/>
      <c r="Y35" s="2410"/>
      <c r="Z35" s="2410"/>
      <c r="AA35" s="2410"/>
      <c r="AB35" s="2410"/>
      <c r="AC35" s="472"/>
      <c r="AD35" s="2410" t="str">
        <f>IF(TITLE_NUMBER_PR_CHANGE="",IF(TITLE_NUMBER_PR="","",TITLE_NUMBER_PR),TITLE_NUMBER_PR_CHANGE)</f>
        <v/>
      </c>
      <c r="AE35" s="2410"/>
      <c r="AF35" s="2410"/>
      <c r="AG35" s="2410"/>
      <c r="AH35" s="2410"/>
      <c r="AI35" s="2410"/>
      <c r="AJ35" s="2410"/>
      <c r="AK35" s="472"/>
      <c r="AL35" s="472"/>
      <c r="AM35" s="426"/>
      <c r="AN35" s="514"/>
      <c r="AO35" s="514"/>
      <c r="AP35" s="514"/>
      <c r="AQ35" s="514"/>
      <c r="AR35" s="514"/>
      <c r="AS35" s="564">
        <v>0</v>
      </c>
    </row>
    <row s="7809" customFormat="1" customHeight="1" ht="0">
      <c r="A36" s="1514"/>
      <c r="B36" s="1514"/>
      <c r="C36" s="1514"/>
      <c r="D36" s="1514"/>
      <c r="E36" s="1514"/>
      <c r="F36" s="1514"/>
      <c r="G36" s="1514"/>
      <c r="H36" s="1514"/>
      <c r="I36" s="1514"/>
      <c r="J36" s="1514"/>
      <c r="K36" s="1514"/>
      <c r="L36" s="1515"/>
      <c r="M36" s="1514"/>
      <c r="N36" s="1514"/>
      <c r="O36" s="1514"/>
      <c r="S36" s="469"/>
      <c r="T36" s="469"/>
      <c r="U36" s="1486"/>
      <c r="V36" s="472"/>
      <c r="W36" s="472"/>
      <c r="X36" s="472"/>
      <c r="Y36" s="472"/>
      <c r="Z36" s="472"/>
      <c r="AA36" s="472"/>
      <c r="AB36" s="472"/>
      <c r="AC36" s="424" t="s">
        <v>449</v>
      </c>
      <c r="AD36" s="472"/>
      <c r="AE36" s="472"/>
      <c r="AF36" s="472"/>
      <c r="AG36" s="472"/>
      <c r="AH36" s="472"/>
      <c r="AI36" s="472"/>
      <c r="AJ36" s="472"/>
      <c r="AK36" s="424" t="s">
        <v>449</v>
      </c>
      <c r="AN36" s="514"/>
      <c r="AO36" s="514"/>
      <c r="AP36" s="514"/>
      <c r="AQ36" s="514"/>
      <c r="AR36" s="514"/>
      <c r="AS36" s="564">
        <v>0</v>
      </c>
    </row>
    <row customHeight="1" ht="14.699999999999998">
      <c r="Q37" s="522"/>
      <c r="R37" s="522"/>
      <c r="S37" s="1421"/>
      <c r="T37" s="509"/>
      <c r="U37" s="1390"/>
      <c r="V37" s="2411"/>
      <c r="W37" s="2411"/>
      <c r="X37" s="2411"/>
      <c r="Y37" s="2411"/>
      <c r="Z37" s="2411"/>
      <c r="AA37" s="2411"/>
      <c r="AB37" s="2411"/>
      <c r="AC37" s="2411"/>
      <c r="AD37" s="2411"/>
      <c r="AE37" s="2411"/>
      <c r="AF37" s="2411"/>
      <c r="AG37" s="2411"/>
      <c r="AH37" s="2411"/>
      <c r="AI37" s="2411"/>
      <c r="AJ37" s="2411"/>
      <c r="AK37" s="2411"/>
      <c r="AS37" s="1301">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301">
        <v>14</v>
      </c>
    </row>
    <row customHeight="1" ht="14.699999999999998">
      <c r="Q39" s="522"/>
      <c r="R39" s="522"/>
      <c r="S39" s="2432" t="s">
        <v>89</v>
      </c>
      <c r="T39" s="2368" t="s">
        <v>450</v>
      </c>
      <c r="U39" s="447"/>
      <c r="V39" s="2433" t="s">
        <v>451</v>
      </c>
      <c r="W39" s="2434"/>
      <c r="X39" s="2450"/>
      <c r="Y39" s="2450"/>
      <c r="Z39" s="2434"/>
      <c r="AA39" s="2434"/>
      <c r="AB39" s="2435"/>
      <c r="AC39" s="2436" t="s">
        <v>452</v>
      </c>
      <c r="AD39" s="2433" t="s">
        <v>451</v>
      </c>
      <c r="AE39" s="2434"/>
      <c r="AF39" s="2450"/>
      <c r="AG39" s="2450"/>
      <c r="AH39" s="2434"/>
      <c r="AI39" s="2434"/>
      <c r="AJ39" s="2435"/>
      <c r="AK39" s="2436" t="s">
        <v>453</v>
      </c>
      <c r="AL39" s="2439" t="s">
        <v>454</v>
      </c>
      <c r="AM39" s="2286"/>
      <c r="AS39" s="1301">
        <v>14</v>
      </c>
    </row>
    <row customHeight="1" ht="24">
      <c r="Q40" s="522"/>
      <c r="R40" s="522"/>
      <c r="S40" s="2432"/>
      <c r="T40" s="2368"/>
      <c r="U40" s="1177"/>
      <c r="V40" s="2451" t="s">
        <v>455</v>
      </c>
      <c r="W40" s="2453" t="s">
        <v>456</v>
      </c>
      <c r="X40" s="1522" t="s">
        <v>457</v>
      </c>
      <c r="Y40" s="1522"/>
      <c r="Z40" s="2428" t="s">
        <v>458</v>
      </c>
      <c r="AA40" s="2428"/>
      <c r="AB40" s="2422"/>
      <c r="AC40" s="2437"/>
      <c r="AD40" s="2451" t="s">
        <v>455</v>
      </c>
      <c r="AE40" s="2453" t="s">
        <v>456</v>
      </c>
      <c r="AF40" s="1522" t="s">
        <v>457</v>
      </c>
      <c r="AG40" s="1522"/>
      <c r="AH40" s="2428" t="s">
        <v>458</v>
      </c>
      <c r="AI40" s="2428"/>
      <c r="AJ40" s="2422"/>
      <c r="AK40" s="2437"/>
      <c r="AL40" s="2440"/>
      <c r="AM40" s="2286"/>
      <c r="AS40" s="1301">
        <v>23</v>
      </c>
    </row>
    <row s="7315" customFormat="1" customHeight="1" ht="24">
      <c r="A41" s="1516"/>
      <c r="B41" s="1516" t="s">
        <v>159</v>
      </c>
      <c r="C41" s="1516" t="s">
        <v>160</v>
      </c>
      <c r="D41" s="1516" t="s">
        <v>161</v>
      </c>
      <c r="E41" s="1510" t="s">
        <v>459</v>
      </c>
      <c r="F41" s="1510" t="s">
        <v>460</v>
      </c>
      <c r="G41" s="1510" t="s">
        <v>461</v>
      </c>
      <c r="H41" s="1510" t="s">
        <v>462</v>
      </c>
      <c r="I41" s="1510" t="s">
        <v>463</v>
      </c>
      <c r="J41" s="1510" t="s">
        <v>464</v>
      </c>
      <c r="K41" s="1510" t="s">
        <v>465</v>
      </c>
      <c r="L41" s="1510" t="s">
        <v>440</v>
      </c>
      <c r="M41" s="1508"/>
      <c r="N41" s="1508"/>
      <c r="O41" s="1508"/>
      <c r="P41" s="1474"/>
      <c r="Q41" s="522"/>
      <c r="R41" s="522"/>
      <c r="S41" s="2432"/>
      <c r="T41" s="2368"/>
      <c r="U41" s="448"/>
      <c r="V41" s="2452"/>
      <c r="W41" s="2454"/>
      <c r="X41" s="1519" t="s">
        <v>466</v>
      </c>
      <c r="Y41" s="1519" t="s">
        <v>467</v>
      </c>
      <c r="Z41" s="1480" t="s">
        <v>468</v>
      </c>
      <c r="AA41" s="2429" t="s">
        <v>469</v>
      </c>
      <c r="AB41" s="2430"/>
      <c r="AC41" s="2438"/>
      <c r="AD41" s="2452"/>
      <c r="AE41" s="2454"/>
      <c r="AF41" s="1519" t="s">
        <v>466</v>
      </c>
      <c r="AG41" s="1519" t="s">
        <v>467</v>
      </c>
      <c r="AH41" s="1480" t="s">
        <v>468</v>
      </c>
      <c r="AI41" s="2429" t="s">
        <v>469</v>
      </c>
      <c r="AJ41" s="2430"/>
      <c r="AK41" s="2438"/>
      <c r="AL41" s="2441"/>
      <c r="AM41" s="2286"/>
      <c r="AN41" s="657"/>
      <c r="AO41" s="646"/>
      <c r="AP41" s="646"/>
      <c r="AQ41" s="646"/>
      <c r="AR41" s="646"/>
      <c r="AS41" s="728">
        <v>23</v>
      </c>
    </row>
    <row s="6314" customFormat="1" customHeight="1" ht="11.25" hidden="1">
      <c r="A42" s="1516"/>
      <c r="B42" s="1516"/>
      <c r="C42" s="1516"/>
      <c r="D42" s="1516"/>
      <c r="E42" s="1516"/>
      <c r="F42" s="1516"/>
      <c r="G42" s="1516"/>
      <c r="H42" s="1516"/>
      <c r="I42" s="1516"/>
      <c r="J42" s="1516"/>
      <c r="K42" s="1516"/>
      <c r="L42" s="1510"/>
      <c r="M42" s="1508"/>
      <c r="N42" s="1508"/>
      <c r="O42" s="1508"/>
      <c r="P42" s="1392"/>
      <c r="Q42" s="1393"/>
      <c r="R42" s="1400">
        <v>1</v>
      </c>
      <c r="S42" s="1423" t="s">
        <v>121</v>
      </c>
      <c r="T42" s="1401" t="s">
        <v>105</v>
      </c>
      <c r="U42" s="1391" t="str">
        <f>OFFSET(U42,0,-1)</f>
        <v>2</v>
      </c>
      <c r="V42" s="1481">
        <f>OFFSET(V42,0,-1)+1</f>
        <v>3</v>
      </c>
      <c r="W42" s="1481"/>
      <c r="X42" s="1487">
        <f>OFFSET(X42,0,-1)+1</f>
        <v>1</v>
      </c>
      <c r="Y42" s="1487">
        <f>OFFSET(Y42,0,-1)+1</f>
        <v>2</v>
      </c>
      <c r="Z42" s="1481">
        <f>OFFSET(Z42,0,-1)+1</f>
        <v>3</v>
      </c>
      <c r="AA42" s="2431">
        <f>OFFSET(AA42,0,-1)+1</f>
        <v>4</v>
      </c>
      <c r="AB42" s="2431"/>
      <c r="AC42" s="1481">
        <f>OFFSET(AC42,0,-2)+1</f>
        <v>5</v>
      </c>
      <c r="AD42" s="1481">
        <f>OFFSET(AD42,0,-1)+1</f>
        <v>6</v>
      </c>
      <c r="AE42" s="1481"/>
      <c r="AF42" s="1487">
        <f>OFFSET(AF42,0,-1)+1</f>
        <v>1</v>
      </c>
      <c r="AG42" s="1487">
        <f>OFFSET(AG42,0,-1)+1</f>
        <v>2</v>
      </c>
      <c r="AH42" s="1481">
        <f>OFFSET(AH42,0,-1)+1</f>
        <v>3</v>
      </c>
      <c r="AI42" s="2431">
        <f>OFFSET(AI42,0,-1)+1</f>
        <v>4</v>
      </c>
      <c r="AJ42" s="2431"/>
      <c r="AK42" s="1481">
        <f>OFFSET(AK42,0,-2)+1</f>
        <v>5</v>
      </c>
      <c r="AL42" s="1391">
        <f>OFFSET(AL42,0,-1)</f>
        <v>5</v>
      </c>
      <c r="AM42" s="1481">
        <f>OFFSET(AM42,0,-1)+1</f>
        <v>6</v>
      </c>
      <c r="AN42" s="657"/>
      <c r="AO42" s="657"/>
      <c r="AP42" s="657"/>
      <c r="AQ42" s="657"/>
      <c r="AR42" s="657"/>
      <c r="AS42" s="642">
        <v>0</v>
      </c>
    </row>
    <row customHeight="1" ht="22.049999999999997">
      <c r="A43" s="1509" t="s">
        <v>216</v>
      </c>
      <c r="B43" s="1509"/>
      <c r="C43" s="1509"/>
      <c r="D43" s="1509"/>
      <c r="E43" s="2417">
        <v>1</v>
      </c>
      <c r="F43" s="1509"/>
      <c r="G43" s="1509"/>
      <c r="H43" s="1509"/>
      <c r="I43" s="1509"/>
      <c r="J43" s="1509"/>
      <c r="K43" s="1509"/>
      <c r="L43" s="1510"/>
      <c r="M43" s="1511"/>
      <c r="N43" s="1511"/>
      <c r="O43" s="1511"/>
      <c r="P43" s="507"/>
      <c r="Q43" s="506"/>
      <c r="R43" s="501"/>
      <c r="S43" s="1482">
        <f>INDEX(PT_DIFFERENTIATION_NUM_NTAR,MATCH(A43,PT_DIFFERENTIATION_NTAR_ID,0))</f>
        <v>0</v>
      </c>
      <c r="T43" s="444"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46"/>
      <c r="AP43" s="646" t="str">
        <f>IF(T43="","",T43)</f>
        <v>Наименование тарифа</v>
      </c>
      <c r="AQ43" s="646"/>
      <c r="AR43" s="646"/>
      <c r="AS43" s="1301">
        <v>21</v>
      </c>
    </row>
    <row customHeight="1" ht="22.049999999999997">
      <c r="A44" s="1509" t="s">
        <v>216</v>
      </c>
      <c r="B44" s="1509" t="s">
        <v>217</v>
      </c>
      <c r="C44" s="1509"/>
      <c r="D44" s="1509"/>
      <c r="E44" s="2418"/>
      <c r="F44" s="2417">
        <v>1</v>
      </c>
      <c r="G44" s="1509"/>
      <c r="H44" s="1509"/>
      <c r="I44" s="1509"/>
      <c r="J44" s="1509"/>
      <c r="K44" s="1509"/>
      <c r="L44" s="1510"/>
      <c r="M44" s="1511"/>
      <c r="N44" s="1511"/>
      <c r="O44" s="1511"/>
      <c r="P44" s="1478"/>
      <c r="Q44" s="498"/>
      <c r="R44" s="499"/>
      <c r="S44" s="1482" t="str">
        <f>INDEX(PT_DIFFERENTIATION_NUM_TER,MATCH(B44,PT_DIFFERENTIATION_TER_ID,0))</f>
        <v>.</v>
      </c>
      <c r="T44" s="454"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646"/>
      <c r="AP44" s="646" t="str">
        <f>IF(T44="","",T44)</f>
        <v>Территория действия тарифа</v>
      </c>
      <c r="AQ44" s="646"/>
      <c r="AR44" s="646"/>
      <c r="AS44" s="1301">
        <v>21</v>
      </c>
    </row>
    <row customHeight="1" ht="24">
      <c r="A45" s="1509" t="s">
        <v>216</v>
      </c>
      <c r="B45" s="1509" t="s">
        <v>217</v>
      </c>
      <c r="C45" s="1509" t="s">
        <v>218</v>
      </c>
      <c r="D45" s="1509"/>
      <c r="E45" s="2418"/>
      <c r="F45" s="2418"/>
      <c r="G45" s="2417">
        <v>1</v>
      </c>
      <c r="H45" s="1509"/>
      <c r="I45" s="1509"/>
      <c r="J45" s="1509"/>
      <c r="K45" s="1509"/>
      <c r="L45" s="1510"/>
      <c r="M45" s="1511"/>
      <c r="N45" s="1511"/>
      <c r="O45" s="1511"/>
      <c r="P45" s="500"/>
      <c r="Q45" s="498"/>
      <c r="R45" s="499"/>
      <c r="S45" s="1482"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646"/>
      <c r="AP45" s="646" t="str">
        <f>IF(T45="","",T45)</f>
        <v>Наименование системы теплоснабжения </v>
      </c>
      <c r="AQ45" s="646"/>
      <c r="AR45" s="646"/>
      <c r="AS45" s="1301">
        <v>23</v>
      </c>
    </row>
    <row customHeight="1" ht="22.049999999999997">
      <c r="A46" s="1509" t="s">
        <v>216</v>
      </c>
      <c r="B46" s="1509" t="s">
        <v>217</v>
      </c>
      <c r="C46" s="1509" t="s">
        <v>218</v>
      </c>
      <c r="D46" s="1509" t="s">
        <v>219</v>
      </c>
      <c r="E46" s="2418"/>
      <c r="F46" s="2418"/>
      <c r="G46" s="2418"/>
      <c r="H46" s="2417">
        <v>1</v>
      </c>
      <c r="I46" s="1509"/>
      <c r="J46" s="1509"/>
      <c r="K46" s="1509"/>
      <c r="L46" s="1510"/>
      <c r="M46" s="1511"/>
      <c r="N46" s="1511"/>
      <c r="O46" s="1511"/>
      <c r="P46" s="500"/>
      <c r="Q46" s="498"/>
      <c r="R46" s="499"/>
      <c r="S46" s="1482"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646"/>
      <c r="AP46" s="646" t="str">
        <f>IF(T46="","",T46)</f>
        <v>Источник тепловой энергии  </v>
      </c>
      <c r="AQ46" s="646"/>
      <c r="AR46" s="646"/>
      <c r="AS46" s="1301">
        <v>21</v>
      </c>
    </row>
    <row customHeight="1" ht="49.5">
      <c r="A47" s="1509" t="s">
        <v>216</v>
      </c>
      <c r="B47" s="1509" t="s">
        <v>217</v>
      </c>
      <c r="C47" s="1509" t="s">
        <v>218</v>
      </c>
      <c r="D47" s="1509" t="s">
        <v>219</v>
      </c>
      <c r="E47" s="2418"/>
      <c r="F47" s="2418"/>
      <c r="G47" s="2418"/>
      <c r="H47" s="2418"/>
      <c r="I47" s="2415" t="str">
        <f>S46&amp;".1"</f>
        <v>....1</v>
      </c>
      <c r="J47" s="1509"/>
      <c r="K47" s="1509"/>
      <c r="L47" s="1510" t="s">
        <v>425</v>
      </c>
      <c r="P47" s="2416">
        <v>1</v>
      </c>
      <c r="Q47" s="1477"/>
      <c r="R47" s="502"/>
      <c r="S47" s="1482" t="str">
        <f>$I47</f>
        <v>....1</v>
      </c>
      <c r="T47" s="431" t="s">
        <v>426</v>
      </c>
      <c r="U47" s="446"/>
      <c r="V47" s="2404"/>
      <c r="W47" s="2405"/>
      <c r="X47" s="2405"/>
      <c r="Y47" s="2405"/>
      <c r="Z47" s="2405"/>
      <c r="AA47" s="2405"/>
      <c r="AB47" s="2405"/>
      <c r="AC47" s="2406"/>
      <c r="AD47" s="2404"/>
      <c r="AE47" s="2405"/>
      <c r="AF47" s="2405"/>
      <c r="AG47" s="2405"/>
      <c r="AH47" s="2405"/>
      <c r="AI47" s="2405"/>
      <c r="AJ47" s="2405"/>
      <c r="AK47" s="2405"/>
      <c r="AL47" s="2406"/>
      <c r="AM47" s="1404" t="s">
        <v>427</v>
      </c>
      <c r="AO47" s="646"/>
      <c r="AP47" s="646" t="str">
        <f>IF(T47="","",T47)</f>
        <v>Схема подключения теплопотребляющей установки к коллектору источника тепловой энергии</v>
      </c>
      <c r="AQ47" s="646"/>
      <c r="AR47" s="646"/>
      <c r="AS47" s="1301">
        <v>47</v>
      </c>
    </row>
    <row customHeight="1" ht="22.049999999999997">
      <c r="A48" s="1509" t="s">
        <v>216</v>
      </c>
      <c r="B48" s="1509" t="s">
        <v>217</v>
      </c>
      <c r="C48" s="1509" t="s">
        <v>218</v>
      </c>
      <c r="D48" s="1509" t="s">
        <v>219</v>
      </c>
      <c r="E48" s="2418"/>
      <c r="F48" s="2418"/>
      <c r="G48" s="2418"/>
      <c r="H48" s="2418"/>
      <c r="I48" s="2445"/>
      <c r="J48" s="2415" t="str">
        <f>I47&amp;".1"</f>
        <v>....1.1</v>
      </c>
      <c r="K48" s="1509"/>
      <c r="L48" s="1510" t="s">
        <v>428</v>
      </c>
      <c r="P48" s="2416"/>
      <c r="Q48" s="2416">
        <v>1</v>
      </c>
      <c r="R48" s="503"/>
      <c r="S48" s="1482" t="str">
        <f>$J48</f>
        <v>....1.1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646"/>
      <c r="AP48" s="646" t="str">
        <f>IF(T48="","",T48)</f>
        <v>Группа потребителей</v>
      </c>
      <c r="AQ48" s="646"/>
      <c r="AR48" s="646"/>
      <c r="AS48" s="1301">
        <v>21</v>
      </c>
    </row>
    <row customHeight="1" ht="22.049999999999997">
      <c r="A49" s="1509" t="s">
        <v>216</v>
      </c>
      <c r="B49" s="1509" t="s">
        <v>217</v>
      </c>
      <c r="C49" s="1509" t="s">
        <v>218</v>
      </c>
      <c r="D49" s="1509" t="s">
        <v>219</v>
      </c>
      <c r="E49" s="2418"/>
      <c r="F49" s="2418"/>
      <c r="G49" s="2418"/>
      <c r="H49" s="2418"/>
      <c r="I49" s="2445"/>
      <c r="J49" s="2445"/>
      <c r="K49" s="2415" t="str">
        <f>J48&amp;".1"</f>
        <v>....1.1.1</v>
      </c>
      <c r="L49" s="1510" t="s">
        <v>431</v>
      </c>
      <c r="P49" s="2416"/>
      <c r="Q49" s="2416"/>
      <c r="R49" s="503">
        <v>1</v>
      </c>
      <c r="S49" s="1482" t="str">
        <f>$K49</f>
        <v>....1.1.1</v>
      </c>
      <c r="T49" s="1493"/>
      <c r="U49" s="446"/>
      <c r="V49" s="471"/>
      <c r="W49" s="897"/>
      <c r="X49" s="471"/>
      <c r="Y49" s="530"/>
      <c r="Z49" s="2424"/>
      <c r="AA49" s="2266" t="s">
        <v>63</v>
      </c>
      <c r="AB49" s="2424"/>
      <c r="AC49" s="2266" t="s">
        <v>63</v>
      </c>
      <c r="AD49" s="471"/>
      <c r="AE49" s="897"/>
      <c r="AF49" s="471"/>
      <c r="AG49" s="530"/>
      <c r="AH49" s="2424"/>
      <c r="AI49" s="2266" t="s">
        <v>63</v>
      </c>
      <c r="AJ49" s="2446"/>
      <c r="AK49" s="2266" t="s">
        <v>63</v>
      </c>
      <c r="AL49" s="1494"/>
      <c r="AM49" s="2412" t="s">
        <v>432</v>
      </c>
      <c r="AN49" s="657">
        <f>STRCHECKDATE(V50:AL50)</f>
      </c>
      <c r="AO49" s="646"/>
      <c r="AP49" s="646" t="str">
        <f>IF(T49="","",T49)</f>
        <v/>
      </c>
      <c r="AQ49" s="646"/>
      <c r="AR49" s="646"/>
      <c r="AS49" s="1301">
        <v>21</v>
      </c>
    </row>
    <row customHeight="1" ht="1.05">
      <c r="A50" s="1509" t="s">
        <v>216</v>
      </c>
      <c r="B50" s="1509" t="s">
        <v>217</v>
      </c>
      <c r="C50" s="1509" t="s">
        <v>218</v>
      </c>
      <c r="D50" s="1509" t="s">
        <v>219</v>
      </c>
      <c r="E50" s="2418"/>
      <c r="F50" s="2418"/>
      <c r="G50" s="2418"/>
      <c r="H50" s="2418"/>
      <c r="I50" s="2445"/>
      <c r="J50" s="2445"/>
      <c r="K50" s="2415"/>
      <c r="L50" s="1510"/>
      <c r="P50" s="2416"/>
      <c r="Q50" s="2416"/>
      <c r="R50" s="503"/>
      <c r="S50" s="1488"/>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646"/>
      <c r="AP50" s="646" t="str">
        <f>IF(T50="","",T50)</f>
        <v/>
      </c>
      <c r="AQ50" s="646"/>
      <c r="AR50" s="646"/>
      <c r="AS50" s="1301">
        <v>1</v>
      </c>
    </row>
    <row customHeight="1" ht="11.549999999999999">
      <c r="A51" s="1509" t="s">
        <v>216</v>
      </c>
      <c r="B51" s="1509" t="s">
        <v>217</v>
      </c>
      <c r="C51" s="1509" t="s">
        <v>218</v>
      </c>
      <c r="D51" s="1509" t="s">
        <v>219</v>
      </c>
      <c r="E51" s="2418"/>
      <c r="F51" s="2418"/>
      <c r="G51" s="2418"/>
      <c r="H51" s="2418"/>
      <c r="I51" s="2445"/>
      <c r="J51" s="2415"/>
      <c r="K51" s="1509"/>
      <c r="L51" s="1510"/>
      <c r="P51" s="2416"/>
      <c r="Q51" s="2416"/>
      <c r="R51" s="502"/>
      <c r="S51" s="1424"/>
      <c r="T51" s="434" t="s">
        <v>433</v>
      </c>
      <c r="U51" s="513"/>
      <c r="V51" s="513"/>
      <c r="W51" s="513"/>
      <c r="X51" s="513"/>
      <c r="Y51" s="513"/>
      <c r="Z51" s="513"/>
      <c r="AA51" s="513"/>
      <c r="AB51" s="513"/>
      <c r="AC51" s="513"/>
      <c r="AD51" s="513"/>
      <c r="AE51" s="513"/>
      <c r="AF51" s="513"/>
      <c r="AG51" s="513"/>
      <c r="AH51" s="513"/>
      <c r="AI51" s="513"/>
      <c r="AJ51" s="513"/>
      <c r="AK51" s="513"/>
      <c r="AL51" s="470"/>
      <c r="AM51" s="2414"/>
      <c r="AO51" s="646"/>
      <c r="AP51" s="646" t="str">
        <f>IF(T51="","",T51)</f>
        <v>Добавить вид теплоносителя (параметры теплоносителя)</v>
      </c>
      <c r="AQ51" s="646"/>
      <c r="AR51" s="646"/>
      <c r="AS51" s="1301">
        <v>11</v>
      </c>
    </row>
    <row customHeight="1" ht="11.549999999999999">
      <c r="A52" s="1509" t="s">
        <v>216</v>
      </c>
      <c r="B52" s="1509" t="s">
        <v>217</v>
      </c>
      <c r="C52" s="1509" t="s">
        <v>218</v>
      </c>
      <c r="D52" s="1509" t="s">
        <v>219</v>
      </c>
      <c r="E52" s="2418"/>
      <c r="F52" s="2418"/>
      <c r="G52" s="2418"/>
      <c r="H52" s="2418"/>
      <c r="I52" s="2415"/>
      <c r="J52" s="1509"/>
      <c r="K52" s="1509"/>
      <c r="L52" s="1510"/>
      <c r="P52" s="2416"/>
      <c r="Q52" s="1477"/>
      <c r="R52" s="502"/>
      <c r="S52" s="1424"/>
      <c r="T52" s="433" t="s">
        <v>434</v>
      </c>
      <c r="U52" s="513"/>
      <c r="V52" s="513"/>
      <c r="W52" s="513"/>
      <c r="X52" s="513"/>
      <c r="Y52" s="513"/>
      <c r="Z52" s="513"/>
      <c r="AA52" s="513"/>
      <c r="AB52" s="513"/>
      <c r="AC52" s="512"/>
      <c r="AD52" s="513"/>
      <c r="AE52" s="513"/>
      <c r="AF52" s="513"/>
      <c r="AG52" s="513"/>
      <c r="AH52" s="513"/>
      <c r="AI52" s="513"/>
      <c r="AJ52" s="513"/>
      <c r="AK52" s="512"/>
      <c r="AL52" s="513"/>
      <c r="AM52" s="449"/>
      <c r="AO52" s="646"/>
      <c r="AP52" s="646" t="str">
        <f>IF(T52="","",T52)</f>
        <v>Добавить группу потребителей</v>
      </c>
      <c r="AQ52" s="646"/>
      <c r="AR52" s="646"/>
      <c r="AS52" s="1301">
        <v>11</v>
      </c>
    </row>
    <row customHeight="1" ht="14.699999999999998">
      <c r="A53" s="1509" t="s">
        <v>216</v>
      </c>
      <c r="B53" s="1509" t="s">
        <v>217</v>
      </c>
      <c r="C53" s="1509" t="s">
        <v>218</v>
      </c>
      <c r="D53" s="1509" t="s">
        <v>219</v>
      </c>
      <c r="E53" s="2418"/>
      <c r="F53" s="2418"/>
      <c r="G53" s="2418"/>
      <c r="H53" s="2417"/>
      <c r="I53" s="1509"/>
      <c r="J53" s="1509"/>
      <c r="K53" s="1509"/>
      <c r="L53" s="1510"/>
      <c r="M53" s="1511"/>
      <c r="N53" s="1511"/>
      <c r="O53" s="683"/>
      <c r="P53" s="506"/>
      <c r="Q53" s="521"/>
      <c r="R53" s="501"/>
      <c r="S53" s="1424"/>
      <c r="T53" s="511" t="s">
        <v>435</v>
      </c>
      <c r="U53" s="513"/>
      <c r="V53" s="513"/>
      <c r="W53" s="513"/>
      <c r="X53" s="513"/>
      <c r="Y53" s="513"/>
      <c r="Z53" s="513"/>
      <c r="AA53" s="513"/>
      <c r="AB53" s="513"/>
      <c r="AC53" s="512"/>
      <c r="AD53" s="513"/>
      <c r="AE53" s="513"/>
      <c r="AF53" s="513"/>
      <c r="AG53" s="513"/>
      <c r="AH53" s="513"/>
      <c r="AI53" s="513"/>
      <c r="AJ53" s="513"/>
      <c r="AK53" s="512"/>
      <c r="AL53" s="513"/>
      <c r="AM53" s="449"/>
      <c r="AO53" s="646"/>
      <c r="AP53" s="646" t="str">
        <f>IF(T53="","",T53)</f>
        <v>Добавить схему подключения</v>
      </c>
      <c r="AQ53" s="646"/>
      <c r="AR53" s="646"/>
      <c r="AS53" s="1301">
        <v>14</v>
      </c>
    </row>
    <row s="6720" customFormat="1" customHeight="1" ht="1.05">
      <c r="A54" s="1489" t="s">
        <v>216</v>
      </c>
      <c r="B54" s="1489" t="s">
        <v>217</v>
      </c>
      <c r="C54" s="1489" t="s">
        <v>218</v>
      </c>
      <c r="D54" s="1460"/>
      <c r="E54" s="2418"/>
      <c r="F54" s="2418"/>
      <c r="G54" s="2417"/>
      <c r="H54" s="1460"/>
      <c r="I54" s="1460"/>
      <c r="J54" s="1460"/>
      <c r="K54" s="1460"/>
      <c r="L54" s="1485"/>
      <c r="M54" s="1461"/>
      <c r="N54" s="1461"/>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935"/>
      <c r="AP54" s="935" t="str">
        <f>IF(T54="","",T54)</f>
        <v>Добавить источник для дифференциации</v>
      </c>
      <c r="AQ54" s="935"/>
      <c r="AR54" s="935"/>
      <c r="AS54" s="664">
        <v>1</v>
      </c>
    </row>
    <row s="6720" customFormat="1" customHeight="1" ht="1.05">
      <c r="A55" s="1489" t="s">
        <v>216</v>
      </c>
      <c r="B55" s="1489" t="s">
        <v>217</v>
      </c>
      <c r="C55" s="1460"/>
      <c r="D55" s="1460"/>
      <c r="E55" s="2418"/>
      <c r="F55" s="2417"/>
      <c r="G55" s="1460"/>
      <c r="H55" s="1460"/>
      <c r="I55" s="1460"/>
      <c r="J55" s="1460"/>
      <c r="K55" s="1460"/>
      <c r="L55" s="1485"/>
      <c r="M55" s="1467"/>
      <c r="N55" s="1467"/>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935"/>
      <c r="AP55" s="935" t="str">
        <f>IF(T55="","",T55)</f>
        <v>Добавить централизованную систему для дифференциации</v>
      </c>
      <c r="AQ55" s="935"/>
      <c r="AR55" s="935"/>
      <c r="AS55" s="664">
        <v>1</v>
      </c>
    </row>
    <row s="6720" customFormat="1" customHeight="1" ht="1.05">
      <c r="A56" s="1489" t="s">
        <v>216</v>
      </c>
      <c r="B56" s="1489"/>
      <c r="C56" s="1489"/>
      <c r="D56" s="1489"/>
      <c r="E56" s="2417"/>
      <c r="F56" s="1489"/>
      <c r="G56" s="1489"/>
      <c r="H56" s="1489"/>
      <c r="I56" s="1489"/>
      <c r="J56" s="1489"/>
      <c r="K56" s="1489"/>
      <c r="L56" s="1492"/>
      <c r="M56" s="1467"/>
      <c r="N56" s="1467"/>
      <c r="O56" s="664"/>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646"/>
      <c r="AP56" s="646" t="str">
        <f>IF(T56="","",T56)</f>
        <v>Добавить территорию для дифференциации</v>
      </c>
      <c r="AQ56" s="646"/>
      <c r="AR56" s="646"/>
      <c r="AS56" s="657">
        <v>1</v>
      </c>
    </row>
    <row s="6720" customFormat="1" customHeight="1" ht="1.05">
      <c r="A57" s="1460"/>
      <c r="B57" s="1460"/>
      <c r="C57" s="1460"/>
      <c r="D57" s="1460"/>
      <c r="E57" s="1489"/>
      <c r="F57" s="1460"/>
      <c r="G57" s="1460"/>
      <c r="H57" s="1460"/>
      <c r="I57" s="1460"/>
      <c r="J57" s="1460"/>
      <c r="K57" s="1460"/>
      <c r="L57" s="1485"/>
      <c r="M57" s="1467"/>
      <c r="N57" s="1467"/>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935"/>
      <c r="AP57" s="935" t="str">
        <f>IF(T57="","",T57)</f>
        <v>Добавить наименование тарифа</v>
      </c>
      <c r="AQ57" s="935"/>
      <c r="AR57" s="935"/>
      <c r="AS57" s="664">
        <v>1</v>
      </c>
    </row>
    <row customHeight="1" ht="11.549999999999999">
      <c r="M58" s="1306"/>
      <c r="N58" s="1306"/>
      <c r="O58" s="683"/>
      <c r="P58" s="1301"/>
      <c r="Q58" s="1301"/>
      <c r="R58" s="1301"/>
      <c r="S58" s="1301"/>
      <c r="AN58" s="1301"/>
      <c r="AO58" s="1301"/>
      <c r="AP58" s="1301"/>
      <c r="AQ58" s="1301"/>
      <c r="AR58" s="1301"/>
      <c r="AS58" s="1301">
        <v>11</v>
      </c>
    </row>
    <row customHeight="1" ht="28.5">
      <c r="O59" s="683"/>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301">
        <v>27</v>
      </c>
    </row>
    <row customHeight="1" ht="78.75">
      <c r="O60" s="683"/>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301">
        <v>75</v>
      </c>
    </row>
    <row customHeight="1" ht="14.699999999999998">
      <c r="O61" s="683"/>
      <c r="AS61" s="1301">
        <v>14</v>
      </c>
    </row>
    <row customHeight="1" ht="18.75">
      <c r="O62" s="683"/>
      <c r="S62" s="1399"/>
      <c r="T62" s="2444"/>
      <c r="U62" s="2444"/>
      <c r="V62" s="2444"/>
      <c r="W62" s="2444"/>
      <c r="X62" s="2444"/>
      <c r="Y62" s="2444"/>
      <c r="Z62" s="2444"/>
      <c r="AA62" s="2444"/>
      <c r="AB62" s="2444"/>
      <c r="AC62" s="2444"/>
      <c r="AD62" s="2444"/>
      <c r="AE62" s="2444"/>
      <c r="AF62" s="2444"/>
      <c r="AG62" s="2444"/>
      <c r="AH62" s="2444"/>
      <c r="AI62" s="2444"/>
      <c r="AJ62" s="2444"/>
      <c r="AK62" s="2444"/>
      <c r="AL62" s="2444"/>
      <c r="AM62" s="2444"/>
      <c r="AS62" s="1301">
        <v>18</v>
      </c>
    </row>
    <row customHeight="1" ht="18.75">
      <c r="O63" s="683"/>
      <c r="T63" s="2444"/>
      <c r="U63" s="2444"/>
      <c r="V63" s="2444"/>
      <c r="W63" s="2444"/>
      <c r="X63" s="2444"/>
      <c r="Y63" s="2444"/>
      <c r="Z63" s="2444"/>
      <c r="AA63" s="2444"/>
      <c r="AB63" s="2444"/>
      <c r="AC63" s="2444"/>
      <c r="AD63" s="2444"/>
      <c r="AE63" s="2444"/>
      <c r="AF63" s="2444"/>
      <c r="AG63" s="2444"/>
      <c r="AH63" s="2444"/>
      <c r="AI63" s="2444"/>
      <c r="AJ63" s="2444"/>
      <c r="AK63" s="2444"/>
      <c r="AL63" s="2444"/>
      <c r="AM63" s="2444"/>
      <c r="AS63" s="1301">
        <v>18</v>
      </c>
    </row>
    <row customHeight="1" ht="39.75">
      <c r="O64" s="683"/>
      <c r="S64" s="1399"/>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301">
        <v>38</v>
      </c>
    </row>
    <row customHeight="1" ht="22.5" hidden="1">
      <c r="A65" s="1306" t="s">
        <v>83</v>
      </c>
      <c r="B65" s="1306">
        <v>0</v>
      </c>
      <c r="C65" s="1306">
        <v>0</v>
      </c>
      <c r="D65" s="1306">
        <v>0</v>
      </c>
      <c r="E65" s="1306">
        <v>0</v>
      </c>
      <c r="F65" s="1306">
        <v>0</v>
      </c>
      <c r="G65" s="1306">
        <v>0</v>
      </c>
      <c r="H65" s="1306">
        <v>0</v>
      </c>
      <c r="I65" s="1306">
        <v>0</v>
      </c>
      <c r="J65" s="1306">
        <v>0</v>
      </c>
      <c r="K65" s="1306">
        <v>0</v>
      </c>
      <c r="L65" s="1475">
        <v>0</v>
      </c>
      <c r="M65" s="1508">
        <v>0</v>
      </c>
      <c r="N65" s="1508">
        <v>0</v>
      </c>
      <c r="O65" s="1508">
        <v>0</v>
      </c>
      <c r="P65" s="1474">
        <v>3</v>
      </c>
      <c r="Q65" s="490">
        <v>3</v>
      </c>
      <c r="R65" s="490">
        <v>3</v>
      </c>
      <c r="S65" s="727">
        <v>12</v>
      </c>
      <c r="T65" s="1301">
        <v>31</v>
      </c>
      <c r="U65" s="1301">
        <v>0</v>
      </c>
      <c r="V65" s="1301">
        <v>0</v>
      </c>
      <c r="W65" s="1301">
        <v>0</v>
      </c>
      <c r="X65" s="1301">
        <v>0</v>
      </c>
      <c r="Y65" s="1301">
        <v>0</v>
      </c>
      <c r="Z65" s="1301">
        <v>0</v>
      </c>
      <c r="AA65" s="1301">
        <v>0</v>
      </c>
      <c r="AB65" s="1301">
        <v>0</v>
      </c>
      <c r="AC65" s="1301">
        <v>0</v>
      </c>
      <c r="AD65" s="1301">
        <v>0</v>
      </c>
      <c r="AE65" s="1301">
        <v>24</v>
      </c>
      <c r="AF65" s="1301">
        <v>0</v>
      </c>
      <c r="AG65" s="1301">
        <v>0</v>
      </c>
      <c r="AH65" s="1301">
        <v>11</v>
      </c>
      <c r="AI65" s="1301">
        <v>3</v>
      </c>
      <c r="AJ65" s="1301">
        <v>11</v>
      </c>
      <c r="AK65" s="1301">
        <v>0</v>
      </c>
      <c r="AL65" s="1301">
        <v>4</v>
      </c>
      <c r="AM65" s="1301">
        <v>115</v>
      </c>
      <c r="AN65" s="657">
        <v>10</v>
      </c>
      <c r="AO65" s="657">
        <v>10</v>
      </c>
      <c r="AP65" s="657">
        <v>10</v>
      </c>
      <c r="AQ65" s="657">
        <v>10</v>
      </c>
      <c r="AR65" s="657">
        <v>10</v>
      </c>
      <c r="AS65" s="1301">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DCF8FC-73C6-403C-B611-0.319A749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7938" width="3.7109375" hidden="1" customWidth="1"/>
    <col min="17" max="18" style="7205" width="3.00390625" customWidth="1"/>
    <col min="19" max="19" style="7910" width="12.00390625" customWidth="1"/>
    <col min="20" max="20" style="7235" width="31.00390625" customWidth="1"/>
    <col min="21" max="21" style="7235" width="0.140625" customWidth="1"/>
    <col min="22" max="22" style="7235" width="24.7109375" hidden="1" customWidth="1"/>
    <col min="23" max="23" style="7235" width="0.140625" hidden="1" customWidth="1"/>
    <col min="24" max="25" style="7235" width="24.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24.7109375" customWidth="1"/>
    <col min="31" max="31" style="7235" width="0.140625" customWidth="1"/>
    <col min="32" max="33" style="7235" width="24.0039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8.421875" hidden="1" customWidth="1"/>
  </cols>
  <sheetData>
    <row customHeight="1" ht="22.5" hidden="1">
      <c r="Y1" s="473"/>
      <c r="Z1" s="473"/>
      <c r="AG1" s="473"/>
      <c r="AH1" s="473"/>
      <c r="AS1" s="1301" t="s">
        <v>14</v>
      </c>
    </row>
    <row customHeight="1" ht="21" hidden="1">
      <c r="A2" s="1509"/>
      <c r="B2" s="1509"/>
      <c r="C2" s="1509"/>
      <c r="D2" s="1509"/>
      <c r="E2" s="2417">
        <v>1</v>
      </c>
      <c r="F2" s="1509"/>
      <c r="G2" s="1509"/>
      <c r="H2" s="1509"/>
      <c r="I2" s="1509"/>
      <c r="J2" s="1509"/>
      <c r="K2" s="1509"/>
      <c r="L2" s="1510"/>
      <c r="M2" s="1511"/>
      <c r="N2" s="1511"/>
      <c r="O2" s="1511"/>
      <c r="P2" s="507"/>
      <c r="Q2" s="506"/>
      <c r="R2" s="501"/>
      <c r="S2" s="1482">
        <f>INDEX(PT_DIFFERENTIATION_NUM_NTAR,MATCH(A2,PT_DIFFERENTIATION_NTAR_ID,0))</f>
      </c>
      <c r="T2" s="444"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646"/>
      <c r="AP2" s="646" t="str">
        <f>IF(T2="","",T2)</f>
        <v>Наименование тарифа</v>
      </c>
      <c r="AQ2" s="646"/>
      <c r="AR2" s="646"/>
      <c r="AS2" s="1301">
        <v>0</v>
      </c>
    </row>
    <row customHeight="1" ht="21" hidden="1">
      <c r="A3" s="1509"/>
      <c r="B3" s="1509"/>
      <c r="C3" s="1509"/>
      <c r="D3" s="1509"/>
      <c r="E3" s="2418"/>
      <c r="F3" s="2417">
        <v>1</v>
      </c>
      <c r="G3" s="1509"/>
      <c r="H3" s="1509"/>
      <c r="I3" s="1509"/>
      <c r="J3" s="1509"/>
      <c r="K3" s="1509"/>
      <c r="L3" s="1510"/>
      <c r="M3" s="1511"/>
      <c r="N3" s="1511"/>
      <c r="O3" s="1511"/>
      <c r="P3" s="1478"/>
      <c r="Q3" s="498"/>
      <c r="R3" s="499"/>
      <c r="S3" s="1482">
        <f>INDEX(PT_DIFFERENTIATION_NUM_TER,MATCH(B3,PT_DIFFERENTIATION_TER_ID,0))</f>
      </c>
      <c r="T3" s="454"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646"/>
      <c r="AP3" s="646" t="str">
        <f>IF(T3="","",T3)</f>
        <v>Территория действия тарифа</v>
      </c>
      <c r="AQ3" s="646"/>
      <c r="AR3" s="646"/>
      <c r="AS3" s="1301">
        <v>0</v>
      </c>
    </row>
    <row customHeight="1" ht="23.25" hidden="1">
      <c r="A4" s="1509"/>
      <c r="B4" s="1509"/>
      <c r="C4" s="1509"/>
      <c r="D4" s="1509"/>
      <c r="E4" s="2418"/>
      <c r="F4" s="2418"/>
      <c r="G4" s="2417">
        <v>1</v>
      </c>
      <c r="H4" s="1509"/>
      <c r="I4" s="1509"/>
      <c r="J4" s="1509"/>
      <c r="K4" s="1509"/>
      <c r="L4" s="1510"/>
      <c r="M4" s="1511"/>
      <c r="N4" s="1511"/>
      <c r="O4" s="1511"/>
      <c r="P4" s="500"/>
      <c r="Q4" s="498"/>
      <c r="R4" s="499"/>
      <c r="S4" s="1482">
        <f>INDEX(PT_DIFFERENTIATION_NUM_CS,MATCH(C4,PT_DIFFERENTIATION_CS_ID,0))</f>
      </c>
      <c r="T4" s="455" t="s">
        <v>421</v>
      </c>
      <c r="U4" s="446"/>
      <c r="V4" s="2401"/>
      <c r="W4" s="2402"/>
      <c r="X4" s="2402"/>
      <c r="Y4" s="2402"/>
      <c r="Z4" s="2402"/>
      <c r="AA4" s="2402"/>
      <c r="AB4" s="2402"/>
      <c r="AC4" s="2403"/>
      <c r="AD4" s="2401">
        <f>INDEX(PT_DIFFERENTIATION_CS,MATCH(C4,PT_DIFFERENTIATION_CS_ID,0))</f>
      </c>
      <c r="AE4" s="2402"/>
      <c r="AF4" s="2402"/>
      <c r="AG4" s="2402"/>
      <c r="AH4" s="2402"/>
      <c r="AI4" s="2402"/>
      <c r="AJ4" s="2402"/>
      <c r="AK4" s="2402"/>
      <c r="AL4" s="2403"/>
      <c r="AM4" s="1404" t="s">
        <v>422</v>
      </c>
      <c r="AO4" s="646"/>
      <c r="AP4" s="646" t="str">
        <f>IF(T4="","",T4)</f>
        <v>Наименование системы теплоснабжения </v>
      </c>
      <c r="AQ4" s="646"/>
      <c r="AR4" s="646"/>
      <c r="AS4" s="1301">
        <v>0</v>
      </c>
    </row>
    <row customHeight="1" ht="21" hidden="1">
      <c r="A5" s="1509"/>
      <c r="B5" s="1509"/>
      <c r="C5" s="1509"/>
      <c r="D5" s="1509"/>
      <c r="E5" s="2418"/>
      <c r="F5" s="2418"/>
      <c r="G5" s="2418"/>
      <c r="H5" s="2417">
        <v>1</v>
      </c>
      <c r="I5" s="1509"/>
      <c r="J5" s="1509"/>
      <c r="K5" s="1509"/>
      <c r="L5" s="1510"/>
      <c r="M5" s="1511"/>
      <c r="N5" s="1511"/>
      <c r="O5" s="1511"/>
      <c r="P5" s="500"/>
      <c r="Q5" s="498"/>
      <c r="R5" s="499"/>
      <c r="S5" s="1482">
        <f>INDEX(PT_DIFFERENTIATION_NUM_IST_TE,MATCH(D5,PT_DIFFERENTIATION_IST_TE_ID,0))</f>
      </c>
      <c r="T5" s="456" t="s">
        <v>423</v>
      </c>
      <c r="U5" s="446"/>
      <c r="V5" s="2401"/>
      <c r="W5" s="2402"/>
      <c r="X5" s="2402"/>
      <c r="Y5" s="2402"/>
      <c r="Z5" s="2402"/>
      <c r="AA5" s="2402"/>
      <c r="AB5" s="2402"/>
      <c r="AC5" s="2403"/>
      <c r="AD5" s="2401">
        <f>INDEX(PT_DIFFERENTIATION_IST_TE,MATCH(D5,PT_DIFFERENTIATION_IST_TE_ID,0))</f>
      </c>
      <c r="AE5" s="2402"/>
      <c r="AF5" s="2402"/>
      <c r="AG5" s="2402"/>
      <c r="AH5" s="2402"/>
      <c r="AI5" s="2402"/>
      <c r="AJ5" s="2402"/>
      <c r="AK5" s="2402"/>
      <c r="AL5" s="2403"/>
      <c r="AM5" s="1404" t="s">
        <v>424</v>
      </c>
      <c r="AO5" s="646"/>
      <c r="AP5" s="646" t="str">
        <f>IF(T5="","",T5)</f>
        <v>Источник тепловой энергии  </v>
      </c>
      <c r="AQ5" s="646"/>
      <c r="AR5" s="646"/>
      <c r="AS5" s="1301">
        <v>0</v>
      </c>
    </row>
    <row customHeight="1" ht="14.25" hidden="1">
      <c r="A6" s="1509"/>
      <c r="B6" s="1509"/>
      <c r="C6" s="1509"/>
      <c r="D6" s="1509"/>
      <c r="E6" s="2418"/>
      <c r="F6" s="2418"/>
      <c r="G6" s="2418"/>
      <c r="H6" s="2418"/>
      <c r="I6" s="2415">
        <f>S5&amp;".1"</f>
      </c>
      <c r="J6" s="1509"/>
      <c r="K6" s="1509"/>
      <c r="L6" s="1510" t="s">
        <v>425</v>
      </c>
      <c r="M6" s="683"/>
      <c r="P6" s="2416">
        <v>1</v>
      </c>
      <c r="Q6" s="1477"/>
      <c r="R6" s="502"/>
      <c r="S6" s="1188"/>
      <c r="T6" s="1529"/>
      <c r="U6" s="1530"/>
      <c r="V6" s="2455"/>
      <c r="W6" s="2456"/>
      <c r="X6" s="2456"/>
      <c r="Y6" s="2456"/>
      <c r="Z6" s="2456"/>
      <c r="AA6" s="2456"/>
      <c r="AB6" s="2456"/>
      <c r="AC6" s="2457"/>
      <c r="AD6" s="2455"/>
      <c r="AE6" s="2456"/>
      <c r="AF6" s="2456"/>
      <c r="AG6" s="2456"/>
      <c r="AH6" s="2456"/>
      <c r="AI6" s="2456"/>
      <c r="AJ6" s="2456"/>
      <c r="AK6" s="2456"/>
      <c r="AL6" s="2457"/>
      <c r="AM6" s="1531"/>
      <c r="AO6" s="646"/>
      <c r="AP6" s="646" t="str">
        <f>IF(T6="","",T6)</f>
        <v/>
      </c>
      <c r="AQ6" s="646"/>
      <c r="AR6" s="646"/>
      <c r="AS6" s="1301">
        <v>0</v>
      </c>
    </row>
    <row customHeight="1" ht="21" hidden="1">
      <c r="A7" s="1509"/>
      <c r="B7" s="1509"/>
      <c r="C7" s="1509"/>
      <c r="D7" s="1509"/>
      <c r="E7" s="2418"/>
      <c r="F7" s="2418"/>
      <c r="G7" s="2418"/>
      <c r="H7" s="2418"/>
      <c r="I7" s="2445"/>
      <c r="J7" s="2415">
        <f>I6&amp;".1"</f>
      </c>
      <c r="K7" s="1509"/>
      <c r="L7" s="1510" t="s">
        <v>428</v>
      </c>
      <c r="M7" s="683"/>
      <c r="N7" s="1512"/>
      <c r="P7" s="2416"/>
      <c r="Q7" s="2416">
        <v>1</v>
      </c>
      <c r="R7" s="503"/>
      <c r="S7" s="1482">
        <f>$J7</f>
      </c>
      <c r="T7" s="432" t="s">
        <v>429</v>
      </c>
      <c r="U7" s="446"/>
      <c r="V7" s="2404"/>
      <c r="W7" s="2405"/>
      <c r="X7" s="2405"/>
      <c r="Y7" s="2405"/>
      <c r="Z7" s="2405"/>
      <c r="AA7" s="2405"/>
      <c r="AB7" s="2405"/>
      <c r="AC7" s="2406"/>
      <c r="AD7" s="2404"/>
      <c r="AE7" s="2405"/>
      <c r="AF7" s="2405"/>
      <c r="AG7" s="2405"/>
      <c r="AH7" s="2405"/>
      <c r="AI7" s="2405"/>
      <c r="AJ7" s="2405"/>
      <c r="AK7" s="2405"/>
      <c r="AL7" s="2406"/>
      <c r="AM7" s="1404" t="s">
        <v>430</v>
      </c>
      <c r="AO7" s="646"/>
      <c r="AP7" s="646" t="str">
        <f>IF(T7="","",T7)</f>
        <v>Группа потребителей</v>
      </c>
      <c r="AQ7" s="646"/>
      <c r="AR7" s="646"/>
      <c r="AS7" s="1301">
        <v>0</v>
      </c>
    </row>
    <row customHeight="1" ht="21" hidden="1">
      <c r="A8" s="1509"/>
      <c r="B8" s="1509"/>
      <c r="C8" s="1509"/>
      <c r="D8" s="1509"/>
      <c r="E8" s="2418"/>
      <c r="F8" s="2418"/>
      <c r="G8" s="2418"/>
      <c r="H8" s="2418"/>
      <c r="I8" s="2445"/>
      <c r="J8" s="2445"/>
      <c r="K8" s="2415">
        <f>J7&amp;".1"</f>
      </c>
      <c r="L8" s="1510" t="s">
        <v>431</v>
      </c>
      <c r="M8" s="683"/>
      <c r="N8" s="1512"/>
      <c r="O8" s="1512"/>
      <c r="P8" s="2416"/>
      <c r="Q8" s="2416"/>
      <c r="R8" s="503">
        <v>1</v>
      </c>
      <c r="S8" s="1482">
        <f>$K8</f>
      </c>
      <c r="T8" s="1493"/>
      <c r="U8" s="446"/>
      <c r="V8" s="897"/>
      <c r="W8" s="471"/>
      <c r="X8" s="897"/>
      <c r="Y8" s="1403"/>
      <c r="Z8" s="2424"/>
      <c r="AA8" s="2266" t="s">
        <v>63</v>
      </c>
      <c r="AB8" s="2424"/>
      <c r="AC8" s="2266" t="s">
        <v>63</v>
      </c>
      <c r="AD8" s="897"/>
      <c r="AE8" s="471"/>
      <c r="AF8" s="897"/>
      <c r="AG8" s="1403"/>
      <c r="AH8" s="2424"/>
      <c r="AI8" s="2266" t="s">
        <v>63</v>
      </c>
      <c r="AJ8" s="2424"/>
      <c r="AK8" s="2266" t="s">
        <v>63</v>
      </c>
      <c r="AL8" s="471"/>
      <c r="AM8" s="2412" t="s">
        <v>432</v>
      </c>
      <c r="AN8" s="657">
        <f>STRCHECKDATE(V9:AL9)</f>
      </c>
      <c r="AO8" s="646"/>
      <c r="AP8" s="646" t="str">
        <f>IF(T8="","",T8)</f>
        <v/>
      </c>
      <c r="AQ8" s="646"/>
      <c r="AR8" s="646"/>
      <c r="AS8" s="1301">
        <v>0</v>
      </c>
    </row>
    <row customHeight="1" ht="0.75" hidden="1">
      <c r="A9" s="1509"/>
      <c r="B9" s="1509"/>
      <c r="C9" s="1509"/>
      <c r="D9" s="1509"/>
      <c r="E9" s="2418"/>
      <c r="F9" s="2418"/>
      <c r="G9" s="2418"/>
      <c r="H9" s="2418"/>
      <c r="I9" s="2445"/>
      <c r="J9" s="2445"/>
      <c r="K9" s="2415"/>
      <c r="L9" s="1510"/>
      <c r="M9" s="683"/>
      <c r="N9" s="1512"/>
      <c r="O9" s="1512"/>
      <c r="P9" s="2416"/>
      <c r="Q9" s="2416"/>
      <c r="R9" s="503"/>
      <c r="S9" s="1488"/>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646"/>
      <c r="AP9" s="646" t="str">
        <f>IF(T9="","",T9)</f>
        <v/>
      </c>
      <c r="AQ9" s="646"/>
      <c r="AR9" s="646"/>
      <c r="AS9" s="1301">
        <v>0</v>
      </c>
    </row>
    <row customHeight="1" ht="15" hidden="1">
      <c r="A10" s="1509"/>
      <c r="B10" s="1509"/>
      <c r="C10" s="1509"/>
      <c r="D10" s="1509"/>
      <c r="E10" s="2418"/>
      <c r="F10" s="2418"/>
      <c r="G10" s="2418"/>
      <c r="H10" s="2418"/>
      <c r="I10" s="2445"/>
      <c r="J10" s="2415"/>
      <c r="K10" s="1509"/>
      <c r="L10" s="1510"/>
      <c r="M10" s="683"/>
      <c r="N10" s="1512"/>
      <c r="P10" s="2416"/>
      <c r="Q10" s="2416"/>
      <c r="R10" s="502"/>
      <c r="S10" s="1424"/>
      <c r="T10" s="433" t="s">
        <v>433</v>
      </c>
      <c r="U10" s="513"/>
      <c r="V10" s="513"/>
      <c r="W10" s="513"/>
      <c r="X10" s="513"/>
      <c r="Y10" s="513"/>
      <c r="Z10" s="513"/>
      <c r="AA10" s="513"/>
      <c r="AB10" s="513"/>
      <c r="AC10" s="513"/>
      <c r="AD10" s="513"/>
      <c r="AE10" s="513"/>
      <c r="AF10" s="513"/>
      <c r="AG10" s="513"/>
      <c r="AH10" s="513"/>
      <c r="AI10" s="513"/>
      <c r="AJ10" s="513"/>
      <c r="AK10" s="513"/>
      <c r="AL10" s="470"/>
      <c r="AM10" s="2414"/>
      <c r="AO10" s="646"/>
      <c r="AP10" s="646" t="str">
        <f>IF(T10="","",T10)</f>
        <v>Добавить вид теплоносителя (параметры теплоносителя)</v>
      </c>
      <c r="AQ10" s="646"/>
      <c r="AR10" s="646"/>
      <c r="AS10" s="1301">
        <v>0</v>
      </c>
    </row>
    <row customHeight="1" ht="15" hidden="1">
      <c r="A11" s="1509"/>
      <c r="B11" s="1509"/>
      <c r="C11" s="1509"/>
      <c r="D11" s="1509"/>
      <c r="E11" s="2418"/>
      <c r="F11" s="2418"/>
      <c r="G11" s="2418"/>
      <c r="H11" s="2418"/>
      <c r="I11" s="2415"/>
      <c r="J11" s="1509"/>
      <c r="K11" s="1509"/>
      <c r="L11" s="1510"/>
      <c r="M11" s="683"/>
      <c r="P11" s="2416"/>
      <c r="Q11" s="1477"/>
      <c r="R11" s="502"/>
      <c r="S11" s="1424"/>
      <c r="T11" s="511" t="s">
        <v>434</v>
      </c>
      <c r="U11" s="513"/>
      <c r="V11" s="513"/>
      <c r="W11" s="513"/>
      <c r="X11" s="513"/>
      <c r="Y11" s="513"/>
      <c r="Z11" s="513"/>
      <c r="AA11" s="513"/>
      <c r="AB11" s="513"/>
      <c r="AC11" s="512"/>
      <c r="AD11" s="513"/>
      <c r="AE11" s="513"/>
      <c r="AF11" s="513"/>
      <c r="AG11" s="513"/>
      <c r="AH11" s="513"/>
      <c r="AI11" s="513"/>
      <c r="AJ11" s="513"/>
      <c r="AK11" s="512"/>
      <c r="AL11" s="513"/>
      <c r="AM11" s="449"/>
      <c r="AO11" s="646"/>
      <c r="AP11" s="646" t="str">
        <f>IF(T11="","",T11)</f>
        <v>Добавить группу потребителей</v>
      </c>
      <c r="AQ11" s="646"/>
      <c r="AR11" s="646"/>
      <c r="AS11" s="1301">
        <v>0</v>
      </c>
    </row>
    <row customHeight="1" ht="14.25" hidden="1">
      <c r="A12" s="1509"/>
      <c r="B12" s="1509"/>
      <c r="C12" s="1509"/>
      <c r="D12" s="1509"/>
      <c r="E12" s="2418"/>
      <c r="F12" s="2418"/>
      <c r="G12" s="2418"/>
      <c r="H12" s="2417"/>
      <c r="I12" s="1509"/>
      <c r="J12" s="1509"/>
      <c r="K12" s="1509"/>
      <c r="L12" s="1510"/>
      <c r="M12" s="1511"/>
      <c r="N12" s="1511"/>
      <c r="O12" s="683"/>
      <c r="P12" s="506"/>
      <c r="Q12" s="521"/>
      <c r="R12" s="501"/>
      <c r="S12" s="1532"/>
      <c r="T12" s="1533"/>
      <c r="U12" s="1534"/>
      <c r="V12" s="1534"/>
      <c r="W12" s="1534"/>
      <c r="X12" s="1534"/>
      <c r="Y12" s="1534"/>
      <c r="Z12" s="1534"/>
      <c r="AA12" s="1534"/>
      <c r="AB12" s="1534"/>
      <c r="AC12" s="1534"/>
      <c r="AD12" s="1534"/>
      <c r="AE12" s="1534"/>
      <c r="AF12" s="1534"/>
      <c r="AG12" s="1534"/>
      <c r="AH12" s="1534"/>
      <c r="AI12" s="1534"/>
      <c r="AJ12" s="1534"/>
      <c r="AK12" s="1534"/>
      <c r="AL12" s="1534"/>
      <c r="AM12" s="1535"/>
      <c r="AO12" s="646"/>
      <c r="AP12" s="646" t="str">
        <f>IF(T12="","",T12)</f>
        <v/>
      </c>
      <c r="AQ12" s="646"/>
      <c r="AR12" s="646"/>
      <c r="AS12" s="1301">
        <v>0</v>
      </c>
    </row>
    <row s="6720" customFormat="1" customHeight="1" ht="0.75" hidden="1">
      <c r="A13" s="1460"/>
      <c r="B13" s="1460"/>
      <c r="C13" s="1460"/>
      <c r="D13" s="1460"/>
      <c r="E13" s="2418"/>
      <c r="F13" s="2418"/>
      <c r="G13" s="2417"/>
      <c r="H13" s="1460"/>
      <c r="I13" s="1460"/>
      <c r="J13" s="1460"/>
      <c r="K13" s="1460"/>
      <c r="L13" s="1485"/>
      <c r="M13" s="1461"/>
      <c r="N13" s="1461"/>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935"/>
      <c r="AP13" s="935" t="str">
        <f>IF(T13="","",T13)</f>
        <v>Добавить источник для дифференциации</v>
      </c>
      <c r="AQ13" s="935"/>
      <c r="AR13" s="935"/>
      <c r="AS13" s="664">
        <v>0</v>
      </c>
    </row>
    <row s="6720" customFormat="1" customHeight="1" ht="0.75" hidden="1">
      <c r="A14" s="1460"/>
      <c r="B14" s="1460"/>
      <c r="C14" s="1460"/>
      <c r="D14" s="1460"/>
      <c r="E14" s="2418"/>
      <c r="F14" s="2417"/>
      <c r="G14" s="1460"/>
      <c r="H14" s="1460"/>
      <c r="I14" s="1460"/>
      <c r="J14" s="1460"/>
      <c r="K14" s="1460"/>
      <c r="L14" s="1485"/>
      <c r="M14" s="1467"/>
      <c r="N14" s="1467"/>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935"/>
      <c r="AP14" s="935" t="str">
        <f>IF(T14="","",T14)</f>
        <v>Добавить централизованную систему для дифференциации</v>
      </c>
      <c r="AQ14" s="935"/>
      <c r="AR14" s="935"/>
      <c r="AS14" s="664">
        <v>0</v>
      </c>
    </row>
    <row s="6720" customFormat="1" customHeight="1" ht="0.75" hidden="1">
      <c r="A15" s="1460"/>
      <c r="B15" s="1460"/>
      <c r="C15" s="1460"/>
      <c r="D15" s="1460"/>
      <c r="E15" s="2417"/>
      <c r="F15" s="1460"/>
      <c r="G15" s="1460"/>
      <c r="H15" s="1460"/>
      <c r="I15" s="1460"/>
      <c r="J15" s="1460"/>
      <c r="K15" s="1460"/>
      <c r="L15" s="1485"/>
      <c r="M15" s="1467"/>
      <c r="N15" s="1467"/>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935"/>
      <c r="AP15" s="935" t="str">
        <f>IF(T15="","",T15)</f>
        <v>Добавить территорию для дифференциации</v>
      </c>
      <c r="AQ15" s="935"/>
      <c r="AR15" s="935"/>
      <c r="AS15" s="664">
        <v>0</v>
      </c>
    </row>
    <row customHeight="1" ht="14.25" hidden="1">
      <c r="AC16" s="473"/>
      <c r="AK16" s="473"/>
      <c r="AS16" s="1301">
        <v>0</v>
      </c>
    </row>
    <row customHeight="1" ht="14.25" hidden="1">
      <c r="AD17" s="1506"/>
      <c r="AE17" s="1506"/>
      <c r="AF17" s="1506"/>
      <c r="AG17" s="1507"/>
      <c r="AH17" s="2426"/>
      <c r="AI17" s="2427" t="s">
        <v>63</v>
      </c>
      <c r="AJ17" s="2426"/>
      <c r="AK17" s="2427" t="s">
        <v>63</v>
      </c>
      <c r="AS17" s="1301">
        <v>0</v>
      </c>
    </row>
    <row customHeight="1" ht="14.25" hidden="1">
      <c r="AD18" s="1506"/>
      <c r="AE18" s="1506"/>
      <c r="AF18" s="1506"/>
      <c r="AG18" s="474" t="str">
        <f>AH17&amp;"-"&amp;AJ17</f>
        <v>-</v>
      </c>
      <c r="AH18" s="2427"/>
      <c r="AI18" s="2427"/>
      <c r="AJ18" s="2427"/>
      <c r="AK18" s="2427"/>
      <c r="AS18" s="1301">
        <v>0</v>
      </c>
    </row>
    <row customHeight="1" ht="14.25" hidden="1">
      <c r="AK19" s="473"/>
      <c r="AS19" s="1301">
        <v>0</v>
      </c>
    </row>
    <row s="7180" customFormat="1" customHeight="1" ht="22.5" hidden="1">
      <c r="L20" s="1475"/>
      <c r="M20" s="1508"/>
      <c r="N20" s="1508"/>
      <c r="O20" s="1513" t="s">
        <v>439</v>
      </c>
      <c r="P20" s="1508"/>
      <c r="Q20" s="1517"/>
      <c r="R20" s="1517"/>
      <c r="S20" s="875"/>
      <c r="Z20" s="1513"/>
      <c r="AB20" s="1513"/>
      <c r="AC20" s="1512"/>
      <c r="AH20" s="1513"/>
      <c r="AJ20" s="1513"/>
      <c r="AK20" s="1512"/>
      <c r="AN20" s="657"/>
      <c r="AO20" s="657"/>
      <c r="AP20" s="657"/>
      <c r="AQ20" s="657"/>
      <c r="AR20" s="657"/>
      <c r="AS20" s="1306">
        <v>0</v>
      </c>
    </row>
    <row s="7180" customFormat="1" customHeight="1" ht="14.25" hidden="1">
      <c r="L21" s="1475"/>
      <c r="M21" s="1508"/>
      <c r="N21" s="1508"/>
      <c r="O21" s="1508"/>
      <c r="P21" s="1508"/>
      <c r="Q21" s="1517"/>
      <c r="R21" s="1517"/>
      <c r="S21" s="875"/>
      <c r="AC21" s="1512"/>
      <c r="AK21" s="1512"/>
      <c r="AN21" s="657"/>
      <c r="AO21" s="657"/>
      <c r="AP21" s="657"/>
      <c r="AQ21" s="657"/>
      <c r="AR21" s="657"/>
      <c r="AS21" s="1306">
        <v>0</v>
      </c>
    </row>
    <row s="7180" customFormat="1" customHeight="1" ht="14.25" hidden="1">
      <c r="L22" s="1475"/>
      <c r="M22" s="1508"/>
      <c r="N22" s="1508"/>
      <c r="O22" s="1510" t="s">
        <v>440</v>
      </c>
      <c r="P22" s="1508"/>
      <c r="Q22" s="1517"/>
      <c r="R22" s="1517"/>
      <c r="S22" s="875"/>
      <c r="T22" s="1306" t="s">
        <v>441</v>
      </c>
      <c r="AA22" s="332" t="s">
        <v>442</v>
      </c>
      <c r="AC22" s="332" t="s">
        <v>443</v>
      </c>
      <c r="AD22" s="1306" t="s">
        <v>441</v>
      </c>
      <c r="AI22" s="332" t="s">
        <v>444</v>
      </c>
      <c r="AK22" s="332" t="s">
        <v>443</v>
      </c>
      <c r="AN22" s="657"/>
      <c r="AO22" s="657"/>
      <c r="AP22" s="657"/>
      <c r="AQ22" s="657"/>
      <c r="AR22" s="657"/>
      <c r="AS22" s="1306">
        <v>0</v>
      </c>
    </row>
    <row customHeight="1" ht="14.25" hidden="1">
      <c r="O23" s="1510"/>
      <c r="AS23" s="1301">
        <v>0</v>
      </c>
    </row>
    <row customHeight="1" ht="14.25" hidden="1">
      <c r="O24" s="1510"/>
      <c r="AS24" s="1301">
        <v>0</v>
      </c>
    </row>
    <row customHeight="1" ht="14.699999999999998">
      <c r="Q25" s="522"/>
      <c r="R25" s="522"/>
      <c r="S25" s="1421"/>
      <c r="T25" s="509"/>
      <c r="U25" s="509"/>
      <c r="V25" s="655"/>
      <c r="W25" s="655"/>
      <c r="X25" s="655"/>
      <c r="Y25" s="655"/>
      <c r="Z25" s="655"/>
      <c r="AA25" s="655"/>
      <c r="AB25" s="655"/>
      <c r="AC25" s="655"/>
      <c r="AD25" s="655"/>
      <c r="AE25" s="655"/>
      <c r="AF25" s="655"/>
      <c r="AG25" s="655"/>
      <c r="AH25" s="655"/>
      <c r="AI25" s="655"/>
      <c r="AJ25" s="655"/>
      <c r="AK25" s="655"/>
      <c r="AS25" s="1301">
        <v>14</v>
      </c>
    </row>
    <row customHeight="1" ht="63">
      <c r="Q26" s="522"/>
      <c r="R26" s="522"/>
      <c r="S26" s="24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7"/>
      <c r="U26" s="2407"/>
      <c r="V26" s="2407"/>
      <c r="W26" s="2407"/>
      <c r="X26" s="2407"/>
      <c r="Y26" s="2407"/>
      <c r="Z26" s="2407"/>
      <c r="AA26" s="2407"/>
      <c r="AB26" s="2407"/>
      <c r="AC26" s="2407"/>
      <c r="AD26" s="2407"/>
      <c r="AE26" s="2407"/>
      <c r="AF26" s="2407"/>
      <c r="AG26" s="2407"/>
      <c r="AH26" s="2407"/>
      <c r="AI26" s="2407"/>
      <c r="AJ26" s="2407"/>
      <c r="AK26" s="1389"/>
      <c r="AS26" s="1301">
        <v>60</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301">
        <v>14</v>
      </c>
    </row>
    <row customHeight="1" ht="14.25" hidden="1">
      <c r="Q28" s="522"/>
      <c r="R28" s="522"/>
      <c r="S28" s="1421"/>
      <c r="T28" s="509"/>
      <c r="U28" s="509"/>
      <c r="V28" s="468"/>
      <c r="W28" s="468"/>
      <c r="X28" s="468"/>
      <c r="Y28" s="468"/>
      <c r="Z28" s="468"/>
      <c r="AA28" s="468"/>
      <c r="AB28" s="468"/>
      <c r="AC28" s="468"/>
      <c r="AD28" s="468"/>
      <c r="AE28" s="468"/>
      <c r="AF28" s="468"/>
      <c r="AG28" s="468"/>
      <c r="AH28" s="468"/>
      <c r="AI28" s="468"/>
      <c r="AJ28" s="468"/>
      <c r="AK28" s="468"/>
      <c r="AL28" s="655"/>
      <c r="AS28" s="1301">
        <v>0</v>
      </c>
    </row>
    <row s="7809" customFormat="1" customHeight="1" ht="25.5" hidden="1">
      <c r="A29" s="1514"/>
      <c r="B29" s="1514"/>
      <c r="C29" s="1514"/>
      <c r="D29" s="1514"/>
      <c r="E29" s="1514"/>
      <c r="F29" s="1514"/>
      <c r="G29" s="1514"/>
      <c r="H29" s="1514"/>
      <c r="I29" s="1514"/>
      <c r="J29" s="1514"/>
      <c r="K29" s="1514"/>
      <c r="L29" s="1515"/>
      <c r="M29" s="1514"/>
      <c r="N29" s="1514"/>
      <c r="O29" s="1514"/>
      <c r="S29" s="2409" t="s">
        <v>42</v>
      </c>
      <c r="T29" s="2409"/>
      <c r="U29" s="1518"/>
      <c r="V29" s="2410" t="str">
        <f>IF(TITLE_NAME_OR_PR_CHANGE="",IF(TITLE_NAME_OR_PR="","",TITLE_NAME_OR_PR),TITLE_NAME_OR_PR_CHANGE)</f>
        <v/>
      </c>
      <c r="W29" s="2410"/>
      <c r="X29" s="2410"/>
      <c r="Y29" s="2410"/>
      <c r="Z29" s="2410"/>
      <c r="AA29" s="2410"/>
      <c r="AB29" s="2410"/>
      <c r="AC29" s="472"/>
      <c r="AD29" s="2410" t="str">
        <f>IF(TITLE_NAME_OR_PR_CHANGE="",IF(TITLE_NAME_OR_PR="","",TITLE_NAME_OR_PR),TITLE_NAME_OR_PR_CHANGE)</f>
        <v/>
      </c>
      <c r="AE29" s="2410"/>
      <c r="AF29" s="2410"/>
      <c r="AG29" s="2410"/>
      <c r="AH29" s="2410"/>
      <c r="AI29" s="2410"/>
      <c r="AJ29" s="2410"/>
      <c r="AK29" s="472"/>
      <c r="AL29" s="472"/>
      <c r="AM29" s="426"/>
      <c r="AN29" s="514"/>
      <c r="AO29" s="514"/>
      <c r="AP29" s="514"/>
      <c r="AQ29" s="514"/>
      <c r="AR29" s="514"/>
      <c r="AS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445</v>
      </c>
      <c r="T30" s="2409"/>
      <c r="U30" s="1518"/>
      <c r="V30" s="2423" t="str">
        <f>IF(TITLE_DATE_PR_CHANGE="",IF(TITLE_DATE_PR="","",TITLE_DATE_PR),TITLE_DATE_PR_CHANGE)</f>
        <v/>
      </c>
      <c r="W30" s="2423"/>
      <c r="X30" s="2423"/>
      <c r="Y30" s="2423"/>
      <c r="Z30" s="2423"/>
      <c r="AA30" s="2423"/>
      <c r="AB30" s="2423"/>
      <c r="AC30" s="472"/>
      <c r="AD30" s="2423" t="str">
        <f>IF(TITLE_DATE_PR_CHANGE="",IF(TITLE_DATE_PR="","",TITLE_DATE_PR),TITLE_DATE_PR_CHANGE)</f>
        <v/>
      </c>
      <c r="AE30" s="2423"/>
      <c r="AF30" s="2423"/>
      <c r="AG30" s="2423"/>
      <c r="AH30" s="2423"/>
      <c r="AI30" s="2423"/>
      <c r="AJ30" s="2423"/>
      <c r="AK30" s="472"/>
      <c r="AL30" s="472"/>
      <c r="AM30" s="426"/>
      <c r="AN30" s="514"/>
      <c r="AO30" s="514"/>
      <c r="AP30" s="514"/>
      <c r="AQ30" s="514"/>
      <c r="AR30" s="514"/>
      <c r="AS30" s="564">
        <v>0</v>
      </c>
    </row>
    <row s="7809" customFormat="1" customHeight="1" ht="18.75" hidden="1">
      <c r="A31" s="1514"/>
      <c r="B31" s="1514"/>
      <c r="C31" s="1514"/>
      <c r="D31" s="1514"/>
      <c r="E31" s="1514"/>
      <c r="F31" s="1514"/>
      <c r="G31" s="1514"/>
      <c r="H31" s="1514"/>
      <c r="I31" s="1514"/>
      <c r="J31" s="1514"/>
      <c r="K31" s="1514"/>
      <c r="L31" s="1515"/>
      <c r="M31" s="1514"/>
      <c r="N31" s="1514"/>
      <c r="O31" s="1514"/>
      <c r="S31" s="2409" t="s">
        <v>446</v>
      </c>
      <c r="T31" s="2409"/>
      <c r="U31" s="1518"/>
      <c r="V31" s="2410" t="str">
        <f>IF(TITLE_NUMBER_PR_CHANGE="",IF(TITLE_NUMBER_PR="","",TITLE_NUMBER_PR),TITLE_NUMBER_PR_CHANGE)</f>
        <v/>
      </c>
      <c r="W31" s="2410"/>
      <c r="X31" s="2410"/>
      <c r="Y31" s="2410"/>
      <c r="Z31" s="2410"/>
      <c r="AA31" s="2410"/>
      <c r="AB31" s="2410"/>
      <c r="AC31" s="472"/>
      <c r="AD31" s="2410" t="str">
        <f>IF(TITLE_NUMBER_PR_CHANGE="",IF(TITLE_NUMBER_PR="","",TITLE_NUMBER_PR),TITLE_NUMBER_PR_CHANGE)</f>
        <v/>
      </c>
      <c r="AE31" s="2410"/>
      <c r="AF31" s="2410"/>
      <c r="AG31" s="2410"/>
      <c r="AH31" s="2410"/>
      <c r="AI31" s="2410"/>
      <c r="AJ31" s="2410"/>
      <c r="AK31" s="472"/>
      <c r="AL31" s="472"/>
      <c r="AM31" s="426"/>
      <c r="AN31" s="514"/>
      <c r="AO31" s="514"/>
      <c r="AP31" s="514"/>
      <c r="AQ31" s="514"/>
      <c r="AR31" s="514"/>
      <c r="AS31" s="564">
        <v>0</v>
      </c>
    </row>
    <row s="7809" customFormat="1" customHeight="1" ht="18.75" hidden="1">
      <c r="A32" s="1514"/>
      <c r="B32" s="1514"/>
      <c r="C32" s="1514"/>
      <c r="D32" s="1514"/>
      <c r="E32" s="1514"/>
      <c r="F32" s="1514"/>
      <c r="G32" s="1514"/>
      <c r="H32" s="1514"/>
      <c r="I32" s="1514"/>
      <c r="J32" s="1514"/>
      <c r="K32" s="1514"/>
      <c r="L32" s="1515"/>
      <c r="M32" s="1514"/>
      <c r="N32" s="1514"/>
      <c r="O32" s="1514"/>
      <c r="S32" s="2409" t="s">
        <v>43</v>
      </c>
      <c r="T32" s="2409"/>
      <c r="U32" s="1518"/>
      <c r="V32" s="2410" t="str">
        <f>IF(TITLE_IST_PUB_CHANGE="",IF(TITLE_IST_PUB="","",TITLE_IST_PUB),TITLE_IST_PUB_CHANGE)</f>
        <v/>
      </c>
      <c r="W32" s="2410"/>
      <c r="X32" s="2410"/>
      <c r="Y32" s="2410"/>
      <c r="Z32" s="2410"/>
      <c r="AA32" s="2410"/>
      <c r="AB32" s="2410"/>
      <c r="AC32" s="472"/>
      <c r="AD32" s="2410" t="str">
        <f>IF(TITLE_IST_PUB_CHANGE="",IF(TITLE_IST_PUB="","",TITLE_IST_PUB),TITLE_IST_PUB_CHANGE)</f>
        <v/>
      </c>
      <c r="AE32" s="2410"/>
      <c r="AF32" s="2410"/>
      <c r="AG32" s="2410"/>
      <c r="AH32" s="2410"/>
      <c r="AI32" s="2410"/>
      <c r="AJ32" s="2410"/>
      <c r="AK32" s="472"/>
      <c r="AL32" s="472"/>
      <c r="AM32" s="426"/>
      <c r="AN32" s="514"/>
      <c r="AO32" s="514"/>
      <c r="AP32" s="514"/>
      <c r="AQ32" s="514"/>
      <c r="AR32" s="514"/>
      <c r="AS32" s="564">
        <v>0</v>
      </c>
    </row>
    <row customHeight="1" ht="14.25" hidden="1">
      <c r="Q33" s="522"/>
      <c r="R33" s="522"/>
      <c r="S33" s="1421"/>
      <c r="T33" s="509"/>
      <c r="U33" s="509"/>
      <c r="V33" s="468"/>
      <c r="W33" s="468"/>
      <c r="X33" s="468"/>
      <c r="Y33" s="468"/>
      <c r="Z33" s="468"/>
      <c r="AA33" s="468"/>
      <c r="AB33" s="468"/>
      <c r="AC33" s="468"/>
      <c r="AD33" s="468"/>
      <c r="AE33" s="468"/>
      <c r="AF33" s="468"/>
      <c r="AG33" s="468"/>
      <c r="AH33" s="468"/>
      <c r="AI33" s="468"/>
      <c r="AJ33" s="468"/>
      <c r="AK33" s="468"/>
      <c r="AL33" s="655"/>
      <c r="AS33" s="1301">
        <v>0</v>
      </c>
    </row>
    <row s="7809" customFormat="1" customHeight="1" ht="18.75" hidden="1">
      <c r="A34" s="1514"/>
      <c r="B34" s="1514"/>
      <c r="C34" s="1514"/>
      <c r="D34" s="1514"/>
      <c r="E34" s="1514"/>
      <c r="F34" s="1514"/>
      <c r="G34" s="1514"/>
      <c r="H34" s="1514"/>
      <c r="I34" s="1514"/>
      <c r="J34" s="1514"/>
      <c r="K34" s="1514"/>
      <c r="L34" s="1515"/>
      <c r="M34" s="1514"/>
      <c r="N34" s="1514"/>
      <c r="O34" s="1514"/>
      <c r="S34" s="2409" t="s">
        <v>447</v>
      </c>
      <c r="T34" s="2409"/>
      <c r="U34" s="1518"/>
      <c r="V34" s="2423" t="str">
        <f>IF(TITLE_DATE_PR_CHANGE="",IF(TITLE_DATE_PR="","",TITLE_DATE_PR),TITLE_DATE_PR_CHANGE)</f>
        <v/>
      </c>
      <c r="W34" s="2423"/>
      <c r="X34" s="2423"/>
      <c r="Y34" s="2423"/>
      <c r="Z34" s="2423"/>
      <c r="AA34" s="2423"/>
      <c r="AB34" s="2423"/>
      <c r="AC34" s="472"/>
      <c r="AD34" s="2423" t="str">
        <f>IF(TITLE_DATE_PR_CHANGE="",IF(TITLE_DATE_PR="","",TITLE_DATE_PR),TITLE_DATE_PR_CHANGE)</f>
        <v/>
      </c>
      <c r="AE34" s="2423"/>
      <c r="AF34" s="2423"/>
      <c r="AG34" s="2423"/>
      <c r="AH34" s="2423"/>
      <c r="AI34" s="2423"/>
      <c r="AJ34" s="2423"/>
      <c r="AK34" s="472"/>
      <c r="AL34" s="472"/>
      <c r="AM34" s="426"/>
      <c r="AN34" s="514"/>
      <c r="AO34" s="514"/>
      <c r="AP34" s="514"/>
      <c r="AQ34" s="514"/>
      <c r="AR34" s="514"/>
      <c r="AS34" s="564">
        <v>0</v>
      </c>
    </row>
    <row s="7809" customFormat="1" customHeight="1" ht="18.75" hidden="1">
      <c r="A35" s="1514"/>
      <c r="B35" s="1514"/>
      <c r="C35" s="1514"/>
      <c r="D35" s="1514"/>
      <c r="E35" s="1514"/>
      <c r="F35" s="1514"/>
      <c r="G35" s="1514"/>
      <c r="H35" s="1514"/>
      <c r="I35" s="1514"/>
      <c r="J35" s="1514"/>
      <c r="K35" s="1514"/>
      <c r="L35" s="1515"/>
      <c r="M35" s="1514"/>
      <c r="N35" s="1514"/>
      <c r="O35" s="1514"/>
      <c r="S35" s="2409" t="s">
        <v>448</v>
      </c>
      <c r="T35" s="2409"/>
      <c r="U35" s="1518"/>
      <c r="V35" s="2410" t="str">
        <f>IF(TITLE_NUMBER_PR_CHANGE="",IF(TITLE_NUMBER_PR="","",TITLE_NUMBER_PR),TITLE_NUMBER_PR_CHANGE)</f>
        <v/>
      </c>
      <c r="W35" s="2410"/>
      <c r="X35" s="2410"/>
      <c r="Y35" s="2410"/>
      <c r="Z35" s="2410"/>
      <c r="AA35" s="2410"/>
      <c r="AB35" s="2410"/>
      <c r="AC35" s="472"/>
      <c r="AD35" s="2410" t="str">
        <f>IF(TITLE_NUMBER_PR_CHANGE="",IF(TITLE_NUMBER_PR="","",TITLE_NUMBER_PR),TITLE_NUMBER_PR_CHANGE)</f>
        <v/>
      </c>
      <c r="AE35" s="2410"/>
      <c r="AF35" s="2410"/>
      <c r="AG35" s="2410"/>
      <c r="AH35" s="2410"/>
      <c r="AI35" s="2410"/>
      <c r="AJ35" s="2410"/>
      <c r="AK35" s="472"/>
      <c r="AL35" s="472"/>
      <c r="AM35" s="426"/>
      <c r="AN35" s="514"/>
      <c r="AO35" s="514"/>
      <c r="AP35" s="514"/>
      <c r="AQ35" s="514"/>
      <c r="AR35" s="514"/>
      <c r="AS35" s="564">
        <v>0</v>
      </c>
    </row>
    <row s="7809" customFormat="1" customHeight="1" ht="0">
      <c r="A36" s="1514"/>
      <c r="B36" s="1514"/>
      <c r="C36" s="1514"/>
      <c r="D36" s="1514"/>
      <c r="E36" s="1514"/>
      <c r="F36" s="1514"/>
      <c r="G36" s="1514"/>
      <c r="H36" s="1514"/>
      <c r="I36" s="1514"/>
      <c r="J36" s="1514"/>
      <c r="K36" s="1514"/>
      <c r="L36" s="1515"/>
      <c r="M36" s="1514"/>
      <c r="N36" s="1514"/>
      <c r="O36" s="1514"/>
      <c r="S36" s="469"/>
      <c r="T36" s="469"/>
      <c r="U36" s="1486"/>
      <c r="V36" s="472"/>
      <c r="W36" s="472"/>
      <c r="X36" s="472"/>
      <c r="Y36" s="472"/>
      <c r="Z36" s="472"/>
      <c r="AA36" s="472"/>
      <c r="AB36" s="472"/>
      <c r="AC36" s="424" t="s">
        <v>449</v>
      </c>
      <c r="AD36" s="472"/>
      <c r="AE36" s="472"/>
      <c r="AF36" s="472"/>
      <c r="AG36" s="472"/>
      <c r="AH36" s="472"/>
      <c r="AI36" s="472"/>
      <c r="AJ36" s="472"/>
      <c r="AK36" s="424" t="s">
        <v>449</v>
      </c>
      <c r="AN36" s="514"/>
      <c r="AO36" s="514"/>
      <c r="AP36" s="514"/>
      <c r="AQ36" s="514"/>
      <c r="AR36" s="514"/>
      <c r="AS36" s="564">
        <v>0</v>
      </c>
    </row>
    <row customHeight="1" ht="14.699999999999998">
      <c r="Q37" s="522"/>
      <c r="R37" s="522"/>
      <c r="S37" s="1421"/>
      <c r="T37" s="509"/>
      <c r="U37" s="1390"/>
      <c r="V37" s="2411"/>
      <c r="W37" s="2411"/>
      <c r="X37" s="2411"/>
      <c r="Y37" s="2411"/>
      <c r="Z37" s="2411"/>
      <c r="AA37" s="2411"/>
      <c r="AB37" s="2411"/>
      <c r="AC37" s="2411"/>
      <c r="AD37" s="2411"/>
      <c r="AE37" s="2411"/>
      <c r="AF37" s="2411"/>
      <c r="AG37" s="2411"/>
      <c r="AH37" s="2411"/>
      <c r="AI37" s="2411"/>
      <c r="AJ37" s="2411"/>
      <c r="AK37" s="2411"/>
      <c r="AS37" s="1301">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301">
        <v>14</v>
      </c>
    </row>
    <row customHeight="1" ht="14.699999999999998">
      <c r="Q39" s="522"/>
      <c r="R39" s="522"/>
      <c r="S39" s="2432" t="s">
        <v>89</v>
      </c>
      <c r="T39" s="2368" t="s">
        <v>450</v>
      </c>
      <c r="U39" s="447"/>
      <c r="V39" s="2433" t="s">
        <v>451</v>
      </c>
      <c r="W39" s="2434"/>
      <c r="X39" s="2434"/>
      <c r="Y39" s="2434"/>
      <c r="Z39" s="2434"/>
      <c r="AA39" s="2434"/>
      <c r="AB39" s="2435"/>
      <c r="AC39" s="2436" t="s">
        <v>452</v>
      </c>
      <c r="AD39" s="2433" t="s">
        <v>451</v>
      </c>
      <c r="AE39" s="2434"/>
      <c r="AF39" s="2434"/>
      <c r="AG39" s="2434"/>
      <c r="AH39" s="2434"/>
      <c r="AI39" s="2434"/>
      <c r="AJ39" s="2435"/>
      <c r="AK39" s="2436" t="s">
        <v>453</v>
      </c>
      <c r="AL39" s="2439" t="s">
        <v>454</v>
      </c>
      <c r="AM39" s="2286"/>
      <c r="AS39" s="1301">
        <v>14</v>
      </c>
    </row>
    <row customHeight="1" ht="35.699999999999996">
      <c r="Q40" s="522"/>
      <c r="R40" s="522"/>
      <c r="S40" s="2432"/>
      <c r="T40" s="2368"/>
      <c r="U40" s="1177"/>
      <c r="V40" s="2419" t="s">
        <v>455</v>
      </c>
      <c r="W40" s="2442"/>
      <c r="X40" s="2421" t="s">
        <v>457</v>
      </c>
      <c r="Y40" s="2422"/>
      <c r="Z40" s="2421" t="s">
        <v>458</v>
      </c>
      <c r="AA40" s="2428"/>
      <c r="AB40" s="2422"/>
      <c r="AC40" s="2437"/>
      <c r="AD40" s="2419" t="s">
        <v>472</v>
      </c>
      <c r="AE40" s="2442"/>
      <c r="AF40" s="2421" t="s">
        <v>457</v>
      </c>
      <c r="AG40" s="2422"/>
      <c r="AH40" s="2421" t="s">
        <v>458</v>
      </c>
      <c r="AI40" s="2428"/>
      <c r="AJ40" s="2422"/>
      <c r="AK40" s="2437"/>
      <c r="AL40" s="2440"/>
      <c r="AM40" s="2286"/>
      <c r="AS40" s="1301">
        <v>34</v>
      </c>
    </row>
    <row customHeight="1" ht="35.699999999999996">
      <c r="A41" s="1516"/>
      <c r="B41" s="1516" t="s">
        <v>159</v>
      </c>
      <c r="C41" s="1516" t="s">
        <v>160</v>
      </c>
      <c r="D41" s="1516" t="s">
        <v>161</v>
      </c>
      <c r="E41" s="1510" t="s">
        <v>459</v>
      </c>
      <c r="F41" s="1510" t="s">
        <v>460</v>
      </c>
      <c r="G41" s="1510" t="s">
        <v>461</v>
      </c>
      <c r="H41" s="1510" t="s">
        <v>462</v>
      </c>
      <c r="I41" s="1510" t="s">
        <v>463</v>
      </c>
      <c r="J41" s="1510" t="s">
        <v>464</v>
      </c>
      <c r="K41" s="1510" t="s">
        <v>465</v>
      </c>
      <c r="L41" s="1510" t="s">
        <v>440</v>
      </c>
      <c r="Q41" s="522"/>
      <c r="R41" s="522"/>
      <c r="S41" s="2432"/>
      <c r="T41" s="2368"/>
      <c r="U41" s="448"/>
      <c r="V41" s="2420"/>
      <c r="W41" s="2443"/>
      <c r="X41" s="1368" t="s">
        <v>466</v>
      </c>
      <c r="Y41" s="1368" t="s">
        <v>467</v>
      </c>
      <c r="Z41" s="1484" t="s">
        <v>468</v>
      </c>
      <c r="AA41" s="2429" t="s">
        <v>469</v>
      </c>
      <c r="AB41" s="2430"/>
      <c r="AC41" s="2438"/>
      <c r="AD41" s="2420"/>
      <c r="AE41" s="2443"/>
      <c r="AF41" s="1368" t="s">
        <v>466</v>
      </c>
      <c r="AG41" s="1368" t="s">
        <v>467</v>
      </c>
      <c r="AH41" s="1484" t="s">
        <v>468</v>
      </c>
      <c r="AI41" s="2429" t="s">
        <v>469</v>
      </c>
      <c r="AJ41" s="2430"/>
      <c r="AK41" s="2438"/>
      <c r="AL41" s="2441"/>
      <c r="AM41" s="2286"/>
      <c r="AS41" s="1301">
        <v>34</v>
      </c>
    </row>
    <row s="6314" customFormat="1" customHeight="1" ht="11.25" hidden="1">
      <c r="A42" s="1516"/>
      <c r="B42" s="1516"/>
      <c r="C42" s="1516"/>
      <c r="D42" s="1516"/>
      <c r="E42" s="1516"/>
      <c r="F42" s="1516"/>
      <c r="G42" s="1516"/>
      <c r="H42" s="1516"/>
      <c r="I42" s="1516"/>
      <c r="J42" s="1516"/>
      <c r="K42" s="1516"/>
      <c r="L42" s="1510"/>
      <c r="M42" s="1508"/>
      <c r="N42" s="1508"/>
      <c r="O42" s="1508"/>
      <c r="P42" s="1392"/>
      <c r="Q42" s="1393"/>
      <c r="R42" s="1400">
        <v>1</v>
      </c>
      <c r="S42" s="1423" t="s">
        <v>121</v>
      </c>
      <c r="T42" s="1401" t="s">
        <v>105</v>
      </c>
      <c r="U42" s="1391" t="str">
        <f>OFFSET(U42,0,-1)</f>
        <v>2</v>
      </c>
      <c r="V42" s="1481">
        <f>OFFSET(V42,0,-1)+1</f>
        <v>3</v>
      </c>
      <c r="W42" s="1481"/>
      <c r="X42" s="1481">
        <f>OFFSET(X42,0,-1)+1</f>
        <v>1</v>
      </c>
      <c r="Y42" s="1481">
        <f>OFFSET(Y42,0,-1)+1</f>
        <v>2</v>
      </c>
      <c r="Z42" s="1481">
        <f>OFFSET(Z42,0,-1)+1</f>
        <v>3</v>
      </c>
      <c r="AA42" s="2431">
        <f>OFFSET(AA42,0,-1)+1</f>
        <v>4</v>
      </c>
      <c r="AB42" s="2431"/>
      <c r="AC42" s="1481">
        <f>OFFSET(AC42,0,-2)+1</f>
        <v>5</v>
      </c>
      <c r="AD42" s="1481">
        <f>OFFSET(AD42,0,-1)+1</f>
        <v>6</v>
      </c>
      <c r="AE42" s="1481"/>
      <c r="AF42" s="1481">
        <f>OFFSET(AF42,0,-1)+1</f>
        <v>1</v>
      </c>
      <c r="AG42" s="1481">
        <f>OFFSET(AG42,0,-1)+1</f>
        <v>2</v>
      </c>
      <c r="AH42" s="1481">
        <f>OFFSET(AH42,0,-1)+1</f>
        <v>3</v>
      </c>
      <c r="AI42" s="2431">
        <f>OFFSET(AI42,0,-1)+1</f>
        <v>4</v>
      </c>
      <c r="AJ42" s="2431"/>
      <c r="AK42" s="1481">
        <f>OFFSET(AK42,0,-2)+1</f>
        <v>5</v>
      </c>
      <c r="AL42" s="1391">
        <f>OFFSET(AL42,0,-1)</f>
        <v>5</v>
      </c>
      <c r="AM42" s="1481">
        <f>OFFSET(AM42,0,-1)+1</f>
        <v>6</v>
      </c>
      <c r="AN42" s="657"/>
      <c r="AO42" s="657"/>
      <c r="AP42" s="657"/>
      <c r="AQ42" s="657"/>
      <c r="AR42" s="657"/>
      <c r="AS42" s="642">
        <v>0</v>
      </c>
    </row>
    <row customHeight="1" ht="22.049999999999997">
      <c r="A43" s="1509" t="s">
        <v>192</v>
      </c>
      <c r="B43" s="1509"/>
      <c r="C43" s="1509"/>
      <c r="D43" s="1509"/>
      <c r="E43" s="2417">
        <v>1</v>
      </c>
      <c r="F43" s="1509"/>
      <c r="G43" s="1509"/>
      <c r="H43" s="1509"/>
      <c r="I43" s="1509"/>
      <c r="J43" s="1509"/>
      <c r="K43" s="1509"/>
      <c r="L43" s="1510"/>
      <c r="M43" s="1511"/>
      <c r="N43" s="1511"/>
      <c r="O43" s="1511"/>
      <c r="P43" s="507"/>
      <c r="Q43" s="506"/>
      <c r="R43" s="501"/>
      <c r="S43" s="1482">
        <f>INDEX(PT_DIFFERENTIATION_NUM_NTAR,MATCH(A43,PT_DIFFERENTIATION_NTAR_ID,0))</f>
        <v>0</v>
      </c>
      <c r="T43" s="444"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46"/>
      <c r="AP43" s="646" t="str">
        <f>IF(T43="","",T43)</f>
        <v>Наименование тарифа</v>
      </c>
      <c r="AQ43" s="646"/>
      <c r="AR43" s="646"/>
      <c r="AS43" s="1301">
        <v>21</v>
      </c>
    </row>
    <row customHeight="1" ht="22.049999999999997">
      <c r="A44" s="1509" t="s">
        <v>192</v>
      </c>
      <c r="B44" s="1509" t="s">
        <v>193</v>
      </c>
      <c r="C44" s="1509"/>
      <c r="D44" s="1509"/>
      <c r="E44" s="2418"/>
      <c r="F44" s="2417">
        <v>1</v>
      </c>
      <c r="G44" s="1509"/>
      <c r="H44" s="1509"/>
      <c r="I44" s="1509"/>
      <c r="J44" s="1509"/>
      <c r="K44" s="1509"/>
      <c r="L44" s="1510"/>
      <c r="M44" s="1511"/>
      <c r="N44" s="1511"/>
      <c r="O44" s="1511"/>
      <c r="P44" s="1478"/>
      <c r="Q44" s="498"/>
      <c r="R44" s="499"/>
      <c r="S44" s="1482" t="str">
        <f>INDEX(PT_DIFFERENTIATION_NUM_TER,MATCH(B44,PT_DIFFERENTIATION_TER_ID,0))</f>
        <v>.</v>
      </c>
      <c r="T44" s="454"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646"/>
      <c r="AP44" s="646" t="str">
        <f>IF(T44="","",T44)</f>
        <v>Территория действия тарифа</v>
      </c>
      <c r="AQ44" s="646"/>
      <c r="AR44" s="646"/>
      <c r="AS44" s="1301">
        <v>21</v>
      </c>
    </row>
    <row customHeight="1" ht="24">
      <c r="A45" s="1509" t="s">
        <v>192</v>
      </c>
      <c r="B45" s="1509" t="s">
        <v>193</v>
      </c>
      <c r="C45" s="1509" t="s">
        <v>194</v>
      </c>
      <c r="D45" s="1509"/>
      <c r="E45" s="2418"/>
      <c r="F45" s="2418"/>
      <c r="G45" s="2417">
        <v>1</v>
      </c>
      <c r="H45" s="1509"/>
      <c r="I45" s="1509"/>
      <c r="J45" s="1509"/>
      <c r="K45" s="1509"/>
      <c r="L45" s="1510"/>
      <c r="M45" s="1511"/>
      <c r="N45" s="1511"/>
      <c r="O45" s="1511"/>
      <c r="P45" s="500"/>
      <c r="Q45" s="498"/>
      <c r="R45" s="499"/>
      <c r="S45" s="1482"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646"/>
      <c r="AP45" s="646" t="str">
        <f>IF(T45="","",T45)</f>
        <v>Наименование системы теплоснабжения </v>
      </c>
      <c r="AQ45" s="646"/>
      <c r="AR45" s="646"/>
      <c r="AS45" s="1301">
        <v>23</v>
      </c>
    </row>
    <row customHeight="1" ht="22.049999999999997">
      <c r="A46" s="1509" t="s">
        <v>192</v>
      </c>
      <c r="B46" s="1509" t="s">
        <v>193</v>
      </c>
      <c r="C46" s="1509" t="s">
        <v>194</v>
      </c>
      <c r="D46" s="1509" t="s">
        <v>195</v>
      </c>
      <c r="E46" s="2418"/>
      <c r="F46" s="2418"/>
      <c r="G46" s="2418"/>
      <c r="H46" s="2417">
        <v>1</v>
      </c>
      <c r="I46" s="1509"/>
      <c r="J46" s="1509"/>
      <c r="K46" s="1509"/>
      <c r="L46" s="1510"/>
      <c r="M46" s="1511"/>
      <c r="N46" s="1511"/>
      <c r="O46" s="1511"/>
      <c r="P46" s="500"/>
      <c r="Q46" s="498"/>
      <c r="R46" s="499"/>
      <c r="S46" s="1482"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646"/>
      <c r="AP46" s="646" t="str">
        <f>IF(T46="","",T46)</f>
        <v>Источник тепловой энергии  </v>
      </c>
      <c r="AQ46" s="646"/>
      <c r="AR46" s="646"/>
      <c r="AS46" s="1301">
        <v>21</v>
      </c>
    </row>
    <row s="6720" customFormat="1" customHeight="1" ht="0">
      <c r="A47" s="1489" t="s">
        <v>192</v>
      </c>
      <c r="B47" s="1489" t="s">
        <v>193</v>
      </c>
      <c r="C47" s="1489" t="s">
        <v>194</v>
      </c>
      <c r="D47" s="1489" t="s">
        <v>195</v>
      </c>
      <c r="E47" s="2418"/>
      <c r="F47" s="2418"/>
      <c r="G47" s="2418"/>
      <c r="H47" s="2418"/>
      <c r="I47" s="2415" t="str">
        <f>S46&amp;".1"</f>
        <v>....1</v>
      </c>
      <c r="J47" s="1489"/>
      <c r="K47" s="1489"/>
      <c r="L47" s="1492" t="s">
        <v>425</v>
      </c>
      <c r="M47" s="656"/>
      <c r="N47" s="656"/>
      <c r="O47" s="656"/>
      <c r="P47" s="2416">
        <v>1</v>
      </c>
      <c r="Q47" s="1477"/>
      <c r="R47" s="502"/>
      <c r="S47" s="1188"/>
      <c r="T47" s="1529"/>
      <c r="U47" s="1530"/>
      <c r="V47" s="2455"/>
      <c r="W47" s="2456"/>
      <c r="X47" s="2456"/>
      <c r="Y47" s="2456"/>
      <c r="Z47" s="2456"/>
      <c r="AA47" s="2456"/>
      <c r="AB47" s="2456"/>
      <c r="AC47" s="2457"/>
      <c r="AD47" s="2455"/>
      <c r="AE47" s="2456"/>
      <c r="AF47" s="2456"/>
      <c r="AG47" s="2456"/>
      <c r="AH47" s="2456"/>
      <c r="AI47" s="2456"/>
      <c r="AJ47" s="2456"/>
      <c r="AK47" s="2456"/>
      <c r="AL47" s="2457"/>
      <c r="AM47" s="1531"/>
      <c r="AO47" s="646"/>
      <c r="AP47" s="646" t="str">
        <f>IF(T47="","",T47)</f>
        <v/>
      </c>
      <c r="AQ47" s="646"/>
      <c r="AR47" s="646"/>
      <c r="AS47" s="657">
        <v>0</v>
      </c>
    </row>
    <row customHeight="1" ht="22.049999999999997">
      <c r="A48" s="1509" t="s">
        <v>192</v>
      </c>
      <c r="B48" s="1509" t="s">
        <v>193</v>
      </c>
      <c r="C48" s="1509" t="s">
        <v>194</v>
      </c>
      <c r="D48" s="1509" t="s">
        <v>195</v>
      </c>
      <c r="E48" s="2418"/>
      <c r="F48" s="2418"/>
      <c r="G48" s="2418"/>
      <c r="H48" s="2418"/>
      <c r="I48" s="2445"/>
      <c r="J48" s="2415" t="str">
        <f>S46&amp;".1"</f>
        <v>....1</v>
      </c>
      <c r="K48" s="1509"/>
      <c r="L48" s="1510" t="s">
        <v>428</v>
      </c>
      <c r="P48" s="2416"/>
      <c r="Q48" s="2416">
        <v>1</v>
      </c>
      <c r="R48" s="503"/>
      <c r="S48" s="1482" t="str">
        <f>$J48</f>
        <v>....1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646"/>
      <c r="AP48" s="646" t="str">
        <f>IF(T48="","",T48)</f>
        <v>Группа потребителей</v>
      </c>
      <c r="AQ48" s="646"/>
      <c r="AR48" s="646"/>
      <c r="AS48" s="1301">
        <v>21</v>
      </c>
    </row>
    <row customHeight="1" ht="22.049999999999997">
      <c r="A49" s="1509" t="s">
        <v>192</v>
      </c>
      <c r="B49" s="1509" t="s">
        <v>193</v>
      </c>
      <c r="C49" s="1509" t="s">
        <v>194</v>
      </c>
      <c r="D49" s="1509" t="s">
        <v>195</v>
      </c>
      <c r="E49" s="2418"/>
      <c r="F49" s="2418"/>
      <c r="G49" s="2418"/>
      <c r="H49" s="2418"/>
      <c r="I49" s="2445"/>
      <c r="J49" s="2445"/>
      <c r="K49" s="2415" t="str">
        <f>J48&amp;".1"</f>
        <v>....1.1</v>
      </c>
      <c r="L49" s="1510" t="s">
        <v>431</v>
      </c>
      <c r="P49" s="2416"/>
      <c r="Q49" s="2416"/>
      <c r="R49" s="503">
        <v>1</v>
      </c>
      <c r="S49" s="1482" t="str">
        <f>$K49</f>
        <v>....1.1</v>
      </c>
      <c r="T49" s="1493"/>
      <c r="U49" s="446"/>
      <c r="V49" s="897"/>
      <c r="W49" s="471"/>
      <c r="X49" s="897"/>
      <c r="Y49" s="1403"/>
      <c r="Z49" s="2424"/>
      <c r="AA49" s="2266" t="s">
        <v>63</v>
      </c>
      <c r="AB49" s="2424"/>
      <c r="AC49" s="2266" t="s">
        <v>63</v>
      </c>
      <c r="AD49" s="897"/>
      <c r="AE49" s="471"/>
      <c r="AF49" s="897"/>
      <c r="AG49" s="1403"/>
      <c r="AH49" s="2424"/>
      <c r="AI49" s="2266" t="s">
        <v>63</v>
      </c>
      <c r="AJ49" s="2446"/>
      <c r="AK49" s="2266" t="s">
        <v>63</v>
      </c>
      <c r="AL49" s="1494"/>
      <c r="AM49" s="2412" t="s">
        <v>473</v>
      </c>
      <c r="AN49" s="657">
        <f>STRCHECKDATE(V50:AL50)</f>
      </c>
      <c r="AO49" s="646"/>
      <c r="AP49" s="646" t="str">
        <f>IF(T49="","",T49)</f>
        <v/>
      </c>
      <c r="AQ49" s="646"/>
      <c r="AR49" s="646"/>
      <c r="AS49" s="1301">
        <v>21</v>
      </c>
    </row>
    <row customHeight="1" ht="1.05">
      <c r="A50" s="1509" t="s">
        <v>192</v>
      </c>
      <c r="B50" s="1509" t="s">
        <v>193</v>
      </c>
      <c r="C50" s="1509" t="s">
        <v>194</v>
      </c>
      <c r="D50" s="1509" t="s">
        <v>195</v>
      </c>
      <c r="E50" s="2418"/>
      <c r="F50" s="2418"/>
      <c r="G50" s="2418"/>
      <c r="H50" s="2418"/>
      <c r="I50" s="2445"/>
      <c r="J50" s="2445"/>
      <c r="K50" s="2415"/>
      <c r="L50" s="1510"/>
      <c r="P50" s="2416"/>
      <c r="Q50" s="2416"/>
      <c r="R50" s="503"/>
      <c r="S50" s="1488"/>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646"/>
      <c r="AP50" s="646" t="str">
        <f>IF(T50="","",T50)</f>
        <v/>
      </c>
      <c r="AQ50" s="646"/>
      <c r="AR50" s="646"/>
      <c r="AS50" s="1301">
        <v>1</v>
      </c>
    </row>
    <row customHeight="1" ht="11.549999999999999">
      <c r="A51" s="1509" t="s">
        <v>192</v>
      </c>
      <c r="B51" s="1509" t="s">
        <v>193</v>
      </c>
      <c r="C51" s="1509" t="s">
        <v>194</v>
      </c>
      <c r="D51" s="1509" t="s">
        <v>195</v>
      </c>
      <c r="E51" s="2418"/>
      <c r="F51" s="2418"/>
      <c r="G51" s="2418"/>
      <c r="H51" s="2418"/>
      <c r="I51" s="2445"/>
      <c r="J51" s="2415"/>
      <c r="K51" s="1509"/>
      <c r="L51" s="1510"/>
      <c r="P51" s="2416"/>
      <c r="Q51" s="2416"/>
      <c r="R51" s="502"/>
      <c r="S51" s="1424"/>
      <c r="T51" s="433" t="s">
        <v>433</v>
      </c>
      <c r="U51" s="513"/>
      <c r="V51" s="513"/>
      <c r="W51" s="513"/>
      <c r="X51" s="513"/>
      <c r="Y51" s="513"/>
      <c r="Z51" s="513"/>
      <c r="AA51" s="513"/>
      <c r="AB51" s="513"/>
      <c r="AC51" s="513"/>
      <c r="AD51" s="513"/>
      <c r="AE51" s="513"/>
      <c r="AF51" s="513"/>
      <c r="AG51" s="513"/>
      <c r="AH51" s="513"/>
      <c r="AI51" s="513"/>
      <c r="AJ51" s="513"/>
      <c r="AK51" s="513"/>
      <c r="AL51" s="470"/>
      <c r="AM51" s="2414"/>
      <c r="AO51" s="646"/>
      <c r="AP51" s="646" t="str">
        <f>IF(T51="","",T51)</f>
        <v>Добавить вид теплоносителя (параметры теплоносителя)</v>
      </c>
      <c r="AQ51" s="646"/>
      <c r="AR51" s="646"/>
      <c r="AS51" s="1301">
        <v>11</v>
      </c>
    </row>
    <row customHeight="1" ht="11.549999999999999">
      <c r="A52" s="1509" t="s">
        <v>192</v>
      </c>
      <c r="B52" s="1509" t="s">
        <v>193</v>
      </c>
      <c r="C52" s="1509" t="s">
        <v>194</v>
      </c>
      <c r="D52" s="1509" t="s">
        <v>195</v>
      </c>
      <c r="E52" s="2418"/>
      <c r="F52" s="2418"/>
      <c r="G52" s="2418"/>
      <c r="H52" s="2418"/>
      <c r="I52" s="2415"/>
      <c r="J52" s="1509"/>
      <c r="K52" s="1509"/>
      <c r="L52" s="1510"/>
      <c r="P52" s="2416"/>
      <c r="Q52" s="1477"/>
      <c r="R52" s="502"/>
      <c r="S52" s="1424"/>
      <c r="T52" s="511" t="s">
        <v>434</v>
      </c>
      <c r="U52" s="513"/>
      <c r="V52" s="513"/>
      <c r="W52" s="513"/>
      <c r="X52" s="513"/>
      <c r="Y52" s="513"/>
      <c r="Z52" s="513"/>
      <c r="AA52" s="513"/>
      <c r="AB52" s="513"/>
      <c r="AC52" s="512"/>
      <c r="AD52" s="513"/>
      <c r="AE52" s="513"/>
      <c r="AF52" s="513"/>
      <c r="AG52" s="513"/>
      <c r="AH52" s="513"/>
      <c r="AI52" s="513"/>
      <c r="AJ52" s="513"/>
      <c r="AK52" s="512"/>
      <c r="AL52" s="513"/>
      <c r="AM52" s="449"/>
      <c r="AO52" s="646"/>
      <c r="AP52" s="646" t="str">
        <f>IF(T52="","",T52)</f>
        <v>Добавить группу потребителей</v>
      </c>
      <c r="AQ52" s="646"/>
      <c r="AR52" s="646"/>
      <c r="AS52" s="1301">
        <v>11</v>
      </c>
    </row>
    <row customHeight="1" ht="0">
      <c r="A53" s="1509" t="s">
        <v>192</v>
      </c>
      <c r="B53" s="1509" t="s">
        <v>193</v>
      </c>
      <c r="C53" s="1509" t="s">
        <v>194</v>
      </c>
      <c r="D53" s="1509" t="s">
        <v>195</v>
      </c>
      <c r="E53" s="2418"/>
      <c r="F53" s="2418"/>
      <c r="G53" s="2418"/>
      <c r="H53" s="2417"/>
      <c r="I53" s="1509"/>
      <c r="J53" s="1509"/>
      <c r="K53" s="1509"/>
      <c r="L53" s="1510"/>
      <c r="M53" s="1511"/>
      <c r="N53" s="1511"/>
      <c r="O53" s="683"/>
      <c r="P53" s="506"/>
      <c r="Q53" s="521"/>
      <c r="R53" s="501"/>
      <c r="S53" s="1532"/>
      <c r="T53" s="1533"/>
      <c r="U53" s="1534"/>
      <c r="V53" s="1534"/>
      <c r="W53" s="1534"/>
      <c r="X53" s="1534"/>
      <c r="Y53" s="1534"/>
      <c r="Z53" s="1534"/>
      <c r="AA53" s="1534"/>
      <c r="AB53" s="1534"/>
      <c r="AC53" s="1534"/>
      <c r="AD53" s="1534"/>
      <c r="AE53" s="1534"/>
      <c r="AF53" s="1534"/>
      <c r="AG53" s="1534"/>
      <c r="AH53" s="1534"/>
      <c r="AI53" s="1534"/>
      <c r="AJ53" s="1534"/>
      <c r="AK53" s="1534"/>
      <c r="AL53" s="1534"/>
      <c r="AM53" s="1535"/>
      <c r="AO53" s="646"/>
      <c r="AP53" s="646" t="str">
        <f>IF(T53="","",T53)</f>
        <v/>
      </c>
      <c r="AQ53" s="646"/>
      <c r="AR53" s="646"/>
      <c r="AS53" s="1301">
        <v>0</v>
      </c>
    </row>
    <row s="6720" customFormat="1" customHeight="1" ht="1.05">
      <c r="A54" s="1489" t="s">
        <v>192</v>
      </c>
      <c r="B54" s="1489" t="s">
        <v>193</v>
      </c>
      <c r="C54" s="1489" t="s">
        <v>194</v>
      </c>
      <c r="D54" s="1460"/>
      <c r="E54" s="2418"/>
      <c r="F54" s="2418"/>
      <c r="G54" s="2417"/>
      <c r="H54" s="1460"/>
      <c r="I54" s="1460"/>
      <c r="J54" s="1460"/>
      <c r="K54" s="1460"/>
      <c r="L54" s="1485"/>
      <c r="M54" s="1461"/>
      <c r="N54" s="1461"/>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935"/>
      <c r="AP54" s="935" t="str">
        <f>IF(T54="","",T54)</f>
        <v>Добавить источник для дифференциации</v>
      </c>
      <c r="AQ54" s="935"/>
      <c r="AR54" s="935"/>
      <c r="AS54" s="664">
        <v>1</v>
      </c>
    </row>
    <row s="6720" customFormat="1" customHeight="1" ht="1.05">
      <c r="A55" s="1489" t="s">
        <v>192</v>
      </c>
      <c r="B55" s="1489" t="s">
        <v>193</v>
      </c>
      <c r="C55" s="1460"/>
      <c r="D55" s="1460"/>
      <c r="E55" s="2418"/>
      <c r="F55" s="2417"/>
      <c r="G55" s="1460"/>
      <c r="H55" s="1460"/>
      <c r="I55" s="1460"/>
      <c r="J55" s="1460"/>
      <c r="K55" s="1460"/>
      <c r="L55" s="1485"/>
      <c r="M55" s="1467"/>
      <c r="N55" s="1467"/>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935"/>
      <c r="AP55" s="935" t="str">
        <f>IF(T55="","",T55)</f>
        <v>Добавить централизованную систему для дифференциации</v>
      </c>
      <c r="AQ55" s="935"/>
      <c r="AR55" s="935"/>
      <c r="AS55" s="664">
        <v>1</v>
      </c>
    </row>
    <row s="6720" customFormat="1" customHeight="1" ht="1.05">
      <c r="A56" s="1489" t="s">
        <v>192</v>
      </c>
      <c r="B56" s="1489"/>
      <c r="C56" s="1489"/>
      <c r="D56" s="1489"/>
      <c r="E56" s="2417"/>
      <c r="F56" s="1489"/>
      <c r="G56" s="1489"/>
      <c r="H56" s="1489"/>
      <c r="I56" s="1489"/>
      <c r="J56" s="1489"/>
      <c r="K56" s="1489"/>
      <c r="L56" s="1492"/>
      <c r="M56" s="1467"/>
      <c r="N56" s="1467"/>
      <c r="O56" s="664"/>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646"/>
      <c r="AP56" s="646" t="str">
        <f>IF(T56="","",T56)</f>
        <v>Добавить территорию для дифференциации</v>
      </c>
      <c r="AQ56" s="646"/>
      <c r="AR56" s="646"/>
      <c r="AS56" s="657">
        <v>1</v>
      </c>
    </row>
    <row s="6720" customFormat="1" customHeight="1" ht="1.05">
      <c r="A57" s="1460"/>
      <c r="B57" s="1460"/>
      <c r="C57" s="1460"/>
      <c r="D57" s="1460"/>
      <c r="E57" s="1489"/>
      <c r="F57" s="1460"/>
      <c r="G57" s="1460"/>
      <c r="H57" s="1460"/>
      <c r="I57" s="1460"/>
      <c r="J57" s="1460"/>
      <c r="K57" s="1460"/>
      <c r="L57" s="1485"/>
      <c r="M57" s="1467"/>
      <c r="N57" s="1467"/>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935"/>
      <c r="AP57" s="935" t="str">
        <f>IF(T57="","",T57)</f>
        <v>Добавить наименование тарифа</v>
      </c>
      <c r="AQ57" s="935"/>
      <c r="AR57" s="935"/>
      <c r="AS57" s="664">
        <v>1</v>
      </c>
    </row>
    <row customHeight="1" ht="11.549999999999999">
      <c r="M58" s="1306"/>
      <c r="N58" s="1306"/>
      <c r="O58" s="683"/>
      <c r="P58" s="1301"/>
      <c r="Q58" s="1301"/>
      <c r="R58" s="1301"/>
      <c r="S58" s="1301"/>
      <c r="AN58" s="1301"/>
      <c r="AO58" s="1301"/>
      <c r="AP58" s="1301"/>
      <c r="AQ58" s="1301"/>
      <c r="AR58" s="1301"/>
      <c r="AS58" s="1301">
        <v>11</v>
      </c>
    </row>
    <row customHeight="1" ht="19.95">
      <c r="O59" s="683"/>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301">
        <v>19</v>
      </c>
    </row>
    <row customHeight="1" ht="29.25">
      <c r="O60" s="683"/>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301">
        <v>28</v>
      </c>
    </row>
    <row customHeight="1" ht="42">
      <c r="O61" s="683"/>
      <c r="T61" s="2444"/>
      <c r="U61" s="2444"/>
      <c r="V61" s="2444"/>
      <c r="W61" s="2444"/>
      <c r="X61" s="2444"/>
      <c r="Y61" s="2444"/>
      <c r="Z61" s="2444"/>
      <c r="AA61" s="2444"/>
      <c r="AB61" s="2444"/>
      <c r="AC61" s="2444"/>
      <c r="AD61" s="2444"/>
      <c r="AE61" s="2444"/>
      <c r="AF61" s="2444"/>
      <c r="AG61" s="2444"/>
      <c r="AH61" s="2444"/>
      <c r="AI61" s="2444"/>
      <c r="AJ61" s="2444"/>
      <c r="AK61" s="2444"/>
      <c r="AL61" s="2444"/>
      <c r="AM61" s="2444"/>
      <c r="AS61" s="1301">
        <v>40</v>
      </c>
    </row>
    <row customHeight="1" ht="14.699999999999998">
      <c r="O62" s="683"/>
      <c r="AS62" s="1301">
        <v>14</v>
      </c>
    </row>
    <row customHeight="1" ht="21">
      <c r="O63" s="683"/>
      <c r="S63" s="1399"/>
      <c r="T63" s="2458"/>
      <c r="U63" s="2444"/>
      <c r="V63" s="2444"/>
      <c r="W63" s="2444"/>
      <c r="X63" s="2444"/>
      <c r="Y63" s="2444"/>
      <c r="Z63" s="2444"/>
      <c r="AA63" s="2444"/>
      <c r="AB63" s="2444"/>
      <c r="AC63" s="2444"/>
      <c r="AD63" s="2444"/>
      <c r="AE63" s="2444"/>
      <c r="AF63" s="2444"/>
      <c r="AG63" s="2444"/>
      <c r="AH63" s="2444"/>
      <c r="AI63" s="2444"/>
      <c r="AJ63" s="2444"/>
      <c r="AK63" s="2444"/>
      <c r="AL63" s="2444"/>
      <c r="AM63" s="2444"/>
      <c r="AS63" s="1301">
        <v>20</v>
      </c>
    </row>
    <row customHeight="1" ht="29.25">
      <c r="O64" s="683"/>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301">
        <v>28</v>
      </c>
    </row>
    <row customHeight="1" ht="35.699999999999996">
      <c r="T65" s="2444"/>
      <c r="U65" s="2444"/>
      <c r="V65" s="2444"/>
      <c r="W65" s="2444"/>
      <c r="X65" s="2444"/>
      <c r="Y65" s="2444"/>
      <c r="Z65" s="2444"/>
      <c r="AA65" s="2444"/>
      <c r="AB65" s="2444"/>
      <c r="AC65" s="2444"/>
      <c r="AD65" s="2444"/>
      <c r="AE65" s="2444"/>
      <c r="AF65" s="2444"/>
      <c r="AG65" s="2444"/>
      <c r="AH65" s="2444"/>
      <c r="AI65" s="2444"/>
      <c r="AJ65" s="2444"/>
      <c r="AK65" s="2444"/>
      <c r="AL65" s="2444"/>
      <c r="AM65" s="2444"/>
      <c r="AS65" s="1301">
        <v>34</v>
      </c>
    </row>
    <row customHeight="1" ht="22.5" hidden="1">
      <c r="A66" s="1306" t="s">
        <v>83</v>
      </c>
      <c r="B66" s="1306">
        <v>0</v>
      </c>
      <c r="C66" s="1306">
        <v>0</v>
      </c>
      <c r="D66" s="1306">
        <v>0</v>
      </c>
      <c r="E66" s="1306">
        <v>0</v>
      </c>
      <c r="F66" s="1306">
        <v>0</v>
      </c>
      <c r="G66" s="1306">
        <v>0</v>
      </c>
      <c r="H66" s="1306">
        <v>0</v>
      </c>
      <c r="I66" s="1306">
        <v>0</v>
      </c>
      <c r="J66" s="1306">
        <v>0</v>
      </c>
      <c r="K66" s="1306">
        <v>0</v>
      </c>
      <c r="L66" s="1475">
        <v>0</v>
      </c>
      <c r="M66" s="1508">
        <v>0</v>
      </c>
      <c r="N66" s="1508">
        <v>0</v>
      </c>
      <c r="O66" s="1508">
        <v>0</v>
      </c>
      <c r="P66" s="1474">
        <v>0</v>
      </c>
      <c r="Q66" s="490">
        <v>3</v>
      </c>
      <c r="R66" s="490">
        <v>3</v>
      </c>
      <c r="S66" s="727">
        <v>12</v>
      </c>
      <c r="T66" s="1301">
        <v>31</v>
      </c>
      <c r="U66" s="1301">
        <v>0</v>
      </c>
      <c r="V66" s="1301">
        <v>0</v>
      </c>
      <c r="W66" s="1301">
        <v>0</v>
      </c>
      <c r="X66" s="1301">
        <v>0</v>
      </c>
      <c r="Y66" s="1301">
        <v>0</v>
      </c>
      <c r="Z66" s="1301">
        <v>0</v>
      </c>
      <c r="AA66" s="1301">
        <v>0</v>
      </c>
      <c r="AB66" s="1301">
        <v>0</v>
      </c>
      <c r="AC66" s="1301">
        <v>0</v>
      </c>
      <c r="AD66" s="1301">
        <v>24</v>
      </c>
      <c r="AE66" s="1301">
        <v>0</v>
      </c>
      <c r="AF66" s="1301">
        <v>24</v>
      </c>
      <c r="AG66" s="1301">
        <v>24</v>
      </c>
      <c r="AH66" s="1301">
        <v>11</v>
      </c>
      <c r="AI66" s="1301">
        <v>3</v>
      </c>
      <c r="AJ66" s="1301">
        <v>11</v>
      </c>
      <c r="AK66" s="1301">
        <v>0</v>
      </c>
      <c r="AL66" s="1301">
        <v>4</v>
      </c>
      <c r="AM66" s="1301">
        <v>115</v>
      </c>
      <c r="AN66" s="657">
        <v>10</v>
      </c>
      <c r="AO66" s="657">
        <v>10</v>
      </c>
      <c r="AP66" s="657">
        <v>10</v>
      </c>
      <c r="AQ66" s="657">
        <v>10</v>
      </c>
      <c r="AR66" s="657">
        <v>10</v>
      </c>
      <c r="AS66" s="1301">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E60FCE-E7A9-41F7-4317-0.4102F3C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7938" width="3.7109375" hidden="1" customWidth="1"/>
    <col min="17" max="18" style="7205" width="3.00390625" customWidth="1"/>
    <col min="19" max="19" style="7910" width="12.00390625" customWidth="1"/>
    <col min="20" max="20" style="7235" width="31.00390625" customWidth="1"/>
    <col min="21" max="21" style="7235" width="0.140625" customWidth="1"/>
    <col min="22" max="22" style="7235" width="24.7109375" hidden="1" customWidth="1"/>
    <col min="23" max="23" style="7235" width="0.140625" hidden="1" customWidth="1"/>
    <col min="24" max="25" style="7235" width="24.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24.7109375" customWidth="1"/>
    <col min="31" max="31" style="7235" width="0.140625" customWidth="1"/>
    <col min="32" max="33" style="7235" width="24.0039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10.57421875" hidden="1"/>
  </cols>
  <sheetData>
    <row customHeight="1" ht="22.5" hidden="1">
      <c r="A1" s="2014"/>
      <c r="Y1" s="473"/>
      <c r="Z1" s="473"/>
      <c r="AG1" s="473"/>
      <c r="AH1" s="473"/>
      <c r="AS1" s="1301" t="s">
        <v>14</v>
      </c>
    </row>
    <row customHeight="1" ht="21" hidden="1">
      <c r="A2" s="1509"/>
      <c r="B2" s="1509"/>
      <c r="C2" s="1509"/>
      <c r="D2" s="1509"/>
      <c r="E2" s="2417">
        <v>1</v>
      </c>
      <c r="F2" s="1509"/>
      <c r="G2" s="1509"/>
      <c r="H2" s="1509"/>
      <c r="I2" s="1509"/>
      <c r="J2" s="1509"/>
      <c r="K2" s="1509"/>
      <c r="L2" s="1510"/>
      <c r="M2" s="1511"/>
      <c r="N2" s="1511"/>
      <c r="O2" s="1511"/>
      <c r="P2" s="507"/>
      <c r="Q2" s="506"/>
      <c r="R2" s="501"/>
      <c r="S2" s="1482">
        <f>INDEX(PT_DIFFERENTIATION_NUM_NTAR,MATCH(A2,PT_DIFFERENTIATION_NTAR_ID,0))</f>
      </c>
      <c r="T2" s="444"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646"/>
      <c r="AP2" s="646" t="str">
        <f>IF(T2="","",T2)</f>
        <v>Наименование тарифа</v>
      </c>
      <c r="AQ2" s="646"/>
      <c r="AR2" s="646"/>
      <c r="AS2" s="1301">
        <v>0</v>
      </c>
    </row>
    <row customHeight="1" ht="21" hidden="1">
      <c r="A3" s="1509"/>
      <c r="B3" s="1509"/>
      <c r="C3" s="1509"/>
      <c r="D3" s="1509"/>
      <c r="E3" s="2418"/>
      <c r="F3" s="2417">
        <v>1</v>
      </c>
      <c r="G3" s="1509"/>
      <c r="H3" s="1509"/>
      <c r="I3" s="1509"/>
      <c r="J3" s="1509"/>
      <c r="K3" s="1509"/>
      <c r="L3" s="1510"/>
      <c r="M3" s="1511"/>
      <c r="N3" s="1511"/>
      <c r="O3" s="1511"/>
      <c r="P3" s="1478"/>
      <c r="Q3" s="498"/>
      <c r="R3" s="499"/>
      <c r="S3" s="1482">
        <f>INDEX(PT_DIFFERENTIATION_NUM_TER,MATCH(B3,PT_DIFFERENTIATION_TER_ID,0))</f>
      </c>
      <c r="T3" s="454"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646"/>
      <c r="AP3" s="646" t="str">
        <f>IF(T3="","",T3)</f>
        <v>Территория действия тарифа</v>
      </c>
      <c r="AQ3" s="646"/>
      <c r="AR3" s="646"/>
      <c r="AS3" s="1301">
        <v>0</v>
      </c>
    </row>
    <row customHeight="1" ht="23.25" hidden="1">
      <c r="A4" s="1509"/>
      <c r="B4" s="1509"/>
      <c r="C4" s="1509"/>
      <c r="D4" s="1509"/>
      <c r="E4" s="2418"/>
      <c r="F4" s="2418"/>
      <c r="G4" s="2417">
        <v>1</v>
      </c>
      <c r="H4" s="1509"/>
      <c r="I4" s="1509"/>
      <c r="J4" s="1509"/>
      <c r="K4" s="1509"/>
      <c r="L4" s="1510"/>
      <c r="M4" s="1511"/>
      <c r="N4" s="1511"/>
      <c r="O4" s="1511"/>
      <c r="P4" s="500"/>
      <c r="Q4" s="498"/>
      <c r="R4" s="499"/>
      <c r="S4" s="2151">
        <f>INDEX(PT_DIFFERENTIATION_NUM_CS,MATCH(C4,PT_DIFFERENTIATION_CS_ID,0))</f>
      </c>
      <c r="T4" s="2155" t="s">
        <v>421</v>
      </c>
      <c r="U4" s="2156"/>
      <c r="V4" s="2459"/>
      <c r="W4" s="2460"/>
      <c r="X4" s="2460"/>
      <c r="Y4" s="2460"/>
      <c r="Z4" s="2460"/>
      <c r="AA4" s="2460"/>
      <c r="AB4" s="2460"/>
      <c r="AC4" s="2461"/>
      <c r="AD4" s="2459">
        <f>INDEX(PT_DIFFERENTIATION_CS,MATCH(C4,PT_DIFFERENTIATION_CS_ID,0))</f>
      </c>
      <c r="AE4" s="2460"/>
      <c r="AF4" s="2460"/>
      <c r="AG4" s="2460"/>
      <c r="AH4" s="2460"/>
      <c r="AI4" s="2460"/>
      <c r="AJ4" s="2460"/>
      <c r="AK4" s="2460"/>
      <c r="AL4" s="2461"/>
      <c r="AM4" s="1404" t="s">
        <v>422</v>
      </c>
      <c r="AO4" s="646"/>
      <c r="AP4" s="646" t="str">
        <f>IF(T4="","",T4)</f>
        <v>Наименование системы теплоснабжения </v>
      </c>
      <c r="AQ4" s="646"/>
      <c r="AR4" s="646"/>
      <c r="AS4" s="1301">
        <v>0</v>
      </c>
    </row>
    <row customHeight="1" ht="21" hidden="1">
      <c r="A5" s="1509"/>
      <c r="B5" s="1509"/>
      <c r="C5" s="1509"/>
      <c r="D5" s="1509"/>
      <c r="E5" s="2418"/>
      <c r="F5" s="2418"/>
      <c r="G5" s="2418"/>
      <c r="H5" s="2417">
        <v>1</v>
      </c>
      <c r="I5" s="1509"/>
      <c r="J5" s="1509"/>
      <c r="K5" s="1509"/>
      <c r="L5" s="1510"/>
      <c r="M5" s="1511"/>
      <c r="N5" s="1511"/>
      <c r="O5" s="1511"/>
      <c r="P5" s="500"/>
      <c r="Q5" s="498"/>
      <c r="R5" s="1781"/>
      <c r="S5" s="2150">
        <f>INDEX(PT_DIFFERENTIATION_NUM_IST_TE,MATCH(D5,PT_DIFFERENTIATION_IST_TE_ID,0))</f>
      </c>
      <c r="T5" s="456" t="s">
        <v>423</v>
      </c>
      <c r="U5" s="446"/>
      <c r="V5" s="2462"/>
      <c r="W5" s="2462"/>
      <c r="X5" s="2462"/>
      <c r="Y5" s="2462"/>
      <c r="Z5" s="2462"/>
      <c r="AA5" s="2462"/>
      <c r="AB5" s="2462"/>
      <c r="AC5" s="2462"/>
      <c r="AD5" s="2462">
        <f>INDEX(PT_DIFFERENTIATION_IST_TE,MATCH(D5,PT_DIFFERENTIATION_IST_TE_ID,0))</f>
      </c>
      <c r="AE5" s="2462"/>
      <c r="AF5" s="2462"/>
      <c r="AG5" s="2462"/>
      <c r="AH5" s="2462"/>
      <c r="AI5" s="2462"/>
      <c r="AJ5" s="2462"/>
      <c r="AK5" s="2462"/>
      <c r="AL5" s="2462"/>
      <c r="AM5" s="2153" t="s">
        <v>424</v>
      </c>
      <c r="AO5" s="646"/>
      <c r="AP5" s="646" t="str">
        <f>IF(T5="","",T5)</f>
        <v>Источник тепловой энергии  </v>
      </c>
      <c r="AQ5" s="646"/>
      <c r="AR5" s="646"/>
      <c r="AS5" s="1301">
        <v>0</v>
      </c>
    </row>
    <row customHeight="1" ht="0.75" hidden="1">
      <c r="A6" s="1509"/>
      <c r="B6" s="1509"/>
      <c r="C6" s="1509"/>
      <c r="D6" s="1509"/>
      <c r="E6" s="2418"/>
      <c r="F6" s="2418"/>
      <c r="G6" s="2418"/>
      <c r="H6" s="2418"/>
      <c r="I6" s="2415">
        <f>S5&amp;".1"</f>
      </c>
      <c r="J6" s="1509"/>
      <c r="K6" s="1509"/>
      <c r="L6" s="1510" t="s">
        <v>425</v>
      </c>
      <c r="M6" s="683"/>
      <c r="P6" s="2416">
        <v>1</v>
      </c>
      <c r="Q6" s="1477"/>
      <c r="R6" s="2149"/>
      <c r="S6" s="1188"/>
      <c r="T6" s="1529"/>
      <c r="U6" s="1530"/>
      <c r="V6" s="2463"/>
      <c r="W6" s="2463"/>
      <c r="X6" s="2463"/>
      <c r="Y6" s="2463"/>
      <c r="Z6" s="2463"/>
      <c r="AA6" s="2463"/>
      <c r="AB6" s="2463"/>
      <c r="AC6" s="2463"/>
      <c r="AD6" s="2463"/>
      <c r="AE6" s="2463"/>
      <c r="AF6" s="2463"/>
      <c r="AG6" s="2463"/>
      <c r="AH6" s="2463"/>
      <c r="AI6" s="2463"/>
      <c r="AJ6" s="2463"/>
      <c r="AK6" s="2463"/>
      <c r="AL6" s="2463"/>
      <c r="AM6" s="2154"/>
      <c r="AO6" s="646"/>
      <c r="AP6" s="646" t="str">
        <f>IF(T6="","",T6)</f>
        <v/>
      </c>
      <c r="AQ6" s="646"/>
      <c r="AR6" s="646"/>
      <c r="AS6" s="1301">
        <v>0</v>
      </c>
    </row>
    <row customHeight="1" ht="84" hidden="1">
      <c r="A7" s="1509"/>
      <c r="B7" s="1509"/>
      <c r="C7" s="1509"/>
      <c r="D7" s="1509"/>
      <c r="E7" s="2418"/>
      <c r="F7" s="2418"/>
      <c r="G7" s="2418"/>
      <c r="H7" s="2418"/>
      <c r="I7" s="2445"/>
      <c r="J7" s="2415">
        <f>I6&amp;".1"</f>
      </c>
      <c r="K7" s="1509"/>
      <c r="L7" s="1510" t="s">
        <v>428</v>
      </c>
      <c r="M7" s="683"/>
      <c r="N7" s="1512"/>
      <c r="P7" s="2416"/>
      <c r="Q7" s="2416">
        <v>1</v>
      </c>
      <c r="R7" s="1788"/>
      <c r="S7" s="2150">
        <f>$J7</f>
      </c>
      <c r="T7" s="432" t="s">
        <v>429</v>
      </c>
      <c r="U7" s="446"/>
      <c r="V7" s="2464"/>
      <c r="W7" s="2464"/>
      <c r="X7" s="2464"/>
      <c r="Y7" s="2464"/>
      <c r="Z7" s="2464"/>
      <c r="AA7" s="2464"/>
      <c r="AB7" s="2464"/>
      <c r="AC7" s="2464"/>
      <c r="AD7" s="2464"/>
      <c r="AE7" s="2464"/>
      <c r="AF7" s="2464"/>
      <c r="AG7" s="2464"/>
      <c r="AH7" s="2464"/>
      <c r="AI7" s="2464"/>
      <c r="AJ7" s="2464"/>
      <c r="AK7" s="2464"/>
      <c r="AL7" s="2464"/>
      <c r="AM7" s="2153" t="s">
        <v>430</v>
      </c>
      <c r="AO7" s="646"/>
      <c r="AP7" s="646" t="str">
        <f>IF(T7="","",T7)</f>
        <v>Группа потребителей</v>
      </c>
      <c r="AQ7" s="646"/>
      <c r="AR7" s="646"/>
      <c r="AS7" s="1301">
        <v>0</v>
      </c>
    </row>
    <row customHeight="1" ht="11.25" hidden="1">
      <c r="A8" s="1509"/>
      <c r="B8" s="1509"/>
      <c r="C8" s="1509"/>
      <c r="D8" s="1509"/>
      <c r="E8" s="2418"/>
      <c r="F8" s="2418"/>
      <c r="G8" s="2418"/>
      <c r="H8" s="2418"/>
      <c r="I8" s="2445"/>
      <c r="J8" s="2445"/>
      <c r="K8" s="2415">
        <f>J7&amp;".1"</f>
      </c>
      <c r="L8" s="1510" t="s">
        <v>431</v>
      </c>
      <c r="M8" s="683"/>
      <c r="N8" s="1512"/>
      <c r="O8" s="1512"/>
      <c r="P8" s="2416"/>
      <c r="Q8" s="2416"/>
      <c r="R8" s="503">
        <v>1</v>
      </c>
      <c r="S8" s="2152">
        <f>$K8</f>
      </c>
      <c r="T8" s="2157"/>
      <c r="U8" s="2158"/>
      <c r="V8" s="2159"/>
      <c r="W8" s="1495"/>
      <c r="X8" s="2159"/>
      <c r="Y8" s="2160"/>
      <c r="Z8" s="2465"/>
      <c r="AA8" s="2271" t="s">
        <v>63</v>
      </c>
      <c r="AB8" s="2465"/>
      <c r="AC8" s="2271" t="s">
        <v>63</v>
      </c>
      <c r="AD8" s="2159"/>
      <c r="AE8" s="1495"/>
      <c r="AF8" s="2159"/>
      <c r="AG8" s="2160"/>
      <c r="AH8" s="2465"/>
      <c r="AI8" s="2271" t="s">
        <v>63</v>
      </c>
      <c r="AJ8" s="2465"/>
      <c r="AK8" s="2271" t="s">
        <v>63</v>
      </c>
      <c r="AL8" s="1495"/>
      <c r="AM8" s="2412" t="s">
        <v>432</v>
      </c>
      <c r="AN8" s="657">
        <f>STRCHECKDATE(V9:AL9)</f>
      </c>
      <c r="AO8" s="646"/>
      <c r="AP8" s="646" t="str">
        <f>IF(T8="","",T8)</f>
        <v/>
      </c>
      <c r="AQ8" s="646"/>
      <c r="AR8" s="646"/>
      <c r="AS8" s="1301">
        <v>0</v>
      </c>
    </row>
    <row customHeight="1" ht="0.75" hidden="1">
      <c r="A9" s="1509"/>
      <c r="B9" s="1509"/>
      <c r="C9" s="1509"/>
      <c r="D9" s="1509"/>
      <c r="E9" s="2418"/>
      <c r="F9" s="2418"/>
      <c r="G9" s="2418"/>
      <c r="H9" s="2418"/>
      <c r="I9" s="2445"/>
      <c r="J9" s="2445"/>
      <c r="K9" s="2415"/>
      <c r="L9" s="1510"/>
      <c r="M9" s="683"/>
      <c r="N9" s="1512"/>
      <c r="O9" s="1512"/>
      <c r="P9" s="2416"/>
      <c r="Q9" s="2416"/>
      <c r="R9" s="503"/>
      <c r="S9" s="1488"/>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646"/>
      <c r="AP9" s="646" t="str">
        <f>IF(T9="","",T9)</f>
        <v/>
      </c>
      <c r="AQ9" s="646"/>
      <c r="AR9" s="646"/>
      <c r="AS9" s="1301">
        <v>0</v>
      </c>
    </row>
    <row customHeight="1" ht="11.25" hidden="1">
      <c r="A10" s="1509"/>
      <c r="B10" s="1509"/>
      <c r="C10" s="1509"/>
      <c r="D10" s="1509"/>
      <c r="E10" s="2418"/>
      <c r="F10" s="2418"/>
      <c r="G10" s="2418"/>
      <c r="H10" s="2418"/>
      <c r="I10" s="2445"/>
      <c r="J10" s="2415"/>
      <c r="K10" s="1509"/>
      <c r="L10" s="1510"/>
      <c r="M10" s="683"/>
      <c r="N10" s="1512"/>
      <c r="P10" s="2416"/>
      <c r="Q10" s="2416"/>
      <c r="R10" s="502"/>
      <c r="S10" s="1424"/>
      <c r="T10" s="433" t="s">
        <v>433</v>
      </c>
      <c r="U10" s="513"/>
      <c r="V10" s="513"/>
      <c r="W10" s="513"/>
      <c r="X10" s="513"/>
      <c r="Y10" s="513"/>
      <c r="Z10" s="513"/>
      <c r="AA10" s="513"/>
      <c r="AB10" s="513"/>
      <c r="AC10" s="513"/>
      <c r="AD10" s="513"/>
      <c r="AE10" s="513"/>
      <c r="AF10" s="513"/>
      <c r="AG10" s="513"/>
      <c r="AH10" s="513"/>
      <c r="AI10" s="513"/>
      <c r="AJ10" s="513"/>
      <c r="AK10" s="513"/>
      <c r="AL10" s="470"/>
      <c r="AM10" s="2414"/>
      <c r="AO10" s="646"/>
      <c r="AP10" s="646" t="str">
        <f>IF(T10="","",T10)</f>
        <v>Добавить вид теплоносителя (параметры теплоносителя)</v>
      </c>
      <c r="AQ10" s="646"/>
      <c r="AR10" s="646"/>
      <c r="AS10" s="1301">
        <v>0</v>
      </c>
    </row>
    <row customHeight="1" ht="11.25" hidden="1">
      <c r="A11" s="1509"/>
      <c r="B11" s="1509"/>
      <c r="C11" s="1509"/>
      <c r="D11" s="1509"/>
      <c r="E11" s="2418"/>
      <c r="F11" s="2418"/>
      <c r="G11" s="2418"/>
      <c r="H11" s="2418"/>
      <c r="I11" s="2415"/>
      <c r="J11" s="1509"/>
      <c r="K11" s="1509"/>
      <c r="L11" s="1510"/>
      <c r="M11" s="683"/>
      <c r="P11" s="2416"/>
      <c r="Q11" s="1477"/>
      <c r="R11" s="502"/>
      <c r="S11" s="1424"/>
      <c r="T11" s="511" t="s">
        <v>434</v>
      </c>
      <c r="U11" s="513"/>
      <c r="V11" s="513"/>
      <c r="W11" s="513"/>
      <c r="X11" s="513"/>
      <c r="Y11" s="513"/>
      <c r="Z11" s="513"/>
      <c r="AA11" s="513"/>
      <c r="AB11" s="513"/>
      <c r="AC11" s="512"/>
      <c r="AD11" s="513"/>
      <c r="AE11" s="513"/>
      <c r="AF11" s="513"/>
      <c r="AG11" s="513"/>
      <c r="AH11" s="513"/>
      <c r="AI11" s="513"/>
      <c r="AJ11" s="513"/>
      <c r="AK11" s="512"/>
      <c r="AL11" s="513"/>
      <c r="AM11" s="449"/>
      <c r="AO11" s="646"/>
      <c r="AP11" s="646" t="str">
        <f>IF(T11="","",T11)</f>
        <v>Добавить группу потребителей</v>
      </c>
      <c r="AQ11" s="646"/>
      <c r="AR11" s="646"/>
      <c r="AS11" s="1301">
        <v>0</v>
      </c>
    </row>
    <row customHeight="1" ht="0.75" hidden="1">
      <c r="A12" s="1509"/>
      <c r="B12" s="1509"/>
      <c r="C12" s="1509"/>
      <c r="D12" s="1509"/>
      <c r="E12" s="2418"/>
      <c r="F12" s="2418"/>
      <c r="G12" s="2418"/>
      <c r="H12" s="2417"/>
      <c r="I12" s="1509"/>
      <c r="J12" s="1509"/>
      <c r="K12" s="1509"/>
      <c r="L12" s="1510"/>
      <c r="M12" s="1511"/>
      <c r="N12" s="1511"/>
      <c r="O12" s="683"/>
      <c r="P12" s="506"/>
      <c r="Q12" s="521"/>
      <c r="R12" s="501"/>
      <c r="S12" s="1532"/>
      <c r="T12" s="1533"/>
      <c r="U12" s="1534"/>
      <c r="V12" s="1534"/>
      <c r="W12" s="1534"/>
      <c r="X12" s="1534"/>
      <c r="Y12" s="1534"/>
      <c r="Z12" s="1534"/>
      <c r="AA12" s="1534"/>
      <c r="AB12" s="1534"/>
      <c r="AC12" s="1534"/>
      <c r="AD12" s="1534"/>
      <c r="AE12" s="1534"/>
      <c r="AF12" s="1534"/>
      <c r="AG12" s="1534"/>
      <c r="AH12" s="1534"/>
      <c r="AI12" s="1534"/>
      <c r="AJ12" s="1534"/>
      <c r="AK12" s="1534"/>
      <c r="AL12" s="1534"/>
      <c r="AM12" s="1535"/>
      <c r="AO12" s="646"/>
      <c r="AP12" s="646" t="str">
        <f>IF(T12="","",T12)</f>
        <v/>
      </c>
      <c r="AQ12" s="646"/>
      <c r="AR12" s="646"/>
      <c r="AS12" s="1301">
        <v>0</v>
      </c>
    </row>
    <row s="6720" customFormat="1" customHeight="1" ht="0.75" hidden="1">
      <c r="A13" s="1460"/>
      <c r="B13" s="1460"/>
      <c r="C13" s="1460"/>
      <c r="D13" s="1460"/>
      <c r="E13" s="2418"/>
      <c r="F13" s="2418"/>
      <c r="G13" s="2417"/>
      <c r="H13" s="1460"/>
      <c r="I13" s="1460"/>
      <c r="J13" s="1460"/>
      <c r="K13" s="1460"/>
      <c r="L13" s="1485"/>
      <c r="M13" s="1461"/>
      <c r="N13" s="1461"/>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935"/>
      <c r="AP13" s="935" t="str">
        <f>IF(T13="","",T13)</f>
        <v>Добавить источник для дифференциации</v>
      </c>
      <c r="AQ13" s="935"/>
      <c r="AR13" s="935"/>
      <c r="AS13" s="664">
        <v>0</v>
      </c>
    </row>
    <row s="6720" customFormat="1" customHeight="1" ht="0.75" hidden="1">
      <c r="A14" s="1460"/>
      <c r="B14" s="1460"/>
      <c r="C14" s="1460"/>
      <c r="D14" s="1460"/>
      <c r="E14" s="2418"/>
      <c r="F14" s="2417"/>
      <c r="G14" s="1460"/>
      <c r="H14" s="1460"/>
      <c r="I14" s="1460"/>
      <c r="J14" s="1460"/>
      <c r="K14" s="1460"/>
      <c r="L14" s="1485"/>
      <c r="M14" s="1467"/>
      <c r="N14" s="1467"/>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935"/>
      <c r="AP14" s="935" t="str">
        <f>IF(T14="","",T14)</f>
        <v>Добавить централизованную систему для дифференциации</v>
      </c>
      <c r="AQ14" s="935"/>
      <c r="AR14" s="935"/>
      <c r="AS14" s="664">
        <v>0</v>
      </c>
    </row>
    <row s="6720" customFormat="1" customHeight="1" ht="0.75" hidden="1">
      <c r="A15" s="1460"/>
      <c r="B15" s="1460"/>
      <c r="C15" s="1460"/>
      <c r="D15" s="1460"/>
      <c r="E15" s="2417"/>
      <c r="F15" s="1460"/>
      <c r="G15" s="1460"/>
      <c r="H15" s="1460"/>
      <c r="I15" s="1460"/>
      <c r="J15" s="1460"/>
      <c r="K15" s="1460"/>
      <c r="L15" s="1485"/>
      <c r="M15" s="1467"/>
      <c r="N15" s="1467"/>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935"/>
      <c r="AP15" s="935" t="str">
        <f>IF(T15="","",T15)</f>
        <v>Добавить территорию для дифференциации</v>
      </c>
      <c r="AQ15" s="935"/>
      <c r="AR15" s="935"/>
      <c r="AS15" s="664">
        <v>0</v>
      </c>
    </row>
    <row customHeight="1" ht="14.25" hidden="1">
      <c r="AC16" s="473"/>
      <c r="AK16" s="473"/>
      <c r="AS16" s="1301">
        <v>0</v>
      </c>
    </row>
    <row customHeight="1" ht="14.25" hidden="1">
      <c r="AD17" s="1506"/>
      <c r="AE17" s="1506"/>
      <c r="AF17" s="1506"/>
      <c r="AG17" s="1507"/>
      <c r="AH17" s="2426"/>
      <c r="AI17" s="2427" t="s">
        <v>63</v>
      </c>
      <c r="AJ17" s="2426"/>
      <c r="AK17" s="2427" t="s">
        <v>63</v>
      </c>
      <c r="AS17" s="1301">
        <v>0</v>
      </c>
    </row>
    <row customHeight="1" ht="14.25" hidden="1">
      <c r="AD18" s="1506"/>
      <c r="AE18" s="1506"/>
      <c r="AF18" s="1506"/>
      <c r="AG18" s="474" t="str">
        <f>AH17&amp;"-"&amp;AJ17</f>
        <v>-</v>
      </c>
      <c r="AH18" s="2427"/>
      <c r="AI18" s="2427"/>
      <c r="AJ18" s="2427"/>
      <c r="AK18" s="2427"/>
      <c r="AS18" s="1301">
        <v>0</v>
      </c>
    </row>
    <row customHeight="1" ht="14.25" hidden="1">
      <c r="AK19" s="473"/>
      <c r="AS19" s="1301">
        <v>0</v>
      </c>
    </row>
    <row s="7180" customFormat="1" customHeight="1" ht="22.5" hidden="1">
      <c r="L20" s="1475"/>
      <c r="M20" s="1508"/>
      <c r="N20" s="1508"/>
      <c r="O20" s="1513" t="s">
        <v>439</v>
      </c>
      <c r="P20" s="1508"/>
      <c r="Q20" s="1517"/>
      <c r="R20" s="1517"/>
      <c r="S20" s="875"/>
      <c r="Z20" s="1513"/>
      <c r="AB20" s="1513"/>
      <c r="AC20" s="1512"/>
      <c r="AH20" s="1513"/>
      <c r="AJ20" s="1513"/>
      <c r="AK20" s="1512"/>
      <c r="AN20" s="657"/>
      <c r="AO20" s="657"/>
      <c r="AP20" s="657"/>
      <c r="AQ20" s="657"/>
      <c r="AR20" s="657"/>
      <c r="AS20" s="1306">
        <v>0</v>
      </c>
    </row>
    <row s="7180" customFormat="1" customHeight="1" ht="14.25" hidden="1">
      <c r="L21" s="1475"/>
      <c r="M21" s="1508"/>
      <c r="N21" s="1508"/>
      <c r="O21" s="1508"/>
      <c r="P21" s="1508"/>
      <c r="Q21" s="1517"/>
      <c r="R21" s="1517"/>
      <c r="S21" s="875"/>
      <c r="AC21" s="1512"/>
      <c r="AK21" s="1512"/>
      <c r="AN21" s="657"/>
      <c r="AO21" s="657"/>
      <c r="AP21" s="657"/>
      <c r="AQ21" s="657"/>
      <c r="AR21" s="657"/>
      <c r="AS21" s="1306">
        <v>0</v>
      </c>
    </row>
    <row s="7180" customFormat="1" customHeight="1" ht="14.25" hidden="1">
      <c r="L22" s="1475"/>
      <c r="M22" s="1508"/>
      <c r="N22" s="1508"/>
      <c r="O22" s="1510" t="s">
        <v>440</v>
      </c>
      <c r="P22" s="1508"/>
      <c r="Q22" s="1517"/>
      <c r="R22" s="1517"/>
      <c r="S22" s="875"/>
      <c r="T22" s="1306" t="s">
        <v>441</v>
      </c>
      <c r="AA22" s="332" t="s">
        <v>442</v>
      </c>
      <c r="AC22" s="332" t="s">
        <v>443</v>
      </c>
      <c r="AD22" s="1306" t="s">
        <v>441</v>
      </c>
      <c r="AI22" s="332" t="s">
        <v>444</v>
      </c>
      <c r="AK22" s="332" t="s">
        <v>443</v>
      </c>
      <c r="AN22" s="657"/>
      <c r="AO22" s="657"/>
      <c r="AP22" s="657"/>
      <c r="AQ22" s="657"/>
      <c r="AR22" s="657"/>
      <c r="AS22" s="1306">
        <v>0</v>
      </c>
    </row>
    <row customHeight="1" ht="14.25" hidden="1">
      <c r="O23" s="1510"/>
      <c r="AS23" s="1301">
        <v>0</v>
      </c>
    </row>
    <row customHeight="1" ht="14.25" hidden="1">
      <c r="O24" s="1510"/>
      <c r="AS24" s="1301">
        <v>0</v>
      </c>
    </row>
    <row customHeight="1" ht="14.699999999999998">
      <c r="Q25" s="522"/>
      <c r="R25" s="522"/>
      <c r="S25" s="1421"/>
      <c r="T25" s="509"/>
      <c r="U25" s="509"/>
      <c r="V25" s="655"/>
      <c r="W25" s="655"/>
      <c r="X25" s="655"/>
      <c r="Y25" s="655"/>
      <c r="Z25" s="655"/>
      <c r="AA25" s="655"/>
      <c r="AB25" s="655"/>
      <c r="AC25" s="655"/>
      <c r="AD25" s="655"/>
      <c r="AE25" s="655"/>
      <c r="AF25" s="655"/>
      <c r="AG25" s="655"/>
      <c r="AH25" s="655"/>
      <c r="AI25" s="655"/>
      <c r="AJ25" s="655"/>
      <c r="AK25" s="655"/>
      <c r="AS25" s="1301">
        <v>14</v>
      </c>
    </row>
    <row customHeight="1" ht="54.75">
      <c r="Q26" s="522"/>
      <c r="R26" s="522"/>
      <c r="S26" s="24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6"/>
      <c r="U26" s="2466"/>
      <c r="V26" s="2466"/>
      <c r="W26" s="2466"/>
      <c r="X26" s="2466"/>
      <c r="Y26" s="2466"/>
      <c r="Z26" s="2466"/>
      <c r="AA26" s="2466"/>
      <c r="AB26" s="2466"/>
      <c r="AC26" s="2466"/>
      <c r="AD26" s="2466"/>
      <c r="AE26" s="2466"/>
      <c r="AF26" s="2466"/>
      <c r="AG26" s="2466"/>
      <c r="AH26" s="2466"/>
      <c r="AI26" s="2466"/>
      <c r="AJ26" s="2466"/>
      <c r="AK26" s="1389"/>
      <c r="AS26" s="1301">
        <v>52</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301">
        <v>14</v>
      </c>
    </row>
    <row customHeight="1" ht="14.25" hidden="1">
      <c r="Q28" s="522"/>
      <c r="R28" s="522"/>
      <c r="S28" s="1421"/>
      <c r="T28" s="509"/>
      <c r="U28" s="509"/>
      <c r="V28" s="468"/>
      <c r="W28" s="468"/>
      <c r="X28" s="468"/>
      <c r="Y28" s="468"/>
      <c r="Z28" s="468"/>
      <c r="AA28" s="468"/>
      <c r="AB28" s="468"/>
      <c r="AC28" s="468"/>
      <c r="AD28" s="468"/>
      <c r="AE28" s="468"/>
      <c r="AF28" s="468"/>
      <c r="AG28" s="468"/>
      <c r="AH28" s="468"/>
      <c r="AI28" s="468"/>
      <c r="AJ28" s="468"/>
      <c r="AK28" s="468"/>
      <c r="AL28" s="655"/>
      <c r="AS28" s="1301">
        <v>0</v>
      </c>
    </row>
    <row s="7809" customFormat="1" customHeight="1" ht="25.5" hidden="1">
      <c r="A29" s="1514"/>
      <c r="B29" s="1514"/>
      <c r="C29" s="1514"/>
      <c r="D29" s="1514"/>
      <c r="E29" s="1514"/>
      <c r="F29" s="1514"/>
      <c r="G29" s="1514"/>
      <c r="H29" s="1514"/>
      <c r="I29" s="1514"/>
      <c r="J29" s="1514"/>
      <c r="K29" s="1514"/>
      <c r="L29" s="1515"/>
      <c r="M29" s="1514"/>
      <c r="N29" s="1514"/>
      <c r="O29" s="1514"/>
      <c r="S29" s="2409" t="s">
        <v>42</v>
      </c>
      <c r="T29" s="2409"/>
      <c r="U29" s="1518"/>
      <c r="V29" s="2410" t="str">
        <f>IF(TITLE_NAME_OR_PR_CHANGE="",IF(TITLE_NAME_OR_PR="","",TITLE_NAME_OR_PR),TITLE_NAME_OR_PR_CHANGE)</f>
        <v/>
      </c>
      <c r="W29" s="2410"/>
      <c r="X29" s="2410"/>
      <c r="Y29" s="2410"/>
      <c r="Z29" s="2410"/>
      <c r="AA29" s="2410"/>
      <c r="AB29" s="2410"/>
      <c r="AC29" s="472"/>
      <c r="AD29" s="2410" t="str">
        <f>IF(TITLE_NAME_OR_PR_CHANGE="",IF(TITLE_NAME_OR_PR="","",TITLE_NAME_OR_PR),TITLE_NAME_OR_PR_CHANGE)</f>
        <v/>
      </c>
      <c r="AE29" s="2410"/>
      <c r="AF29" s="2410"/>
      <c r="AG29" s="2410"/>
      <c r="AH29" s="2410"/>
      <c r="AI29" s="2410"/>
      <c r="AJ29" s="2410"/>
      <c r="AK29" s="472"/>
      <c r="AL29" s="472"/>
      <c r="AM29" s="426"/>
      <c r="AN29" s="514"/>
      <c r="AO29" s="514"/>
      <c r="AP29" s="514"/>
      <c r="AQ29" s="514"/>
      <c r="AR29" s="514"/>
      <c r="AS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445</v>
      </c>
      <c r="T30" s="2409"/>
      <c r="U30" s="1518"/>
      <c r="V30" s="2423" t="str">
        <f>IF(TITLE_DATE_PR_CHANGE="",IF(TITLE_DATE_PR="","",TITLE_DATE_PR),TITLE_DATE_PR_CHANGE)</f>
        <v/>
      </c>
      <c r="W30" s="2423"/>
      <c r="X30" s="2423"/>
      <c r="Y30" s="2423"/>
      <c r="Z30" s="2423"/>
      <c r="AA30" s="2423"/>
      <c r="AB30" s="2423"/>
      <c r="AC30" s="472"/>
      <c r="AD30" s="2423" t="str">
        <f>IF(TITLE_DATE_PR_CHANGE="",IF(TITLE_DATE_PR="","",TITLE_DATE_PR),TITLE_DATE_PR_CHANGE)</f>
        <v/>
      </c>
      <c r="AE30" s="2423"/>
      <c r="AF30" s="2423"/>
      <c r="AG30" s="2423"/>
      <c r="AH30" s="2423"/>
      <c r="AI30" s="2423"/>
      <c r="AJ30" s="2423"/>
      <c r="AK30" s="472"/>
      <c r="AL30" s="472"/>
      <c r="AM30" s="426"/>
      <c r="AN30" s="514"/>
      <c r="AO30" s="514"/>
      <c r="AP30" s="514"/>
      <c r="AQ30" s="514"/>
      <c r="AR30" s="514"/>
      <c r="AS30" s="564">
        <v>0</v>
      </c>
    </row>
    <row s="7809" customFormat="1" customHeight="1" ht="18.75" hidden="1">
      <c r="A31" s="1514"/>
      <c r="B31" s="1514"/>
      <c r="C31" s="1514"/>
      <c r="D31" s="1514"/>
      <c r="E31" s="1514"/>
      <c r="F31" s="1514"/>
      <c r="G31" s="1514"/>
      <c r="H31" s="1514"/>
      <c r="I31" s="1514"/>
      <c r="J31" s="1514"/>
      <c r="K31" s="1514"/>
      <c r="L31" s="1515"/>
      <c r="M31" s="1514"/>
      <c r="N31" s="1514"/>
      <c r="O31" s="1514"/>
      <c r="S31" s="2409" t="s">
        <v>446</v>
      </c>
      <c r="T31" s="2409"/>
      <c r="U31" s="1518"/>
      <c r="V31" s="2410" t="str">
        <f>IF(TITLE_NUMBER_PR_CHANGE="",IF(TITLE_NUMBER_PR="","",TITLE_NUMBER_PR),TITLE_NUMBER_PR_CHANGE)</f>
        <v/>
      </c>
      <c r="W31" s="2410"/>
      <c r="X31" s="2410"/>
      <c r="Y31" s="2410"/>
      <c r="Z31" s="2410"/>
      <c r="AA31" s="2410"/>
      <c r="AB31" s="2410"/>
      <c r="AC31" s="472"/>
      <c r="AD31" s="2410" t="str">
        <f>IF(TITLE_NUMBER_PR_CHANGE="",IF(TITLE_NUMBER_PR="","",TITLE_NUMBER_PR),TITLE_NUMBER_PR_CHANGE)</f>
        <v/>
      </c>
      <c r="AE31" s="2410"/>
      <c r="AF31" s="2410"/>
      <c r="AG31" s="2410"/>
      <c r="AH31" s="2410"/>
      <c r="AI31" s="2410"/>
      <c r="AJ31" s="2410"/>
      <c r="AK31" s="472"/>
      <c r="AL31" s="472"/>
      <c r="AM31" s="426"/>
      <c r="AN31" s="514"/>
      <c r="AO31" s="514"/>
      <c r="AP31" s="514"/>
      <c r="AQ31" s="514"/>
      <c r="AR31" s="514"/>
      <c r="AS31" s="564">
        <v>0</v>
      </c>
    </row>
    <row s="7809" customFormat="1" customHeight="1" ht="18.75" hidden="1">
      <c r="A32" s="1514"/>
      <c r="B32" s="1514"/>
      <c r="C32" s="1514"/>
      <c r="D32" s="1514"/>
      <c r="E32" s="1514"/>
      <c r="F32" s="1514"/>
      <c r="G32" s="1514"/>
      <c r="H32" s="1514"/>
      <c r="I32" s="1514"/>
      <c r="J32" s="1514"/>
      <c r="K32" s="1514"/>
      <c r="L32" s="1515"/>
      <c r="M32" s="1514"/>
      <c r="N32" s="1514"/>
      <c r="O32" s="1514"/>
      <c r="S32" s="2409" t="s">
        <v>43</v>
      </c>
      <c r="T32" s="2409"/>
      <c r="U32" s="1518"/>
      <c r="V32" s="2410" t="str">
        <f>IF(TITLE_IST_PUB_CHANGE="",IF(TITLE_IST_PUB="","",TITLE_IST_PUB),TITLE_IST_PUB_CHANGE)</f>
        <v/>
      </c>
      <c r="W32" s="2410"/>
      <c r="X32" s="2410"/>
      <c r="Y32" s="2410"/>
      <c r="Z32" s="2410"/>
      <c r="AA32" s="2410"/>
      <c r="AB32" s="2410"/>
      <c r="AC32" s="472"/>
      <c r="AD32" s="2410" t="str">
        <f>IF(TITLE_IST_PUB_CHANGE="",IF(TITLE_IST_PUB="","",TITLE_IST_PUB),TITLE_IST_PUB_CHANGE)</f>
        <v/>
      </c>
      <c r="AE32" s="2410"/>
      <c r="AF32" s="2410"/>
      <c r="AG32" s="2410"/>
      <c r="AH32" s="2410"/>
      <c r="AI32" s="2410"/>
      <c r="AJ32" s="2410"/>
      <c r="AK32" s="472"/>
      <c r="AL32" s="472"/>
      <c r="AM32" s="426"/>
      <c r="AN32" s="514"/>
      <c r="AO32" s="514"/>
      <c r="AP32" s="514"/>
      <c r="AQ32" s="514"/>
      <c r="AR32" s="514"/>
      <c r="AS32" s="564">
        <v>0</v>
      </c>
    </row>
    <row customHeight="1" ht="14.25" hidden="1">
      <c r="Q33" s="522"/>
      <c r="R33" s="522"/>
      <c r="S33" s="1421"/>
      <c r="T33" s="509"/>
      <c r="U33" s="509"/>
      <c r="V33" s="468"/>
      <c r="W33" s="468"/>
      <c r="X33" s="468"/>
      <c r="Y33" s="468"/>
      <c r="Z33" s="468"/>
      <c r="AA33" s="468"/>
      <c r="AB33" s="468"/>
      <c r="AC33" s="468"/>
      <c r="AD33" s="468"/>
      <c r="AE33" s="468"/>
      <c r="AF33" s="468"/>
      <c r="AG33" s="468"/>
      <c r="AH33" s="468"/>
      <c r="AI33" s="468"/>
      <c r="AJ33" s="468"/>
      <c r="AK33" s="468"/>
      <c r="AL33" s="655"/>
      <c r="AS33" s="1301">
        <v>0</v>
      </c>
    </row>
    <row s="7809" customFormat="1" customHeight="1" ht="18.75" hidden="1">
      <c r="A34" s="1514"/>
      <c r="B34" s="1514"/>
      <c r="C34" s="1514"/>
      <c r="D34" s="1514"/>
      <c r="E34" s="1514"/>
      <c r="F34" s="1514"/>
      <c r="G34" s="1514"/>
      <c r="H34" s="1514"/>
      <c r="I34" s="1514"/>
      <c r="J34" s="1514"/>
      <c r="K34" s="1514"/>
      <c r="L34" s="1515"/>
      <c r="M34" s="1514"/>
      <c r="N34" s="1514"/>
      <c r="O34" s="1514"/>
      <c r="S34" s="2409" t="s">
        <v>447</v>
      </c>
      <c r="T34" s="2409"/>
      <c r="U34" s="1518"/>
      <c r="V34" s="2423" t="str">
        <f>IF(TITLE_DATE_PR_CHANGE="",IF(TITLE_DATE_PR="","",TITLE_DATE_PR),TITLE_DATE_PR_CHANGE)</f>
        <v/>
      </c>
      <c r="W34" s="2423"/>
      <c r="X34" s="2423"/>
      <c r="Y34" s="2423"/>
      <c r="Z34" s="2423"/>
      <c r="AA34" s="2423"/>
      <c r="AB34" s="2423"/>
      <c r="AC34" s="472"/>
      <c r="AD34" s="2423" t="str">
        <f>IF(TITLE_DATE_PR_CHANGE="",IF(TITLE_DATE_PR="","",TITLE_DATE_PR),TITLE_DATE_PR_CHANGE)</f>
        <v/>
      </c>
      <c r="AE34" s="2423"/>
      <c r="AF34" s="2423"/>
      <c r="AG34" s="2423"/>
      <c r="AH34" s="2423"/>
      <c r="AI34" s="2423"/>
      <c r="AJ34" s="2423"/>
      <c r="AK34" s="472"/>
      <c r="AL34" s="472"/>
      <c r="AM34" s="426"/>
      <c r="AN34" s="514"/>
      <c r="AO34" s="514"/>
      <c r="AP34" s="514"/>
      <c r="AQ34" s="514"/>
      <c r="AR34" s="514"/>
      <c r="AS34" s="564">
        <v>0</v>
      </c>
    </row>
    <row s="7809" customFormat="1" customHeight="1" ht="18.75" hidden="1">
      <c r="A35" s="1514"/>
      <c r="B35" s="1514"/>
      <c r="C35" s="1514"/>
      <c r="D35" s="1514"/>
      <c r="E35" s="1514"/>
      <c r="F35" s="1514"/>
      <c r="G35" s="1514"/>
      <c r="H35" s="1514"/>
      <c r="I35" s="1514"/>
      <c r="J35" s="1514"/>
      <c r="K35" s="1514"/>
      <c r="L35" s="1515"/>
      <c r="M35" s="1514"/>
      <c r="N35" s="1514"/>
      <c r="O35" s="1514"/>
      <c r="S35" s="2409" t="s">
        <v>448</v>
      </c>
      <c r="T35" s="2409"/>
      <c r="U35" s="1518"/>
      <c r="V35" s="2410" t="str">
        <f>IF(TITLE_NUMBER_PR_CHANGE="",IF(TITLE_NUMBER_PR="","",TITLE_NUMBER_PR),TITLE_NUMBER_PR_CHANGE)</f>
        <v/>
      </c>
      <c r="W35" s="2410"/>
      <c r="X35" s="2410"/>
      <c r="Y35" s="2410"/>
      <c r="Z35" s="2410"/>
      <c r="AA35" s="2410"/>
      <c r="AB35" s="2410"/>
      <c r="AC35" s="472"/>
      <c r="AD35" s="2410" t="str">
        <f>IF(TITLE_NUMBER_PR_CHANGE="",IF(TITLE_NUMBER_PR="","",TITLE_NUMBER_PR),TITLE_NUMBER_PR_CHANGE)</f>
        <v/>
      </c>
      <c r="AE35" s="2410"/>
      <c r="AF35" s="2410"/>
      <c r="AG35" s="2410"/>
      <c r="AH35" s="2410"/>
      <c r="AI35" s="2410"/>
      <c r="AJ35" s="2410"/>
      <c r="AK35" s="472"/>
      <c r="AL35" s="472"/>
      <c r="AM35" s="426"/>
      <c r="AN35" s="514"/>
      <c r="AO35" s="514"/>
      <c r="AP35" s="514"/>
      <c r="AQ35" s="514"/>
      <c r="AR35" s="514"/>
      <c r="AS35" s="564">
        <v>0</v>
      </c>
    </row>
    <row s="7809" customFormat="1" customHeight="1" ht="0">
      <c r="A36" s="1514"/>
      <c r="B36" s="1514"/>
      <c r="C36" s="1514"/>
      <c r="D36" s="1514"/>
      <c r="E36" s="1514"/>
      <c r="F36" s="1514"/>
      <c r="G36" s="1514"/>
      <c r="H36" s="1514"/>
      <c r="I36" s="1514"/>
      <c r="J36" s="1514"/>
      <c r="K36" s="1514"/>
      <c r="L36" s="1515"/>
      <c r="M36" s="1514"/>
      <c r="N36" s="1514"/>
      <c r="O36" s="1514"/>
      <c r="S36" s="469"/>
      <c r="T36" s="469"/>
      <c r="U36" s="1486"/>
      <c r="V36" s="472"/>
      <c r="W36" s="472"/>
      <c r="X36" s="472"/>
      <c r="Y36" s="472"/>
      <c r="Z36" s="472"/>
      <c r="AA36" s="472"/>
      <c r="AB36" s="472"/>
      <c r="AC36" s="424" t="s">
        <v>449</v>
      </c>
      <c r="AD36" s="472"/>
      <c r="AE36" s="472"/>
      <c r="AF36" s="472"/>
      <c r="AG36" s="472"/>
      <c r="AH36" s="472"/>
      <c r="AI36" s="472"/>
      <c r="AJ36" s="472"/>
      <c r="AK36" s="424" t="s">
        <v>449</v>
      </c>
      <c r="AN36" s="514"/>
      <c r="AO36" s="514"/>
      <c r="AP36" s="514"/>
      <c r="AQ36" s="514"/>
      <c r="AR36" s="514"/>
      <c r="AS36" s="564">
        <v>0</v>
      </c>
    </row>
    <row customHeight="1" ht="14.699999999999998">
      <c r="Q37" s="522"/>
      <c r="R37" s="522"/>
      <c r="S37" s="1421"/>
      <c r="T37" s="509"/>
      <c r="U37" s="1390"/>
      <c r="V37" s="2411"/>
      <c r="W37" s="2411"/>
      <c r="X37" s="2411"/>
      <c r="Y37" s="2411"/>
      <c r="Z37" s="2411"/>
      <c r="AA37" s="2411"/>
      <c r="AB37" s="2411"/>
      <c r="AC37" s="2411"/>
      <c r="AD37" s="2411"/>
      <c r="AE37" s="2411"/>
      <c r="AF37" s="2411"/>
      <c r="AG37" s="2411"/>
      <c r="AH37" s="2411"/>
      <c r="AI37" s="2411"/>
      <c r="AJ37" s="2411"/>
      <c r="AK37" s="2411"/>
      <c r="AS37" s="1301">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301">
        <v>14</v>
      </c>
    </row>
    <row customHeight="1" ht="14.699999999999998">
      <c r="Q39" s="522"/>
      <c r="R39" s="522"/>
      <c r="S39" s="2432" t="s">
        <v>89</v>
      </c>
      <c r="T39" s="2368" t="s">
        <v>450</v>
      </c>
      <c r="U39" s="447"/>
      <c r="V39" s="2433" t="s">
        <v>451</v>
      </c>
      <c r="W39" s="2434"/>
      <c r="X39" s="2434"/>
      <c r="Y39" s="2434"/>
      <c r="Z39" s="2434"/>
      <c r="AA39" s="2434"/>
      <c r="AB39" s="2435"/>
      <c r="AC39" s="2436" t="s">
        <v>452</v>
      </c>
      <c r="AD39" s="2433" t="s">
        <v>451</v>
      </c>
      <c r="AE39" s="2434"/>
      <c r="AF39" s="2434"/>
      <c r="AG39" s="2434"/>
      <c r="AH39" s="2434"/>
      <c r="AI39" s="2434"/>
      <c r="AJ39" s="2435"/>
      <c r="AK39" s="2436" t="s">
        <v>453</v>
      </c>
      <c r="AL39" s="2439" t="s">
        <v>454</v>
      </c>
      <c r="AM39" s="2286"/>
      <c r="AS39" s="1301">
        <v>14</v>
      </c>
    </row>
    <row customHeight="1" ht="35.699999999999996">
      <c r="Q40" s="522"/>
      <c r="R40" s="522"/>
      <c r="S40" s="2432"/>
      <c r="T40" s="2368"/>
      <c r="U40" s="1177"/>
      <c r="V40" s="2419" t="s">
        <v>455</v>
      </c>
      <c r="W40" s="2442"/>
      <c r="X40" s="2421" t="s">
        <v>457</v>
      </c>
      <c r="Y40" s="2422"/>
      <c r="Z40" s="2421" t="s">
        <v>458</v>
      </c>
      <c r="AA40" s="2428"/>
      <c r="AB40" s="2422"/>
      <c r="AC40" s="2437"/>
      <c r="AD40" s="2419" t="s">
        <v>472</v>
      </c>
      <c r="AE40" s="2442"/>
      <c r="AF40" s="2421" t="s">
        <v>457</v>
      </c>
      <c r="AG40" s="2422"/>
      <c r="AH40" s="2421" t="s">
        <v>458</v>
      </c>
      <c r="AI40" s="2428"/>
      <c r="AJ40" s="2422"/>
      <c r="AK40" s="2437"/>
      <c r="AL40" s="2440"/>
      <c r="AM40" s="2286"/>
      <c r="AS40" s="1301">
        <v>34</v>
      </c>
    </row>
    <row customHeight="1" ht="35.699999999999996">
      <c r="A41" s="1516"/>
      <c r="B41" s="1516" t="s">
        <v>159</v>
      </c>
      <c r="C41" s="1516" t="s">
        <v>160</v>
      </c>
      <c r="D41" s="1516" t="s">
        <v>161</v>
      </c>
      <c r="E41" s="1510" t="s">
        <v>459</v>
      </c>
      <c r="F41" s="1510" t="s">
        <v>460</v>
      </c>
      <c r="G41" s="1510" t="s">
        <v>461</v>
      </c>
      <c r="H41" s="1510" t="s">
        <v>462</v>
      </c>
      <c r="I41" s="1510" t="s">
        <v>463</v>
      </c>
      <c r="J41" s="1510" t="s">
        <v>464</v>
      </c>
      <c r="K41" s="1510" t="s">
        <v>465</v>
      </c>
      <c r="L41" s="1510" t="s">
        <v>440</v>
      </c>
      <c r="Q41" s="522"/>
      <c r="R41" s="522"/>
      <c r="S41" s="2432"/>
      <c r="T41" s="2368"/>
      <c r="U41" s="448"/>
      <c r="V41" s="2420"/>
      <c r="W41" s="2443"/>
      <c r="X41" s="1368" t="s">
        <v>466</v>
      </c>
      <c r="Y41" s="1368" t="s">
        <v>467</v>
      </c>
      <c r="Z41" s="1484" t="s">
        <v>468</v>
      </c>
      <c r="AA41" s="2429" t="s">
        <v>469</v>
      </c>
      <c r="AB41" s="2430"/>
      <c r="AC41" s="2438"/>
      <c r="AD41" s="2420"/>
      <c r="AE41" s="2443"/>
      <c r="AF41" s="1368" t="s">
        <v>466</v>
      </c>
      <c r="AG41" s="1368" t="s">
        <v>467</v>
      </c>
      <c r="AH41" s="1484" t="s">
        <v>468</v>
      </c>
      <c r="AI41" s="2429" t="s">
        <v>469</v>
      </c>
      <c r="AJ41" s="2430"/>
      <c r="AK41" s="2438"/>
      <c r="AL41" s="2441"/>
      <c r="AM41" s="2286"/>
      <c r="AS41" s="1301">
        <v>34</v>
      </c>
    </row>
    <row s="6314" customFormat="1" customHeight="1" ht="11.25" hidden="1">
      <c r="A42" s="1516"/>
      <c r="B42" s="1516"/>
      <c r="C42" s="1516"/>
      <c r="D42" s="1516"/>
      <c r="E42" s="1516"/>
      <c r="F42" s="1516"/>
      <c r="G42" s="1516"/>
      <c r="H42" s="1516"/>
      <c r="I42" s="1516"/>
      <c r="J42" s="1516"/>
      <c r="K42" s="1516"/>
      <c r="L42" s="1510"/>
      <c r="M42" s="1508"/>
      <c r="N42" s="1508"/>
      <c r="O42" s="1508"/>
      <c r="P42" s="1392"/>
      <c r="Q42" s="1393"/>
      <c r="R42" s="1400">
        <v>1</v>
      </c>
      <c r="S42" s="1423" t="s">
        <v>121</v>
      </c>
      <c r="T42" s="1401" t="s">
        <v>105</v>
      </c>
      <c r="U42" s="1391" t="str">
        <f>OFFSET(U42,0,-1)</f>
        <v>2</v>
      </c>
      <c r="V42" s="1481">
        <f>OFFSET(V42,0,-1)+1</f>
        <v>3</v>
      </c>
      <c r="W42" s="1481"/>
      <c r="X42" s="1481">
        <f>OFFSET(X42,0,-1)+1</f>
        <v>1</v>
      </c>
      <c r="Y42" s="1481">
        <f>OFFSET(Y42,0,-1)+1</f>
        <v>2</v>
      </c>
      <c r="Z42" s="1481">
        <f>OFFSET(Z42,0,-1)+1</f>
        <v>3</v>
      </c>
      <c r="AA42" s="2431">
        <f>OFFSET(AA42,0,-1)+1</f>
        <v>4</v>
      </c>
      <c r="AB42" s="2431"/>
      <c r="AC42" s="1481">
        <f>OFFSET(AC42,0,-2)+1</f>
        <v>5</v>
      </c>
      <c r="AD42" s="1481">
        <f>OFFSET(AD42,0,-1)+1</f>
        <v>6</v>
      </c>
      <c r="AE42" s="1481"/>
      <c r="AF42" s="1481">
        <f>OFFSET(AF42,0,-1)+1</f>
        <v>1</v>
      </c>
      <c r="AG42" s="1481">
        <f>OFFSET(AG42,0,-1)+1</f>
        <v>2</v>
      </c>
      <c r="AH42" s="1481">
        <f>OFFSET(AH42,0,-1)+1</f>
        <v>3</v>
      </c>
      <c r="AI42" s="2431">
        <f>OFFSET(AI42,0,-1)+1</f>
        <v>4</v>
      </c>
      <c r="AJ42" s="2431"/>
      <c r="AK42" s="1481">
        <f>OFFSET(AK42,0,-2)+1</f>
        <v>5</v>
      </c>
      <c r="AL42" s="1391">
        <f>OFFSET(AL42,0,-1)</f>
        <v>5</v>
      </c>
      <c r="AM42" s="1481">
        <f>OFFSET(AM42,0,-1)+1</f>
        <v>6</v>
      </c>
      <c r="AN42" s="657"/>
      <c r="AO42" s="657"/>
      <c r="AP42" s="657"/>
      <c r="AQ42" s="657"/>
      <c r="AR42" s="657"/>
      <c r="AS42" s="642">
        <v>0</v>
      </c>
    </row>
    <row customHeight="1" ht="22.049999999999997">
      <c r="A43" s="1509" t="s">
        <v>204</v>
      </c>
      <c r="B43" s="1509"/>
      <c r="C43" s="1509"/>
      <c r="D43" s="1509"/>
      <c r="E43" s="2417">
        <v>1</v>
      </c>
      <c r="F43" s="1509"/>
      <c r="G43" s="1509"/>
      <c r="H43" s="1509"/>
      <c r="I43" s="1509"/>
      <c r="J43" s="1509"/>
      <c r="K43" s="1509"/>
      <c r="L43" s="1510"/>
      <c r="M43" s="1511"/>
      <c r="N43" s="1511"/>
      <c r="O43" s="1511"/>
      <c r="P43" s="507"/>
      <c r="Q43" s="506"/>
      <c r="R43" s="501"/>
      <c r="S43" s="1482">
        <f>INDEX(PT_DIFFERENTIATION_NUM_NTAR,MATCH(A43,PT_DIFFERENTIATION_NTAR_ID,0))</f>
        <v>0</v>
      </c>
      <c r="T43" s="444"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46"/>
      <c r="AP43" s="646" t="str">
        <f>IF(T43="","",T43)</f>
        <v>Наименование тарифа</v>
      </c>
      <c r="AQ43" s="646"/>
      <c r="AR43" s="646"/>
      <c r="AS43" s="1301">
        <v>21</v>
      </c>
    </row>
    <row customHeight="1" ht="22.049999999999997">
      <c r="A44" s="1509" t="s">
        <v>204</v>
      </c>
      <c r="B44" s="1509" t="s">
        <v>205</v>
      </c>
      <c r="C44" s="1509"/>
      <c r="D44" s="1509"/>
      <c r="E44" s="2418"/>
      <c r="F44" s="2417">
        <v>1</v>
      </c>
      <c r="G44" s="1509"/>
      <c r="H44" s="1509"/>
      <c r="I44" s="1509"/>
      <c r="J44" s="1509"/>
      <c r="K44" s="1509"/>
      <c r="L44" s="1510"/>
      <c r="M44" s="1511"/>
      <c r="N44" s="1511"/>
      <c r="O44" s="1511"/>
      <c r="P44" s="1478"/>
      <c r="Q44" s="498"/>
      <c r="R44" s="499"/>
      <c r="S44" s="1482" t="str">
        <f>INDEX(PT_DIFFERENTIATION_NUM_TER,MATCH(B44,PT_DIFFERENTIATION_TER_ID,0))</f>
        <v>.</v>
      </c>
      <c r="T44" s="454"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646"/>
      <c r="AP44" s="646" t="str">
        <f>IF(T44="","",T44)</f>
        <v>Территория действия тарифа</v>
      </c>
      <c r="AQ44" s="646"/>
      <c r="AR44" s="646"/>
      <c r="AS44" s="1301">
        <v>21</v>
      </c>
    </row>
    <row customHeight="1" ht="24">
      <c r="A45" s="1509" t="s">
        <v>204</v>
      </c>
      <c r="B45" s="1509" t="s">
        <v>205</v>
      </c>
      <c r="C45" s="1509" t="s">
        <v>206</v>
      </c>
      <c r="D45" s="1509"/>
      <c r="E45" s="2418"/>
      <c r="F45" s="2418"/>
      <c r="G45" s="2417">
        <v>1</v>
      </c>
      <c r="H45" s="1509"/>
      <c r="I45" s="1509"/>
      <c r="J45" s="1509"/>
      <c r="K45" s="1509"/>
      <c r="L45" s="1510"/>
      <c r="M45" s="1511"/>
      <c r="N45" s="1511"/>
      <c r="O45" s="1511"/>
      <c r="P45" s="500"/>
      <c r="Q45" s="498"/>
      <c r="R45" s="499"/>
      <c r="S45" s="1482"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646"/>
      <c r="AP45" s="646" t="str">
        <f>IF(T45="","",T45)</f>
        <v>Наименование системы теплоснабжения </v>
      </c>
      <c r="AQ45" s="646"/>
      <c r="AR45" s="646"/>
      <c r="AS45" s="1301">
        <v>23</v>
      </c>
    </row>
    <row customHeight="1" ht="22.049999999999997">
      <c r="A46" s="1509" t="s">
        <v>204</v>
      </c>
      <c r="B46" s="1509" t="s">
        <v>205</v>
      </c>
      <c r="C46" s="1509" t="s">
        <v>206</v>
      </c>
      <c r="D46" s="1509" t="s">
        <v>207</v>
      </c>
      <c r="E46" s="2418"/>
      <c r="F46" s="2418"/>
      <c r="G46" s="2418"/>
      <c r="H46" s="2417">
        <v>1</v>
      </c>
      <c r="I46" s="1509"/>
      <c r="J46" s="1509"/>
      <c r="K46" s="1509"/>
      <c r="L46" s="1510"/>
      <c r="M46" s="1511"/>
      <c r="N46" s="1511"/>
      <c r="O46" s="1511"/>
      <c r="P46" s="500"/>
      <c r="Q46" s="498"/>
      <c r="R46" s="499"/>
      <c r="S46" s="1482"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646"/>
      <c r="AP46" s="646" t="str">
        <f>IF(T46="","",T46)</f>
        <v>Источник тепловой энергии  </v>
      </c>
      <c r="AQ46" s="646"/>
      <c r="AR46" s="646"/>
      <c r="AS46" s="1301">
        <v>21</v>
      </c>
    </row>
    <row s="6720" customFormat="1" customHeight="1" ht="0">
      <c r="A47" s="1489" t="s">
        <v>204</v>
      </c>
      <c r="B47" s="1489" t="s">
        <v>205</v>
      </c>
      <c r="C47" s="1489" t="s">
        <v>206</v>
      </c>
      <c r="D47" s="1489" t="s">
        <v>207</v>
      </c>
      <c r="E47" s="2418"/>
      <c r="F47" s="2418"/>
      <c r="G47" s="2418"/>
      <c r="H47" s="2418"/>
      <c r="I47" s="2415" t="str">
        <f>S46&amp;".1"</f>
        <v>....1</v>
      </c>
      <c r="J47" s="1489"/>
      <c r="K47" s="1489"/>
      <c r="L47" s="1492" t="s">
        <v>425</v>
      </c>
      <c r="M47" s="656"/>
      <c r="N47" s="656"/>
      <c r="O47" s="656"/>
      <c r="P47" s="2416">
        <v>1</v>
      </c>
      <c r="Q47" s="1477"/>
      <c r="R47" s="502"/>
      <c r="S47" s="1188"/>
      <c r="T47" s="1529"/>
      <c r="U47" s="1530"/>
      <c r="V47" s="2455"/>
      <c r="W47" s="2456"/>
      <c r="X47" s="2456"/>
      <c r="Y47" s="2456"/>
      <c r="Z47" s="2456"/>
      <c r="AA47" s="2456"/>
      <c r="AB47" s="2456"/>
      <c r="AC47" s="2457"/>
      <c r="AD47" s="2455"/>
      <c r="AE47" s="2456"/>
      <c r="AF47" s="2456"/>
      <c r="AG47" s="2456"/>
      <c r="AH47" s="2456"/>
      <c r="AI47" s="2456"/>
      <c r="AJ47" s="2456"/>
      <c r="AK47" s="2456"/>
      <c r="AL47" s="2457"/>
      <c r="AM47" s="1531"/>
      <c r="AO47" s="646"/>
      <c r="AP47" s="646" t="str">
        <f>IF(T47="","",T47)</f>
        <v/>
      </c>
      <c r="AQ47" s="646"/>
      <c r="AR47" s="646"/>
      <c r="AS47" s="657">
        <v>0</v>
      </c>
    </row>
    <row customHeight="1" ht="22.049999999999997">
      <c r="A48" s="1509" t="s">
        <v>204</v>
      </c>
      <c r="B48" s="1509" t="s">
        <v>205</v>
      </c>
      <c r="C48" s="1509" t="s">
        <v>206</v>
      </c>
      <c r="D48" s="1509" t="s">
        <v>207</v>
      </c>
      <c r="E48" s="2418"/>
      <c r="F48" s="2418"/>
      <c r="G48" s="2418"/>
      <c r="H48" s="2418"/>
      <c r="I48" s="2445"/>
      <c r="J48" s="2415" t="str">
        <f>S46&amp;".1"</f>
        <v>....1</v>
      </c>
      <c r="K48" s="1509"/>
      <c r="L48" s="1510" t="s">
        <v>428</v>
      </c>
      <c r="P48" s="2416"/>
      <c r="Q48" s="2416">
        <v>1</v>
      </c>
      <c r="R48" s="503"/>
      <c r="S48" s="1482" t="str">
        <f>$J48</f>
        <v>....1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646"/>
      <c r="AP48" s="646" t="str">
        <f>IF(T48="","",T48)</f>
        <v>Группа потребителей</v>
      </c>
      <c r="AQ48" s="646"/>
      <c r="AR48" s="646"/>
      <c r="AS48" s="1301">
        <v>21</v>
      </c>
    </row>
    <row customHeight="1" ht="22.049999999999997">
      <c r="A49" s="1509" t="s">
        <v>204</v>
      </c>
      <c r="B49" s="1509" t="s">
        <v>205</v>
      </c>
      <c r="C49" s="1509" t="s">
        <v>206</v>
      </c>
      <c r="D49" s="1509" t="s">
        <v>207</v>
      </c>
      <c r="E49" s="2418"/>
      <c r="F49" s="2418"/>
      <c r="G49" s="2418"/>
      <c r="H49" s="2418"/>
      <c r="I49" s="2445"/>
      <c r="J49" s="2445"/>
      <c r="K49" s="2415" t="str">
        <f>J48&amp;".1"</f>
        <v>....1.1</v>
      </c>
      <c r="L49" s="1510" t="s">
        <v>431</v>
      </c>
      <c r="P49" s="2416"/>
      <c r="Q49" s="2416"/>
      <c r="R49" s="503">
        <v>1</v>
      </c>
      <c r="S49" s="1482" t="str">
        <f>$K49</f>
        <v>....1.1</v>
      </c>
      <c r="T49" s="1493"/>
      <c r="U49" s="446"/>
      <c r="V49" s="897"/>
      <c r="W49" s="471"/>
      <c r="X49" s="897"/>
      <c r="Y49" s="1403"/>
      <c r="Z49" s="2424"/>
      <c r="AA49" s="2266" t="s">
        <v>63</v>
      </c>
      <c r="AB49" s="2424"/>
      <c r="AC49" s="2266" t="s">
        <v>63</v>
      </c>
      <c r="AD49" s="897"/>
      <c r="AE49" s="471"/>
      <c r="AF49" s="897"/>
      <c r="AG49" s="1403"/>
      <c r="AH49" s="2424"/>
      <c r="AI49" s="2266" t="s">
        <v>63</v>
      </c>
      <c r="AJ49" s="2446"/>
      <c r="AK49" s="2266" t="s">
        <v>63</v>
      </c>
      <c r="AL49" s="1494"/>
      <c r="AM49" s="2412" t="s">
        <v>473</v>
      </c>
      <c r="AN49" s="657">
        <f>STRCHECKDATE(V50:AL50)</f>
      </c>
      <c r="AO49" s="646"/>
      <c r="AP49" s="646" t="str">
        <f>IF(T49="","",T49)</f>
        <v/>
      </c>
      <c r="AQ49" s="646"/>
      <c r="AR49" s="646"/>
      <c r="AS49" s="1301">
        <v>21</v>
      </c>
    </row>
    <row customHeight="1" ht="1.05">
      <c r="A50" s="1509" t="s">
        <v>204</v>
      </c>
      <c r="B50" s="1509" t="s">
        <v>205</v>
      </c>
      <c r="C50" s="1509" t="s">
        <v>206</v>
      </c>
      <c r="D50" s="1509" t="s">
        <v>207</v>
      </c>
      <c r="E50" s="2418"/>
      <c r="F50" s="2418"/>
      <c r="G50" s="2418"/>
      <c r="H50" s="2418"/>
      <c r="I50" s="2445"/>
      <c r="J50" s="2445"/>
      <c r="K50" s="2415"/>
      <c r="L50" s="1510"/>
      <c r="P50" s="2416"/>
      <c r="Q50" s="2416"/>
      <c r="R50" s="503"/>
      <c r="S50" s="1488"/>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646"/>
      <c r="AP50" s="646" t="str">
        <f>IF(T50="","",T50)</f>
        <v/>
      </c>
      <c r="AQ50" s="646"/>
      <c r="AR50" s="646"/>
      <c r="AS50" s="1301">
        <v>1</v>
      </c>
    </row>
    <row customHeight="1" ht="11.549999999999999">
      <c r="A51" s="1509" t="s">
        <v>204</v>
      </c>
      <c r="B51" s="1509" t="s">
        <v>205</v>
      </c>
      <c r="C51" s="1509" t="s">
        <v>206</v>
      </c>
      <c r="D51" s="1509" t="s">
        <v>207</v>
      </c>
      <c r="E51" s="2418"/>
      <c r="F51" s="2418"/>
      <c r="G51" s="2418"/>
      <c r="H51" s="2418"/>
      <c r="I51" s="2445"/>
      <c r="J51" s="2415"/>
      <c r="K51" s="1509"/>
      <c r="L51" s="1510"/>
      <c r="P51" s="2416"/>
      <c r="Q51" s="2416"/>
      <c r="R51" s="502"/>
      <c r="S51" s="1424"/>
      <c r="T51" s="433" t="s">
        <v>433</v>
      </c>
      <c r="U51" s="513"/>
      <c r="V51" s="513"/>
      <c r="W51" s="513"/>
      <c r="X51" s="513"/>
      <c r="Y51" s="513"/>
      <c r="Z51" s="513"/>
      <c r="AA51" s="513"/>
      <c r="AB51" s="513"/>
      <c r="AC51" s="513"/>
      <c r="AD51" s="513"/>
      <c r="AE51" s="513"/>
      <c r="AF51" s="513"/>
      <c r="AG51" s="513"/>
      <c r="AH51" s="513"/>
      <c r="AI51" s="513"/>
      <c r="AJ51" s="513"/>
      <c r="AK51" s="513"/>
      <c r="AL51" s="470"/>
      <c r="AM51" s="2414"/>
      <c r="AO51" s="646"/>
      <c r="AP51" s="646" t="str">
        <f>IF(T51="","",T51)</f>
        <v>Добавить вид теплоносителя (параметры теплоносителя)</v>
      </c>
      <c r="AQ51" s="646"/>
      <c r="AR51" s="646"/>
      <c r="AS51" s="1301">
        <v>11</v>
      </c>
    </row>
    <row customHeight="1" ht="11.549999999999999">
      <c r="A52" s="1509" t="s">
        <v>204</v>
      </c>
      <c r="B52" s="1509" t="s">
        <v>205</v>
      </c>
      <c r="C52" s="1509" t="s">
        <v>206</v>
      </c>
      <c r="D52" s="1509" t="s">
        <v>207</v>
      </c>
      <c r="E52" s="2418"/>
      <c r="F52" s="2418"/>
      <c r="G52" s="2418"/>
      <c r="H52" s="2418"/>
      <c r="I52" s="2415"/>
      <c r="J52" s="1509"/>
      <c r="K52" s="1509"/>
      <c r="L52" s="1510"/>
      <c r="P52" s="2416"/>
      <c r="Q52" s="1477"/>
      <c r="R52" s="502"/>
      <c r="S52" s="1424"/>
      <c r="T52" s="511" t="s">
        <v>434</v>
      </c>
      <c r="U52" s="513"/>
      <c r="V52" s="513"/>
      <c r="W52" s="513"/>
      <c r="X52" s="513"/>
      <c r="Y52" s="513"/>
      <c r="Z52" s="513"/>
      <c r="AA52" s="513"/>
      <c r="AB52" s="513"/>
      <c r="AC52" s="512"/>
      <c r="AD52" s="513"/>
      <c r="AE52" s="513"/>
      <c r="AF52" s="513"/>
      <c r="AG52" s="513"/>
      <c r="AH52" s="513"/>
      <c r="AI52" s="513"/>
      <c r="AJ52" s="513"/>
      <c r="AK52" s="512"/>
      <c r="AL52" s="513"/>
      <c r="AM52" s="449"/>
      <c r="AO52" s="646"/>
      <c r="AP52" s="646" t="str">
        <f>IF(T52="","",T52)</f>
        <v>Добавить группу потребителей</v>
      </c>
      <c r="AQ52" s="646"/>
      <c r="AR52" s="646"/>
      <c r="AS52" s="1301">
        <v>11</v>
      </c>
    </row>
    <row customHeight="1" ht="0">
      <c r="A53" s="1509" t="s">
        <v>204</v>
      </c>
      <c r="B53" s="1509" t="s">
        <v>205</v>
      </c>
      <c r="C53" s="1509" t="s">
        <v>206</v>
      </c>
      <c r="D53" s="1509" t="s">
        <v>207</v>
      </c>
      <c r="E53" s="2418"/>
      <c r="F53" s="2418"/>
      <c r="G53" s="2418"/>
      <c r="H53" s="2417"/>
      <c r="I53" s="1509"/>
      <c r="J53" s="1509"/>
      <c r="K53" s="1509"/>
      <c r="L53" s="1510"/>
      <c r="M53" s="1511"/>
      <c r="N53" s="1511"/>
      <c r="O53" s="683"/>
      <c r="P53" s="506"/>
      <c r="Q53" s="521"/>
      <c r="R53" s="501"/>
      <c r="S53" s="1532"/>
      <c r="T53" s="1533"/>
      <c r="U53" s="1534"/>
      <c r="V53" s="1534"/>
      <c r="W53" s="1534"/>
      <c r="X53" s="1534"/>
      <c r="Y53" s="1534"/>
      <c r="Z53" s="1534"/>
      <c r="AA53" s="1534"/>
      <c r="AB53" s="1534"/>
      <c r="AC53" s="1534"/>
      <c r="AD53" s="1534"/>
      <c r="AE53" s="1534"/>
      <c r="AF53" s="1534"/>
      <c r="AG53" s="1534"/>
      <c r="AH53" s="1534"/>
      <c r="AI53" s="1534"/>
      <c r="AJ53" s="1534"/>
      <c r="AK53" s="1534"/>
      <c r="AL53" s="1534"/>
      <c r="AM53" s="1535"/>
      <c r="AO53" s="646"/>
      <c r="AP53" s="646" t="str">
        <f>IF(T53="","",T53)</f>
        <v/>
      </c>
      <c r="AQ53" s="646"/>
      <c r="AR53" s="646"/>
      <c r="AS53" s="1301">
        <v>0</v>
      </c>
    </row>
    <row s="6720" customFormat="1" customHeight="1" ht="1.05">
      <c r="A54" s="1489" t="s">
        <v>204</v>
      </c>
      <c r="B54" s="1489" t="s">
        <v>205</v>
      </c>
      <c r="C54" s="1489" t="s">
        <v>206</v>
      </c>
      <c r="D54" s="1460"/>
      <c r="E54" s="2418"/>
      <c r="F54" s="2418"/>
      <c r="G54" s="2417"/>
      <c r="H54" s="1460"/>
      <c r="I54" s="1460"/>
      <c r="J54" s="1460"/>
      <c r="K54" s="1460"/>
      <c r="L54" s="1485"/>
      <c r="M54" s="1461"/>
      <c r="N54" s="1461"/>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935"/>
      <c r="AP54" s="935" t="str">
        <f>IF(T54="","",T54)</f>
        <v>Добавить источник для дифференциации</v>
      </c>
      <c r="AQ54" s="935"/>
      <c r="AR54" s="935"/>
      <c r="AS54" s="664">
        <v>1</v>
      </c>
    </row>
    <row s="6720" customFormat="1" customHeight="1" ht="1.05">
      <c r="A55" s="1489" t="s">
        <v>204</v>
      </c>
      <c r="B55" s="1489" t="s">
        <v>205</v>
      </c>
      <c r="C55" s="1460"/>
      <c r="D55" s="1460"/>
      <c r="E55" s="2418"/>
      <c r="F55" s="2417"/>
      <c r="G55" s="1460"/>
      <c r="H55" s="1460"/>
      <c r="I55" s="1460"/>
      <c r="J55" s="1460"/>
      <c r="K55" s="1460"/>
      <c r="L55" s="1485"/>
      <c r="M55" s="1467"/>
      <c r="N55" s="1467"/>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935"/>
      <c r="AP55" s="935" t="str">
        <f>IF(T55="","",T55)</f>
        <v>Добавить централизованную систему для дифференциации</v>
      </c>
      <c r="AQ55" s="935"/>
      <c r="AR55" s="935"/>
      <c r="AS55" s="664">
        <v>1</v>
      </c>
    </row>
    <row s="6720" customFormat="1" customHeight="1" ht="1.05">
      <c r="A56" s="1489" t="s">
        <v>204</v>
      </c>
      <c r="B56" s="1489"/>
      <c r="C56" s="1489"/>
      <c r="D56" s="1489"/>
      <c r="E56" s="2417"/>
      <c r="F56" s="1489"/>
      <c r="G56" s="1489"/>
      <c r="H56" s="1489"/>
      <c r="I56" s="1489"/>
      <c r="J56" s="1489"/>
      <c r="K56" s="1489"/>
      <c r="L56" s="1492"/>
      <c r="M56" s="1467"/>
      <c r="N56" s="1467"/>
      <c r="O56" s="664"/>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646"/>
      <c r="AP56" s="646" t="str">
        <f>IF(T56="","",T56)</f>
        <v>Добавить территорию для дифференциации</v>
      </c>
      <c r="AQ56" s="646"/>
      <c r="AR56" s="646"/>
      <c r="AS56" s="657">
        <v>1</v>
      </c>
    </row>
    <row s="6720" customFormat="1" customHeight="1" ht="1.05">
      <c r="A57" s="1460"/>
      <c r="B57" s="1460"/>
      <c r="C57" s="1460"/>
      <c r="D57" s="1460"/>
      <c r="E57" s="1489"/>
      <c r="F57" s="1460"/>
      <c r="G57" s="1460"/>
      <c r="H57" s="1460"/>
      <c r="I57" s="1460"/>
      <c r="J57" s="1460"/>
      <c r="K57" s="1460"/>
      <c r="L57" s="1485"/>
      <c r="M57" s="1467"/>
      <c r="N57" s="1467"/>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935"/>
      <c r="AP57" s="935" t="str">
        <f>IF(T57="","",T57)</f>
        <v>Добавить наименование тарифа</v>
      </c>
      <c r="AQ57" s="935"/>
      <c r="AR57" s="935"/>
      <c r="AS57" s="664">
        <v>1</v>
      </c>
    </row>
    <row customHeight="1" ht="11.549999999999999">
      <c r="M58" s="1306"/>
      <c r="N58" s="1306"/>
      <c r="O58" s="683"/>
      <c r="P58" s="1301"/>
      <c r="Q58" s="1301"/>
      <c r="R58" s="1301"/>
      <c r="S58" s="1301"/>
      <c r="AN58" s="1301"/>
      <c r="AO58" s="1301"/>
      <c r="AP58" s="1301"/>
      <c r="AQ58" s="1301"/>
      <c r="AR58" s="1301"/>
      <c r="AS58" s="1301">
        <v>11</v>
      </c>
    </row>
    <row customHeight="1" ht="23.25">
      <c r="O59" s="683"/>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301">
        <v>22</v>
      </c>
    </row>
    <row customHeight="1" ht="30.45">
      <c r="O60" s="683"/>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301">
        <v>29</v>
      </c>
    </row>
    <row customHeight="1" ht="42">
      <c r="O61" s="683"/>
      <c r="T61" s="2444"/>
      <c r="U61" s="2444"/>
      <c r="V61" s="2444"/>
      <c r="W61" s="2444"/>
      <c r="X61" s="2444"/>
      <c r="Y61" s="2444"/>
      <c r="Z61" s="2444"/>
      <c r="AA61" s="2444"/>
      <c r="AB61" s="2444"/>
      <c r="AC61" s="2444"/>
      <c r="AD61" s="2444"/>
      <c r="AE61" s="2444"/>
      <c r="AF61" s="2444"/>
      <c r="AG61" s="2444"/>
      <c r="AH61" s="2444"/>
      <c r="AI61" s="2444"/>
      <c r="AJ61" s="2444"/>
      <c r="AK61" s="2444"/>
      <c r="AL61" s="2444"/>
      <c r="AM61" s="2444"/>
      <c r="AS61" s="1301">
        <v>40</v>
      </c>
    </row>
    <row customHeight="1" ht="14.699999999999998">
      <c r="O62" s="683"/>
      <c r="AS62" s="1301">
        <v>14</v>
      </c>
    </row>
    <row customHeight="1" ht="21">
      <c r="O63" s="683"/>
      <c r="S63" s="1399"/>
      <c r="T63" s="2458"/>
      <c r="U63" s="2444"/>
      <c r="V63" s="2444"/>
      <c r="W63" s="2444"/>
      <c r="X63" s="2444"/>
      <c r="Y63" s="2444"/>
      <c r="Z63" s="2444"/>
      <c r="AA63" s="2444"/>
      <c r="AB63" s="2444"/>
      <c r="AC63" s="2444"/>
      <c r="AD63" s="2444"/>
      <c r="AE63" s="2444"/>
      <c r="AF63" s="2444"/>
      <c r="AG63" s="2444"/>
      <c r="AH63" s="2444"/>
      <c r="AI63" s="2444"/>
      <c r="AJ63" s="2444"/>
      <c r="AK63" s="2444"/>
      <c r="AL63" s="2444"/>
      <c r="AM63" s="2444"/>
      <c r="AS63" s="1301">
        <v>20</v>
      </c>
    </row>
    <row customHeight="1" ht="29.25">
      <c r="O64" s="683"/>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301">
        <v>28</v>
      </c>
    </row>
    <row customHeight="1" ht="35.699999999999996">
      <c r="T65" s="2444"/>
      <c r="U65" s="2444"/>
      <c r="V65" s="2444"/>
      <c r="W65" s="2444"/>
      <c r="X65" s="2444"/>
      <c r="Y65" s="2444"/>
      <c r="Z65" s="2444"/>
      <c r="AA65" s="2444"/>
      <c r="AB65" s="2444"/>
      <c r="AC65" s="2444"/>
      <c r="AD65" s="2444"/>
      <c r="AE65" s="2444"/>
      <c r="AF65" s="2444"/>
      <c r="AG65" s="2444"/>
      <c r="AH65" s="2444"/>
      <c r="AI65" s="2444"/>
      <c r="AJ65" s="2444"/>
      <c r="AK65" s="2444"/>
      <c r="AL65" s="2444"/>
      <c r="AM65" s="2444"/>
      <c r="AS65" s="1301">
        <v>34</v>
      </c>
    </row>
    <row customHeight="1" ht="22.5" hidden="1">
      <c r="A66" s="1306" t="s">
        <v>83</v>
      </c>
      <c r="B66" s="1306">
        <v>0</v>
      </c>
      <c r="C66" s="1306">
        <v>0</v>
      </c>
      <c r="D66" s="1306">
        <v>0</v>
      </c>
      <c r="E66" s="1306">
        <v>0</v>
      </c>
      <c r="F66" s="1306">
        <v>0</v>
      </c>
      <c r="G66" s="1306">
        <v>0</v>
      </c>
      <c r="H66" s="1306">
        <v>0</v>
      </c>
      <c r="I66" s="1306">
        <v>0</v>
      </c>
      <c r="J66" s="1306">
        <v>0</v>
      </c>
      <c r="K66" s="1306">
        <v>0</v>
      </c>
      <c r="L66" s="1475">
        <v>0</v>
      </c>
      <c r="M66" s="1508">
        <v>0</v>
      </c>
      <c r="N66" s="1508">
        <v>0</v>
      </c>
      <c r="O66" s="1508">
        <v>0</v>
      </c>
      <c r="P66" s="1474">
        <v>0</v>
      </c>
      <c r="Q66" s="490">
        <v>3</v>
      </c>
      <c r="R66" s="490">
        <v>3</v>
      </c>
      <c r="S66" s="727">
        <v>12</v>
      </c>
      <c r="T66" s="1301">
        <v>31</v>
      </c>
      <c r="U66" s="1301">
        <v>0</v>
      </c>
      <c r="V66" s="1301">
        <v>0</v>
      </c>
      <c r="W66" s="1301">
        <v>0</v>
      </c>
      <c r="X66" s="1301">
        <v>0</v>
      </c>
      <c r="Y66" s="1301">
        <v>0</v>
      </c>
      <c r="Z66" s="1301">
        <v>0</v>
      </c>
      <c r="AA66" s="1301">
        <v>0</v>
      </c>
      <c r="AB66" s="1301">
        <v>0</v>
      </c>
      <c r="AC66" s="1301">
        <v>0</v>
      </c>
      <c r="AD66" s="1301">
        <v>24</v>
      </c>
      <c r="AE66" s="1301">
        <v>0</v>
      </c>
      <c r="AF66" s="1301">
        <v>24</v>
      </c>
      <c r="AG66" s="1301">
        <v>24</v>
      </c>
      <c r="AH66" s="1301">
        <v>11</v>
      </c>
      <c r="AI66" s="1301">
        <v>3</v>
      </c>
      <c r="AJ66" s="1301">
        <v>11</v>
      </c>
      <c r="AK66" s="1301">
        <v>0</v>
      </c>
      <c r="AL66" s="1301">
        <v>4</v>
      </c>
      <c r="AM66" s="1301">
        <v>115</v>
      </c>
      <c r="AN66" s="657">
        <v>10</v>
      </c>
      <c r="AO66" s="657">
        <v>10</v>
      </c>
      <c r="AP66" s="657">
        <v>10</v>
      </c>
      <c r="AQ66" s="657">
        <v>10</v>
      </c>
      <c r="AR66" s="657">
        <v>10</v>
      </c>
      <c r="AS66" s="1301">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5418D4-CA1A-D79D-07CA-0.316CE2E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7938" width="3.7109375" hidden="1" customWidth="1"/>
    <col min="17" max="18" style="7205" width="3.00390625" customWidth="1"/>
    <col min="19" max="19" style="7910" width="12.00390625" customWidth="1"/>
    <col min="20" max="20" style="7235" width="31.00390625" customWidth="1"/>
    <col min="21" max="21" style="7235" width="0.140625" customWidth="1"/>
    <col min="22" max="22" style="7235" width="24.7109375" hidden="1" customWidth="1"/>
    <col min="23" max="23" style="7235" width="0.140625" hidden="1" customWidth="1"/>
    <col min="24" max="25" style="7235" width="24.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24.7109375" customWidth="1"/>
    <col min="31" max="31" style="7235" width="0.140625" customWidth="1"/>
    <col min="32" max="33" style="7235" width="24.00390625" customWidth="1"/>
    <col min="34" max="34" style="7235" width="11.00390625" customWidth="1"/>
    <col min="35" max="35" style="7235" width="3.7109375" customWidth="1"/>
    <col min="36" max="36" style="7235" width="11.00390625" customWidth="1"/>
    <col min="37" max="37" style="7235" width="8.57421875" hidden="1" customWidth="1"/>
    <col min="38" max="38" style="7235" width="4.00390625" customWidth="1"/>
    <col min="39" max="39" style="7235" width="115.00390625" customWidth="1"/>
    <col min="40" max="44" style="6720" width="10.00390625" customWidth="1"/>
    <col min="45" max="45" style="7235" width="10.57421875" hidden="1"/>
  </cols>
  <sheetData>
    <row customHeight="1" ht="22.5" hidden="1">
      <c r="Y1" s="473"/>
      <c r="Z1" s="473"/>
      <c r="AG1" s="473"/>
      <c r="AH1" s="473"/>
      <c r="AS1" s="1301" t="s">
        <v>14</v>
      </c>
    </row>
    <row customHeight="1" ht="21" hidden="1">
      <c r="A2" s="1509"/>
      <c r="B2" s="1509"/>
      <c r="C2" s="1509"/>
      <c r="D2" s="1509"/>
      <c r="E2" s="2417">
        <v>1</v>
      </c>
      <c r="F2" s="1509"/>
      <c r="G2" s="1509"/>
      <c r="H2" s="1509"/>
      <c r="I2" s="1509"/>
      <c r="J2" s="1509"/>
      <c r="K2" s="1509"/>
      <c r="L2" s="1510"/>
      <c r="M2" s="1511"/>
      <c r="N2" s="1511"/>
      <c r="O2" s="1511"/>
      <c r="P2" s="507"/>
      <c r="Q2" s="506"/>
      <c r="R2" s="501"/>
      <c r="S2" s="1482">
        <f>INDEX(PT_DIFFERENTIATION_NUM_NTAR,MATCH(A2,PT_DIFFERENTIATION_NTAR_ID,0))</f>
      </c>
      <c r="T2" s="444" t="s">
        <v>147</v>
      </c>
      <c r="U2" s="446"/>
      <c r="V2" s="2401"/>
      <c r="W2" s="2402"/>
      <c r="X2" s="2402"/>
      <c r="Y2" s="2402"/>
      <c r="Z2" s="2402"/>
      <c r="AA2" s="2402"/>
      <c r="AB2" s="2402"/>
      <c r="AC2" s="2403"/>
      <c r="AD2" s="2401">
        <f>INDEX(PT_DIFFERENTIATION_NTAR,MATCH(A2,PT_DIFFERENTIATION_NTAR_ID,0))</f>
      </c>
      <c r="AE2" s="2402"/>
      <c r="AF2" s="2402"/>
      <c r="AG2" s="2402"/>
      <c r="AH2" s="2402"/>
      <c r="AI2" s="2402"/>
      <c r="AJ2" s="2402"/>
      <c r="AK2" s="2402"/>
      <c r="AL2" s="2403"/>
      <c r="AM2" s="1404" t="s">
        <v>418</v>
      </c>
      <c r="AO2" s="646"/>
      <c r="AP2" s="646" t="str">
        <f>IF(T2="","",T2)</f>
        <v>Наименование тарифа</v>
      </c>
      <c r="AQ2" s="646"/>
      <c r="AR2" s="646"/>
      <c r="AS2" s="1301">
        <v>0</v>
      </c>
    </row>
    <row customHeight="1" ht="21" hidden="1">
      <c r="A3" s="1509"/>
      <c r="B3" s="1509"/>
      <c r="C3" s="1509"/>
      <c r="D3" s="1509"/>
      <c r="E3" s="2418"/>
      <c r="F3" s="2417">
        <v>1</v>
      </c>
      <c r="G3" s="1509"/>
      <c r="H3" s="1509"/>
      <c r="I3" s="1509"/>
      <c r="J3" s="1509"/>
      <c r="K3" s="1509"/>
      <c r="L3" s="1510"/>
      <c r="M3" s="1511"/>
      <c r="N3" s="1511"/>
      <c r="O3" s="1511"/>
      <c r="P3" s="1478"/>
      <c r="Q3" s="498"/>
      <c r="R3" s="499"/>
      <c r="S3" s="1482">
        <f>INDEX(PT_DIFFERENTIATION_NUM_TER,MATCH(B3,PT_DIFFERENTIATION_TER_ID,0))</f>
      </c>
      <c r="T3" s="454" t="s">
        <v>419</v>
      </c>
      <c r="U3" s="446"/>
      <c r="V3" s="2401"/>
      <c r="W3" s="2402"/>
      <c r="X3" s="2402"/>
      <c r="Y3" s="2402"/>
      <c r="Z3" s="2402"/>
      <c r="AA3" s="2402"/>
      <c r="AB3" s="2402"/>
      <c r="AC3" s="2403"/>
      <c r="AD3" s="2401">
        <f>INDEX(PT_DIFFERENTIATION_TER,MATCH(B3,PT_DIFFERENTIATION_TER_ID,0))</f>
      </c>
      <c r="AE3" s="2402"/>
      <c r="AF3" s="2402"/>
      <c r="AG3" s="2402"/>
      <c r="AH3" s="2402"/>
      <c r="AI3" s="2402"/>
      <c r="AJ3" s="2402"/>
      <c r="AK3" s="2402"/>
      <c r="AL3" s="2403"/>
      <c r="AM3" s="1404" t="s">
        <v>420</v>
      </c>
      <c r="AO3" s="646"/>
      <c r="AP3" s="646" t="str">
        <f>IF(T3="","",T3)</f>
        <v>Территория действия тарифа</v>
      </c>
      <c r="AQ3" s="646"/>
      <c r="AR3" s="646"/>
      <c r="AS3" s="1301">
        <v>0</v>
      </c>
    </row>
    <row customHeight="1" ht="23.25" hidden="1">
      <c r="A4" s="1509"/>
      <c r="B4" s="1509"/>
      <c r="C4" s="1509"/>
      <c r="D4" s="1509"/>
      <c r="E4" s="2418"/>
      <c r="F4" s="2418"/>
      <c r="G4" s="2417">
        <v>1</v>
      </c>
      <c r="H4" s="1509"/>
      <c r="I4" s="1509"/>
      <c r="J4" s="1509"/>
      <c r="K4" s="1509"/>
      <c r="L4" s="1510"/>
      <c r="M4" s="1511"/>
      <c r="N4" s="1511"/>
      <c r="O4" s="1511"/>
      <c r="P4" s="500"/>
      <c r="Q4" s="498"/>
      <c r="R4" s="499"/>
      <c r="S4" s="1482">
        <f>INDEX(PT_DIFFERENTIATION_NUM_CS,MATCH(C4,PT_DIFFERENTIATION_CS_ID,0))</f>
      </c>
      <c r="T4" s="455" t="s">
        <v>421</v>
      </c>
      <c r="U4" s="446"/>
      <c r="V4" s="2401"/>
      <c r="W4" s="2402"/>
      <c r="X4" s="2402"/>
      <c r="Y4" s="2402"/>
      <c r="Z4" s="2402"/>
      <c r="AA4" s="2402"/>
      <c r="AB4" s="2402"/>
      <c r="AC4" s="2403"/>
      <c r="AD4" s="2401">
        <f>INDEX(PT_DIFFERENTIATION_CS,MATCH(C4,PT_DIFFERENTIATION_CS_ID,0))</f>
      </c>
      <c r="AE4" s="2402"/>
      <c r="AF4" s="2402"/>
      <c r="AG4" s="2402"/>
      <c r="AH4" s="2402"/>
      <c r="AI4" s="2402"/>
      <c r="AJ4" s="2402"/>
      <c r="AK4" s="2402"/>
      <c r="AL4" s="2403"/>
      <c r="AM4" s="1404" t="s">
        <v>422</v>
      </c>
      <c r="AO4" s="646"/>
      <c r="AP4" s="646" t="str">
        <f>IF(T4="","",T4)</f>
        <v>Наименование системы теплоснабжения </v>
      </c>
      <c r="AQ4" s="646"/>
      <c r="AR4" s="646"/>
      <c r="AS4" s="1301">
        <v>0</v>
      </c>
    </row>
    <row customHeight="1" ht="21" hidden="1">
      <c r="A5" s="1509"/>
      <c r="B5" s="1509"/>
      <c r="C5" s="1509"/>
      <c r="D5" s="1509"/>
      <c r="E5" s="2418"/>
      <c r="F5" s="2418"/>
      <c r="G5" s="2418"/>
      <c r="H5" s="2417">
        <v>1</v>
      </c>
      <c r="I5" s="1509"/>
      <c r="J5" s="1509"/>
      <c r="K5" s="1509"/>
      <c r="L5" s="1510"/>
      <c r="M5" s="1511"/>
      <c r="N5" s="1511"/>
      <c r="O5" s="1511"/>
      <c r="P5" s="500"/>
      <c r="Q5" s="498"/>
      <c r="R5" s="499"/>
      <c r="S5" s="1482">
        <f>INDEX(PT_DIFFERENTIATION_NUM_IST_TE,MATCH(D5,PT_DIFFERENTIATION_IST_TE_ID,0))</f>
      </c>
      <c r="T5" s="456" t="s">
        <v>423</v>
      </c>
      <c r="U5" s="446"/>
      <c r="V5" s="2401"/>
      <c r="W5" s="2402"/>
      <c r="X5" s="2402"/>
      <c r="Y5" s="2402"/>
      <c r="Z5" s="2402"/>
      <c r="AA5" s="2402"/>
      <c r="AB5" s="2402"/>
      <c r="AC5" s="2403"/>
      <c r="AD5" s="2401">
        <f>INDEX(PT_DIFFERENTIATION_IST_TE,MATCH(D5,PT_DIFFERENTIATION_IST_TE_ID,0))</f>
      </c>
      <c r="AE5" s="2402"/>
      <c r="AF5" s="2402"/>
      <c r="AG5" s="2402"/>
      <c r="AH5" s="2402"/>
      <c r="AI5" s="2402"/>
      <c r="AJ5" s="2402"/>
      <c r="AK5" s="2402"/>
      <c r="AL5" s="2403"/>
      <c r="AM5" s="1404" t="s">
        <v>424</v>
      </c>
      <c r="AO5" s="646"/>
      <c r="AP5" s="646" t="str">
        <f>IF(T5="","",T5)</f>
        <v>Источник тепловой энергии  </v>
      </c>
      <c r="AQ5" s="646"/>
      <c r="AR5" s="646"/>
      <c r="AS5" s="1301">
        <v>0</v>
      </c>
    </row>
    <row customHeight="1" ht="14.25" hidden="1">
      <c r="A6" s="1509"/>
      <c r="B6" s="1509"/>
      <c r="C6" s="1509"/>
      <c r="D6" s="1509"/>
      <c r="E6" s="2418"/>
      <c r="F6" s="2418"/>
      <c r="G6" s="2418"/>
      <c r="H6" s="2418"/>
      <c r="I6" s="2415">
        <f>S5&amp;".1"</f>
      </c>
      <c r="J6" s="1509"/>
      <c r="K6" s="1509"/>
      <c r="L6" s="1510" t="s">
        <v>425</v>
      </c>
      <c r="M6" s="683"/>
      <c r="P6" s="2416">
        <v>1</v>
      </c>
      <c r="Q6" s="1477"/>
      <c r="R6" s="502"/>
      <c r="S6" s="1188"/>
      <c r="T6" s="1529"/>
      <c r="U6" s="1530"/>
      <c r="V6" s="2455"/>
      <c r="W6" s="2456"/>
      <c r="X6" s="2456"/>
      <c r="Y6" s="2456"/>
      <c r="Z6" s="2456"/>
      <c r="AA6" s="2456"/>
      <c r="AB6" s="2456"/>
      <c r="AC6" s="2457"/>
      <c r="AD6" s="2455"/>
      <c r="AE6" s="2456"/>
      <c r="AF6" s="2456"/>
      <c r="AG6" s="2456"/>
      <c r="AH6" s="2456"/>
      <c r="AI6" s="2456"/>
      <c r="AJ6" s="2456"/>
      <c r="AK6" s="2456"/>
      <c r="AL6" s="2457"/>
      <c r="AM6" s="1531"/>
      <c r="AO6" s="646"/>
      <c r="AP6" s="646" t="str">
        <f>IF(T6="","",T6)</f>
        <v/>
      </c>
      <c r="AQ6" s="646"/>
      <c r="AR6" s="646"/>
      <c r="AS6" s="1301">
        <v>0</v>
      </c>
    </row>
    <row customHeight="1" ht="21" hidden="1">
      <c r="A7" s="1509"/>
      <c r="B7" s="1509"/>
      <c r="C7" s="1509"/>
      <c r="D7" s="1509"/>
      <c r="E7" s="2418"/>
      <c r="F7" s="2418"/>
      <c r="G7" s="2418"/>
      <c r="H7" s="2418"/>
      <c r="I7" s="2445"/>
      <c r="J7" s="2415">
        <f>I6&amp;".1"</f>
      </c>
      <c r="K7" s="1509"/>
      <c r="L7" s="1510" t="s">
        <v>428</v>
      </c>
      <c r="M7" s="683"/>
      <c r="N7" s="1512"/>
      <c r="P7" s="2416"/>
      <c r="Q7" s="2416">
        <v>1</v>
      </c>
      <c r="R7" s="503"/>
      <c r="S7" s="1482">
        <f>$J7</f>
      </c>
      <c r="T7" s="432" t="s">
        <v>429</v>
      </c>
      <c r="U7" s="446"/>
      <c r="V7" s="2404"/>
      <c r="W7" s="2405"/>
      <c r="X7" s="2405"/>
      <c r="Y7" s="2405"/>
      <c r="Z7" s="2405"/>
      <c r="AA7" s="2405"/>
      <c r="AB7" s="2405"/>
      <c r="AC7" s="2406"/>
      <c r="AD7" s="2404"/>
      <c r="AE7" s="2405"/>
      <c r="AF7" s="2405"/>
      <c r="AG7" s="2405"/>
      <c r="AH7" s="2405"/>
      <c r="AI7" s="2405"/>
      <c r="AJ7" s="2405"/>
      <c r="AK7" s="2405"/>
      <c r="AL7" s="2406"/>
      <c r="AM7" s="1404" t="s">
        <v>430</v>
      </c>
      <c r="AO7" s="646"/>
      <c r="AP7" s="646" t="str">
        <f>IF(T7="","",T7)</f>
        <v>Группа потребителей</v>
      </c>
      <c r="AQ7" s="646"/>
      <c r="AR7" s="646"/>
      <c r="AS7" s="1301">
        <v>0</v>
      </c>
    </row>
    <row customHeight="1" ht="21" hidden="1">
      <c r="A8" s="1509"/>
      <c r="B8" s="1509"/>
      <c r="C8" s="1509"/>
      <c r="D8" s="1509"/>
      <c r="E8" s="2418"/>
      <c r="F8" s="2418"/>
      <c r="G8" s="2418"/>
      <c r="H8" s="2418"/>
      <c r="I8" s="2445"/>
      <c r="J8" s="2445"/>
      <c r="K8" s="2415">
        <f>J7&amp;".1"</f>
      </c>
      <c r="L8" s="1510" t="s">
        <v>431</v>
      </c>
      <c r="M8" s="683"/>
      <c r="N8" s="1512"/>
      <c r="O8" s="1512"/>
      <c r="P8" s="2416"/>
      <c r="Q8" s="2416"/>
      <c r="R8" s="503">
        <v>1</v>
      </c>
      <c r="S8" s="1482">
        <f>$K8</f>
      </c>
      <c r="T8" s="1493"/>
      <c r="U8" s="446"/>
      <c r="V8" s="897"/>
      <c r="W8" s="471"/>
      <c r="X8" s="897"/>
      <c r="Y8" s="1403"/>
      <c r="Z8" s="2424"/>
      <c r="AA8" s="2266" t="s">
        <v>63</v>
      </c>
      <c r="AB8" s="2424"/>
      <c r="AC8" s="2266" t="s">
        <v>63</v>
      </c>
      <c r="AD8" s="897"/>
      <c r="AE8" s="471"/>
      <c r="AF8" s="897"/>
      <c r="AG8" s="1403"/>
      <c r="AH8" s="2424"/>
      <c r="AI8" s="2266" t="s">
        <v>63</v>
      </c>
      <c r="AJ8" s="2424"/>
      <c r="AK8" s="2266" t="s">
        <v>63</v>
      </c>
      <c r="AL8" s="471"/>
      <c r="AM8" s="2412" t="s">
        <v>432</v>
      </c>
      <c r="AN8" s="657">
        <f>STRCHECKDATE(V9:AL9)</f>
      </c>
      <c r="AO8" s="646"/>
      <c r="AP8" s="646" t="str">
        <f>IF(T8="","",T8)</f>
        <v/>
      </c>
      <c r="AQ8" s="646"/>
      <c r="AR8" s="646"/>
      <c r="AS8" s="1301">
        <v>0</v>
      </c>
    </row>
    <row customHeight="1" ht="14.25" hidden="1">
      <c r="A9" s="1509"/>
      <c r="B9" s="1509"/>
      <c r="C9" s="1509"/>
      <c r="D9" s="1509"/>
      <c r="E9" s="2418"/>
      <c r="F9" s="2418"/>
      <c r="G9" s="2418"/>
      <c r="H9" s="2418"/>
      <c r="I9" s="2445"/>
      <c r="J9" s="2445"/>
      <c r="K9" s="2415"/>
      <c r="L9" s="1510"/>
      <c r="M9" s="683"/>
      <c r="N9" s="1512"/>
      <c r="O9" s="1512"/>
      <c r="P9" s="2416"/>
      <c r="Q9" s="2416"/>
      <c r="R9" s="503"/>
      <c r="S9" s="1488"/>
      <c r="T9" s="446"/>
      <c r="U9" s="446"/>
      <c r="V9" s="471"/>
      <c r="W9" s="471"/>
      <c r="X9" s="471"/>
      <c r="Y9" s="474" t="str">
        <f>Z8&amp;"-"&amp;AB8</f>
        <v>-</v>
      </c>
      <c r="Z9" s="2425"/>
      <c r="AA9" s="2266"/>
      <c r="AB9" s="2425"/>
      <c r="AC9" s="2266"/>
      <c r="AD9" s="471"/>
      <c r="AE9" s="471"/>
      <c r="AF9" s="471"/>
      <c r="AG9" s="474" t="str">
        <f>AH8&amp;"-"&amp;AJ8</f>
        <v>-</v>
      </c>
      <c r="AH9" s="2425"/>
      <c r="AI9" s="2266"/>
      <c r="AJ9" s="2425"/>
      <c r="AK9" s="2266"/>
      <c r="AL9" s="471"/>
      <c r="AM9" s="2413"/>
      <c r="AO9" s="646"/>
      <c r="AP9" s="646" t="str">
        <f>IF(T9="","",T9)</f>
        <v/>
      </c>
      <c r="AQ9" s="646"/>
      <c r="AR9" s="646"/>
      <c r="AS9" s="1301">
        <v>0</v>
      </c>
    </row>
    <row customHeight="1" ht="15" hidden="1">
      <c r="A10" s="1509"/>
      <c r="B10" s="1509"/>
      <c r="C10" s="1509"/>
      <c r="D10" s="1509"/>
      <c r="E10" s="2418"/>
      <c r="F10" s="2418"/>
      <c r="G10" s="2418"/>
      <c r="H10" s="2418"/>
      <c r="I10" s="2445"/>
      <c r="J10" s="2415"/>
      <c r="K10" s="1509"/>
      <c r="L10" s="1510"/>
      <c r="M10" s="683"/>
      <c r="N10" s="1512"/>
      <c r="P10" s="2416"/>
      <c r="Q10" s="2416"/>
      <c r="R10" s="502"/>
      <c r="S10" s="1424"/>
      <c r="T10" s="433" t="s">
        <v>433</v>
      </c>
      <c r="U10" s="513"/>
      <c r="V10" s="513"/>
      <c r="W10" s="513"/>
      <c r="X10" s="513"/>
      <c r="Y10" s="513"/>
      <c r="Z10" s="513"/>
      <c r="AA10" s="513"/>
      <c r="AB10" s="513"/>
      <c r="AC10" s="513"/>
      <c r="AD10" s="513"/>
      <c r="AE10" s="513"/>
      <c r="AF10" s="513"/>
      <c r="AG10" s="513"/>
      <c r="AH10" s="513"/>
      <c r="AI10" s="513"/>
      <c r="AJ10" s="513"/>
      <c r="AK10" s="513"/>
      <c r="AL10" s="470"/>
      <c r="AM10" s="2414"/>
      <c r="AO10" s="646"/>
      <c r="AP10" s="646" t="str">
        <f>IF(T10="","",T10)</f>
        <v>Добавить вид теплоносителя (параметры теплоносителя)</v>
      </c>
      <c r="AQ10" s="646"/>
      <c r="AR10" s="646"/>
      <c r="AS10" s="1301">
        <v>0</v>
      </c>
    </row>
    <row customHeight="1" ht="11.25" hidden="1">
      <c r="A11" s="1509"/>
      <c r="B11" s="1509"/>
      <c r="C11" s="1509"/>
      <c r="D11" s="1509"/>
      <c r="E11" s="2418"/>
      <c r="F11" s="2418"/>
      <c r="G11" s="2418"/>
      <c r="H11" s="2418"/>
      <c r="I11" s="2415"/>
      <c r="J11" s="1509"/>
      <c r="K11" s="1509"/>
      <c r="L11" s="1510"/>
      <c r="M11" s="683"/>
      <c r="P11" s="2416"/>
      <c r="Q11" s="1477"/>
      <c r="R11" s="502"/>
      <c r="S11" s="1424"/>
      <c r="T11" s="511" t="s">
        <v>434</v>
      </c>
      <c r="U11" s="513"/>
      <c r="V11" s="513"/>
      <c r="W11" s="513"/>
      <c r="X11" s="513"/>
      <c r="Y11" s="513"/>
      <c r="Z11" s="513"/>
      <c r="AA11" s="513"/>
      <c r="AB11" s="513"/>
      <c r="AC11" s="512"/>
      <c r="AD11" s="513"/>
      <c r="AE11" s="513"/>
      <c r="AF11" s="513"/>
      <c r="AG11" s="513"/>
      <c r="AH11" s="513"/>
      <c r="AI11" s="513"/>
      <c r="AJ11" s="513"/>
      <c r="AK11" s="512"/>
      <c r="AL11" s="513"/>
      <c r="AM11" s="449"/>
      <c r="AO11" s="646"/>
      <c r="AP11" s="646" t="str">
        <f>IF(T11="","",T11)</f>
        <v>Добавить группу потребителей</v>
      </c>
      <c r="AQ11" s="646"/>
      <c r="AR11" s="646"/>
      <c r="AS11" s="1301">
        <v>0</v>
      </c>
    </row>
    <row customHeight="1" ht="14.25" hidden="1">
      <c r="A12" s="1509"/>
      <c r="B12" s="1509"/>
      <c r="C12" s="1509"/>
      <c r="D12" s="1509"/>
      <c r="E12" s="2418"/>
      <c r="F12" s="2418"/>
      <c r="G12" s="2418"/>
      <c r="H12" s="2417"/>
      <c r="I12" s="1509"/>
      <c r="J12" s="1509"/>
      <c r="K12" s="1509"/>
      <c r="L12" s="1510"/>
      <c r="M12" s="1511"/>
      <c r="N12" s="1511"/>
      <c r="O12" s="683"/>
      <c r="P12" s="506"/>
      <c r="Q12" s="521"/>
      <c r="R12" s="501"/>
      <c r="S12" s="1532"/>
      <c r="T12" s="1533"/>
      <c r="U12" s="1534"/>
      <c r="V12" s="1534"/>
      <c r="W12" s="1534"/>
      <c r="X12" s="1534"/>
      <c r="Y12" s="1534"/>
      <c r="Z12" s="1534"/>
      <c r="AA12" s="1534"/>
      <c r="AB12" s="1534"/>
      <c r="AC12" s="1534"/>
      <c r="AD12" s="1534"/>
      <c r="AE12" s="1534"/>
      <c r="AF12" s="1534"/>
      <c r="AG12" s="1534"/>
      <c r="AH12" s="1534"/>
      <c r="AI12" s="1534"/>
      <c r="AJ12" s="1534"/>
      <c r="AK12" s="1534"/>
      <c r="AL12" s="1534"/>
      <c r="AM12" s="1535"/>
      <c r="AO12" s="646"/>
      <c r="AP12" s="646" t="str">
        <f>IF(T12="","",T12)</f>
        <v/>
      </c>
      <c r="AQ12" s="646"/>
      <c r="AR12" s="646"/>
      <c r="AS12" s="1301">
        <v>0</v>
      </c>
    </row>
    <row s="6720" customFormat="1" customHeight="1" ht="14.25" hidden="1">
      <c r="A13" s="1460"/>
      <c r="B13" s="1460"/>
      <c r="C13" s="1460"/>
      <c r="D13" s="1460"/>
      <c r="E13" s="2418"/>
      <c r="F13" s="2418"/>
      <c r="G13" s="2417"/>
      <c r="H13" s="1460"/>
      <c r="I13" s="1460"/>
      <c r="J13" s="1460"/>
      <c r="K13" s="1460"/>
      <c r="L13" s="1485"/>
      <c r="M13" s="1461"/>
      <c r="N13" s="1461"/>
      <c r="P13" s="1462"/>
      <c r="Q13" s="1463"/>
      <c r="R13" s="1462"/>
      <c r="S13" s="1464"/>
      <c r="T13" s="1465" t="s">
        <v>436</v>
      </c>
      <c r="U13" s="1466"/>
      <c r="V13" s="1466"/>
      <c r="W13" s="1466"/>
      <c r="X13" s="1466"/>
      <c r="Y13" s="1466"/>
      <c r="Z13" s="1466"/>
      <c r="AA13" s="1466"/>
      <c r="AB13" s="1466"/>
      <c r="AC13" s="1466"/>
      <c r="AD13" s="1466"/>
      <c r="AE13" s="1466"/>
      <c r="AF13" s="1466"/>
      <c r="AG13" s="1466"/>
      <c r="AH13" s="1466"/>
      <c r="AI13" s="1466"/>
      <c r="AJ13" s="1466"/>
      <c r="AK13" s="1466"/>
      <c r="AL13" s="1466"/>
      <c r="AM13" s="1466"/>
      <c r="AO13" s="935"/>
      <c r="AP13" s="935" t="str">
        <f>IF(T13="","",T13)</f>
        <v>Добавить источник для дифференциации</v>
      </c>
      <c r="AQ13" s="935"/>
      <c r="AR13" s="935"/>
      <c r="AS13" s="664">
        <v>0</v>
      </c>
    </row>
    <row s="6720" customFormat="1" customHeight="1" ht="14.25" hidden="1">
      <c r="A14" s="1460"/>
      <c r="B14" s="1460"/>
      <c r="C14" s="1460"/>
      <c r="D14" s="1460"/>
      <c r="E14" s="2418"/>
      <c r="F14" s="2417"/>
      <c r="G14" s="1460"/>
      <c r="H14" s="1460"/>
      <c r="I14" s="1460"/>
      <c r="J14" s="1460"/>
      <c r="K14" s="1460"/>
      <c r="L14" s="1485"/>
      <c r="M14" s="1467"/>
      <c r="N14" s="1467"/>
      <c r="P14" s="1462"/>
      <c r="Q14" s="1463"/>
      <c r="R14" s="1462"/>
      <c r="S14" s="1468"/>
      <c r="T14" s="1469" t="s">
        <v>437</v>
      </c>
      <c r="U14" s="1470"/>
      <c r="V14" s="1470"/>
      <c r="W14" s="1470"/>
      <c r="X14" s="1470"/>
      <c r="Y14" s="1470"/>
      <c r="Z14" s="1470"/>
      <c r="AA14" s="1470"/>
      <c r="AB14" s="1470"/>
      <c r="AC14" s="1470"/>
      <c r="AD14" s="1470"/>
      <c r="AE14" s="1470"/>
      <c r="AF14" s="1470"/>
      <c r="AG14" s="1470"/>
      <c r="AH14" s="1470"/>
      <c r="AI14" s="1470"/>
      <c r="AJ14" s="1470"/>
      <c r="AK14" s="1470"/>
      <c r="AL14" s="1470"/>
      <c r="AM14" s="1470"/>
      <c r="AO14" s="935"/>
      <c r="AP14" s="935" t="str">
        <f>IF(T14="","",T14)</f>
        <v>Добавить централизованную систему для дифференциации</v>
      </c>
      <c r="AQ14" s="935"/>
      <c r="AR14" s="935"/>
      <c r="AS14" s="664">
        <v>0</v>
      </c>
    </row>
    <row s="6720" customFormat="1" customHeight="1" ht="14.25" hidden="1">
      <c r="A15" s="1460"/>
      <c r="B15" s="1460"/>
      <c r="C15" s="1460"/>
      <c r="D15" s="1460"/>
      <c r="E15" s="2417"/>
      <c r="F15" s="1460"/>
      <c r="G15" s="1460"/>
      <c r="H15" s="1460"/>
      <c r="I15" s="1460"/>
      <c r="J15" s="1460"/>
      <c r="K15" s="1460"/>
      <c r="L15" s="1485"/>
      <c r="M15" s="1467"/>
      <c r="N15" s="1467"/>
      <c r="P15" s="1462"/>
      <c r="Q15" s="1463"/>
      <c r="R15" s="1462"/>
      <c r="S15" s="1468"/>
      <c r="T15" s="1471" t="s">
        <v>438</v>
      </c>
      <c r="U15" s="1470"/>
      <c r="V15" s="1470"/>
      <c r="W15" s="1470"/>
      <c r="X15" s="1470"/>
      <c r="Y15" s="1470"/>
      <c r="Z15" s="1470"/>
      <c r="AA15" s="1470"/>
      <c r="AB15" s="1470"/>
      <c r="AC15" s="1470"/>
      <c r="AD15" s="1470"/>
      <c r="AE15" s="1470"/>
      <c r="AF15" s="1470"/>
      <c r="AG15" s="1470"/>
      <c r="AH15" s="1470"/>
      <c r="AI15" s="1470"/>
      <c r="AJ15" s="1470"/>
      <c r="AK15" s="1470"/>
      <c r="AL15" s="1470"/>
      <c r="AM15" s="1470"/>
      <c r="AO15" s="935"/>
      <c r="AP15" s="935" t="str">
        <f>IF(T15="","",T15)</f>
        <v>Добавить территорию для дифференциации</v>
      </c>
      <c r="AQ15" s="935"/>
      <c r="AR15" s="935"/>
      <c r="AS15" s="664">
        <v>0</v>
      </c>
    </row>
    <row customHeight="1" ht="14.25" hidden="1">
      <c r="AC16" s="473"/>
      <c r="AK16" s="473"/>
      <c r="AS16" s="1301">
        <v>0</v>
      </c>
    </row>
    <row customHeight="1" ht="14.25" hidden="1">
      <c r="AD17" s="1506"/>
      <c r="AE17" s="1506"/>
      <c r="AF17" s="1506"/>
      <c r="AG17" s="1507"/>
      <c r="AH17" s="2426"/>
      <c r="AI17" s="2427" t="s">
        <v>63</v>
      </c>
      <c r="AJ17" s="2426"/>
      <c r="AK17" s="2427" t="s">
        <v>63</v>
      </c>
      <c r="AS17" s="1301">
        <v>0</v>
      </c>
    </row>
    <row customHeight="1" ht="14.25" hidden="1">
      <c r="AD18" s="1506"/>
      <c r="AE18" s="1506"/>
      <c r="AF18" s="1506"/>
      <c r="AG18" s="474" t="str">
        <f>AH17&amp;"-"&amp;AJ17</f>
        <v>-</v>
      </c>
      <c r="AH18" s="2427"/>
      <c r="AI18" s="2427"/>
      <c r="AJ18" s="2427"/>
      <c r="AK18" s="2427"/>
      <c r="AS18" s="1301">
        <v>0</v>
      </c>
    </row>
    <row customHeight="1" ht="14.25" hidden="1">
      <c r="AK19" s="473"/>
      <c r="AS19" s="1301">
        <v>0</v>
      </c>
    </row>
    <row s="7180" customFormat="1" customHeight="1" ht="22.5" hidden="1">
      <c r="L20" s="1475"/>
      <c r="M20" s="1508"/>
      <c r="N20" s="1508"/>
      <c r="O20" s="1513" t="s">
        <v>439</v>
      </c>
      <c r="P20" s="1508"/>
      <c r="Q20" s="1517"/>
      <c r="R20" s="1517"/>
      <c r="S20" s="875"/>
      <c r="Z20" s="1513"/>
      <c r="AB20" s="1513"/>
      <c r="AC20" s="1512"/>
      <c r="AH20" s="1513"/>
      <c r="AJ20" s="1513"/>
      <c r="AK20" s="1512"/>
      <c r="AN20" s="657"/>
      <c r="AO20" s="657"/>
      <c r="AP20" s="657"/>
      <c r="AQ20" s="657"/>
      <c r="AR20" s="657"/>
      <c r="AS20" s="1306">
        <v>0</v>
      </c>
    </row>
    <row s="7180" customFormat="1" customHeight="1" ht="14.25" hidden="1">
      <c r="L21" s="1475"/>
      <c r="M21" s="1508"/>
      <c r="N21" s="1508"/>
      <c r="O21" s="1508"/>
      <c r="P21" s="1508"/>
      <c r="Q21" s="1517"/>
      <c r="R21" s="1517"/>
      <c r="S21" s="875"/>
      <c r="AC21" s="1512"/>
      <c r="AK21" s="1512"/>
      <c r="AN21" s="657"/>
      <c r="AO21" s="657"/>
      <c r="AP21" s="657"/>
      <c r="AQ21" s="657"/>
      <c r="AR21" s="657"/>
      <c r="AS21" s="1306">
        <v>0</v>
      </c>
    </row>
    <row s="7180" customFormat="1" customHeight="1" ht="14.25" hidden="1">
      <c r="L22" s="1475"/>
      <c r="M22" s="1508"/>
      <c r="N22" s="1508"/>
      <c r="O22" s="1510" t="s">
        <v>440</v>
      </c>
      <c r="P22" s="1508"/>
      <c r="Q22" s="1517"/>
      <c r="R22" s="1517"/>
      <c r="S22" s="875"/>
      <c r="T22" s="1306" t="s">
        <v>441</v>
      </c>
      <c r="AA22" s="332" t="s">
        <v>442</v>
      </c>
      <c r="AC22" s="332" t="s">
        <v>443</v>
      </c>
      <c r="AD22" s="1306" t="s">
        <v>441</v>
      </c>
      <c r="AI22" s="332" t="s">
        <v>444</v>
      </c>
      <c r="AK22" s="332" t="s">
        <v>443</v>
      </c>
      <c r="AN22" s="657"/>
      <c r="AO22" s="657"/>
      <c r="AP22" s="657"/>
      <c r="AQ22" s="657"/>
      <c r="AR22" s="657"/>
      <c r="AS22" s="1306">
        <v>0</v>
      </c>
    </row>
    <row customHeight="1" ht="14.25" hidden="1">
      <c r="O23" s="1510"/>
      <c r="AS23" s="1301">
        <v>0</v>
      </c>
    </row>
    <row customHeight="1" ht="14.25" hidden="1">
      <c r="O24" s="1510"/>
      <c r="AS24" s="1301">
        <v>0</v>
      </c>
    </row>
    <row customHeight="1" ht="14.699999999999998">
      <c r="Q25" s="522"/>
      <c r="R25" s="522"/>
      <c r="S25" s="1421"/>
      <c r="T25" s="509"/>
      <c r="U25" s="509"/>
      <c r="V25" s="655"/>
      <c r="W25" s="655"/>
      <c r="X25" s="655"/>
      <c r="Y25" s="655"/>
      <c r="Z25" s="655"/>
      <c r="AA25" s="655"/>
      <c r="AB25" s="655"/>
      <c r="AC25" s="655"/>
      <c r="AD25" s="655"/>
      <c r="AE25" s="655"/>
      <c r="AF25" s="655"/>
      <c r="AG25" s="655"/>
      <c r="AH25" s="655"/>
      <c r="AI25" s="655"/>
      <c r="AJ25" s="655"/>
      <c r="AK25" s="655"/>
      <c r="AS25" s="1301">
        <v>14</v>
      </c>
    </row>
    <row customHeight="1" ht="53.54999999999999">
      <c r="Q26" s="522"/>
      <c r="R26" s="522"/>
      <c r="S26" s="24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7"/>
      <c r="U26" s="2407"/>
      <c r="V26" s="2407"/>
      <c r="W26" s="2407"/>
      <c r="X26" s="2407"/>
      <c r="Y26" s="2407"/>
      <c r="Z26" s="2407"/>
      <c r="AA26" s="2407"/>
      <c r="AB26" s="2407"/>
      <c r="AC26" s="2407"/>
      <c r="AD26" s="2407"/>
      <c r="AE26" s="2407"/>
      <c r="AF26" s="2407"/>
      <c r="AG26" s="2407"/>
      <c r="AH26" s="2407"/>
      <c r="AI26" s="2407"/>
      <c r="AJ26" s="2407"/>
      <c r="AK26" s="1389"/>
      <c r="AS26" s="1301">
        <v>51</v>
      </c>
    </row>
    <row customHeight="1" ht="14.699999999999998">
      <c r="Q27" s="522"/>
      <c r="R27" s="522"/>
      <c r="S27" s="2408" t="str">
        <f>IF(org=0,"Не определено",org)</f>
        <v>ПАО "ТГК-14"</v>
      </c>
      <c r="T27" s="2408"/>
      <c r="U27" s="2408"/>
      <c r="V27" s="2408"/>
      <c r="W27" s="2408"/>
      <c r="X27" s="2408"/>
      <c r="Y27" s="2408"/>
      <c r="Z27" s="2408"/>
      <c r="AA27" s="2408"/>
      <c r="AB27" s="2408"/>
      <c r="AC27" s="2408"/>
      <c r="AD27" s="2408"/>
      <c r="AE27" s="2408"/>
      <c r="AF27" s="2408"/>
      <c r="AG27" s="2408"/>
      <c r="AH27" s="2408"/>
      <c r="AI27" s="2408"/>
      <c r="AJ27" s="2408"/>
      <c r="AK27" s="1389"/>
      <c r="AS27" s="1301">
        <v>14</v>
      </c>
    </row>
    <row customHeight="1" ht="14.25" hidden="1">
      <c r="Q28" s="522"/>
      <c r="R28" s="522"/>
      <c r="S28" s="1421"/>
      <c r="T28" s="509"/>
      <c r="U28" s="509"/>
      <c r="V28" s="468"/>
      <c r="W28" s="468"/>
      <c r="X28" s="468"/>
      <c r="Y28" s="468"/>
      <c r="Z28" s="468"/>
      <c r="AA28" s="468"/>
      <c r="AB28" s="468"/>
      <c r="AC28" s="468"/>
      <c r="AD28" s="468"/>
      <c r="AE28" s="468"/>
      <c r="AF28" s="468"/>
      <c r="AG28" s="468"/>
      <c r="AH28" s="468"/>
      <c r="AI28" s="468"/>
      <c r="AJ28" s="468"/>
      <c r="AK28" s="468"/>
      <c r="AL28" s="655"/>
      <c r="AS28" s="1301">
        <v>0</v>
      </c>
    </row>
    <row s="7809" customFormat="1" customHeight="1" ht="25.5" hidden="1">
      <c r="A29" s="1514"/>
      <c r="B29" s="1514"/>
      <c r="C29" s="1514"/>
      <c r="D29" s="1514"/>
      <c r="E29" s="1514"/>
      <c r="F29" s="1514"/>
      <c r="G29" s="1514"/>
      <c r="H29" s="1514"/>
      <c r="I29" s="1514"/>
      <c r="J29" s="1514"/>
      <c r="K29" s="1514"/>
      <c r="L29" s="1515"/>
      <c r="M29" s="1514"/>
      <c r="N29" s="1514"/>
      <c r="O29" s="1514"/>
      <c r="S29" s="2409" t="s">
        <v>42</v>
      </c>
      <c r="T29" s="2409"/>
      <c r="U29" s="1518"/>
      <c r="V29" s="2410" t="str">
        <f>IF(TITLE_NAME_OR_PR_CHANGE="",IF(TITLE_NAME_OR_PR="","",TITLE_NAME_OR_PR),TITLE_NAME_OR_PR_CHANGE)</f>
        <v/>
      </c>
      <c r="W29" s="2410"/>
      <c r="X29" s="2410"/>
      <c r="Y29" s="2410"/>
      <c r="Z29" s="2410"/>
      <c r="AA29" s="2410"/>
      <c r="AB29" s="2410"/>
      <c r="AC29" s="472"/>
      <c r="AD29" s="2410" t="str">
        <f>IF(TITLE_NAME_OR_PR_CHANGE="",IF(TITLE_NAME_OR_PR="","",TITLE_NAME_OR_PR),TITLE_NAME_OR_PR_CHANGE)</f>
        <v/>
      </c>
      <c r="AE29" s="2410"/>
      <c r="AF29" s="2410"/>
      <c r="AG29" s="2410"/>
      <c r="AH29" s="2410"/>
      <c r="AI29" s="2410"/>
      <c r="AJ29" s="2410"/>
      <c r="AK29" s="472"/>
      <c r="AL29" s="472"/>
      <c r="AM29" s="426"/>
      <c r="AN29" s="514"/>
      <c r="AO29" s="514"/>
      <c r="AP29" s="514"/>
      <c r="AQ29" s="514"/>
      <c r="AR29" s="514"/>
      <c r="AS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445</v>
      </c>
      <c r="T30" s="2409"/>
      <c r="U30" s="1518"/>
      <c r="V30" s="2423" t="str">
        <f>IF(TITLE_DATE_PR_CHANGE="",IF(TITLE_DATE_PR="","",TITLE_DATE_PR),TITLE_DATE_PR_CHANGE)</f>
        <v/>
      </c>
      <c r="W30" s="2423"/>
      <c r="X30" s="2423"/>
      <c r="Y30" s="2423"/>
      <c r="Z30" s="2423"/>
      <c r="AA30" s="2423"/>
      <c r="AB30" s="2423"/>
      <c r="AC30" s="472"/>
      <c r="AD30" s="2423" t="str">
        <f>IF(TITLE_DATE_PR_CHANGE="",IF(TITLE_DATE_PR="","",TITLE_DATE_PR),TITLE_DATE_PR_CHANGE)</f>
        <v/>
      </c>
      <c r="AE30" s="2423"/>
      <c r="AF30" s="2423"/>
      <c r="AG30" s="2423"/>
      <c r="AH30" s="2423"/>
      <c r="AI30" s="2423"/>
      <c r="AJ30" s="2423"/>
      <c r="AK30" s="472"/>
      <c r="AL30" s="472"/>
      <c r="AM30" s="426"/>
      <c r="AN30" s="514"/>
      <c r="AO30" s="514"/>
      <c r="AP30" s="514"/>
      <c r="AQ30" s="514"/>
      <c r="AR30" s="514"/>
      <c r="AS30" s="564">
        <v>0</v>
      </c>
    </row>
    <row s="7809" customFormat="1" customHeight="1" ht="18.75" hidden="1">
      <c r="A31" s="1514"/>
      <c r="B31" s="1514"/>
      <c r="C31" s="1514"/>
      <c r="D31" s="1514"/>
      <c r="E31" s="1514"/>
      <c r="F31" s="1514"/>
      <c r="G31" s="1514"/>
      <c r="H31" s="1514"/>
      <c r="I31" s="1514"/>
      <c r="J31" s="1514"/>
      <c r="K31" s="1514"/>
      <c r="L31" s="1515"/>
      <c r="M31" s="1514"/>
      <c r="N31" s="1514"/>
      <c r="O31" s="1514"/>
      <c r="S31" s="2409" t="s">
        <v>446</v>
      </c>
      <c r="T31" s="2409"/>
      <c r="U31" s="1518"/>
      <c r="V31" s="2410" t="str">
        <f>IF(TITLE_NUMBER_PR_CHANGE="",IF(TITLE_NUMBER_PR="","",TITLE_NUMBER_PR),TITLE_NUMBER_PR_CHANGE)</f>
        <v/>
      </c>
      <c r="W31" s="2410"/>
      <c r="X31" s="2410"/>
      <c r="Y31" s="2410"/>
      <c r="Z31" s="2410"/>
      <c r="AA31" s="2410"/>
      <c r="AB31" s="2410"/>
      <c r="AC31" s="472"/>
      <c r="AD31" s="2410" t="str">
        <f>IF(TITLE_NUMBER_PR_CHANGE="",IF(TITLE_NUMBER_PR="","",TITLE_NUMBER_PR),TITLE_NUMBER_PR_CHANGE)</f>
        <v/>
      </c>
      <c r="AE31" s="2410"/>
      <c r="AF31" s="2410"/>
      <c r="AG31" s="2410"/>
      <c r="AH31" s="2410"/>
      <c r="AI31" s="2410"/>
      <c r="AJ31" s="2410"/>
      <c r="AK31" s="472"/>
      <c r="AL31" s="472"/>
      <c r="AM31" s="426"/>
      <c r="AN31" s="514"/>
      <c r="AO31" s="514"/>
      <c r="AP31" s="514"/>
      <c r="AQ31" s="514"/>
      <c r="AR31" s="514"/>
      <c r="AS31" s="564">
        <v>0</v>
      </c>
    </row>
    <row s="7809" customFormat="1" customHeight="1" ht="18.75" hidden="1">
      <c r="A32" s="1514"/>
      <c r="B32" s="1514"/>
      <c r="C32" s="1514"/>
      <c r="D32" s="1514"/>
      <c r="E32" s="1514"/>
      <c r="F32" s="1514"/>
      <c r="G32" s="1514"/>
      <c r="H32" s="1514"/>
      <c r="I32" s="1514"/>
      <c r="J32" s="1514"/>
      <c r="K32" s="1514"/>
      <c r="L32" s="1515"/>
      <c r="M32" s="1514"/>
      <c r="N32" s="1514"/>
      <c r="O32" s="1514"/>
      <c r="S32" s="2409" t="s">
        <v>43</v>
      </c>
      <c r="T32" s="2409"/>
      <c r="U32" s="1518"/>
      <c r="V32" s="2410" t="str">
        <f>IF(TITLE_IST_PUB_CHANGE="",IF(TITLE_IST_PUB="","",TITLE_IST_PUB),TITLE_IST_PUB_CHANGE)</f>
        <v/>
      </c>
      <c r="W32" s="2410"/>
      <c r="X32" s="2410"/>
      <c r="Y32" s="2410"/>
      <c r="Z32" s="2410"/>
      <c r="AA32" s="2410"/>
      <c r="AB32" s="2410"/>
      <c r="AC32" s="472"/>
      <c r="AD32" s="2410" t="str">
        <f>IF(TITLE_IST_PUB_CHANGE="",IF(TITLE_IST_PUB="","",TITLE_IST_PUB),TITLE_IST_PUB_CHANGE)</f>
        <v/>
      </c>
      <c r="AE32" s="2410"/>
      <c r="AF32" s="2410"/>
      <c r="AG32" s="2410"/>
      <c r="AH32" s="2410"/>
      <c r="AI32" s="2410"/>
      <c r="AJ32" s="2410"/>
      <c r="AK32" s="472"/>
      <c r="AL32" s="472"/>
      <c r="AM32" s="426"/>
      <c r="AN32" s="514"/>
      <c r="AO32" s="514"/>
      <c r="AP32" s="514"/>
      <c r="AQ32" s="514"/>
      <c r="AR32" s="514"/>
      <c r="AS32" s="564">
        <v>0</v>
      </c>
    </row>
    <row customHeight="1" ht="14.25" hidden="1">
      <c r="Q33" s="522"/>
      <c r="R33" s="522"/>
      <c r="S33" s="1421"/>
      <c r="T33" s="509"/>
      <c r="U33" s="509"/>
      <c r="V33" s="468"/>
      <c r="W33" s="468"/>
      <c r="X33" s="468"/>
      <c r="Y33" s="468"/>
      <c r="Z33" s="468"/>
      <c r="AA33" s="468"/>
      <c r="AB33" s="468"/>
      <c r="AC33" s="468"/>
      <c r="AD33" s="468"/>
      <c r="AE33" s="468"/>
      <c r="AF33" s="468"/>
      <c r="AG33" s="468"/>
      <c r="AH33" s="468"/>
      <c r="AI33" s="468"/>
      <c r="AJ33" s="468"/>
      <c r="AK33" s="468"/>
      <c r="AL33" s="655"/>
      <c r="AS33" s="1301">
        <v>0</v>
      </c>
    </row>
    <row s="7809" customFormat="1" customHeight="1" ht="18.75" hidden="1">
      <c r="A34" s="1514"/>
      <c r="B34" s="1514"/>
      <c r="C34" s="1514"/>
      <c r="D34" s="1514"/>
      <c r="E34" s="1514"/>
      <c r="F34" s="1514"/>
      <c r="G34" s="1514"/>
      <c r="H34" s="1514"/>
      <c r="I34" s="1514"/>
      <c r="J34" s="1514"/>
      <c r="K34" s="1514"/>
      <c r="L34" s="1515"/>
      <c r="M34" s="1514"/>
      <c r="N34" s="1514"/>
      <c r="O34" s="1514"/>
      <c r="S34" s="2409" t="s">
        <v>447</v>
      </c>
      <c r="T34" s="2409"/>
      <c r="U34" s="1518"/>
      <c r="V34" s="2423" t="str">
        <f>IF(TITLE_DATE_PR_CHANGE="",IF(TITLE_DATE_PR="","",TITLE_DATE_PR),TITLE_DATE_PR_CHANGE)</f>
        <v/>
      </c>
      <c r="W34" s="2423"/>
      <c r="X34" s="2423"/>
      <c r="Y34" s="2423"/>
      <c r="Z34" s="2423"/>
      <c r="AA34" s="2423"/>
      <c r="AB34" s="2423"/>
      <c r="AC34" s="472"/>
      <c r="AD34" s="2423" t="str">
        <f>IF(TITLE_DATE_PR_CHANGE="",IF(TITLE_DATE_PR="","",TITLE_DATE_PR),TITLE_DATE_PR_CHANGE)</f>
        <v/>
      </c>
      <c r="AE34" s="2423"/>
      <c r="AF34" s="2423"/>
      <c r="AG34" s="2423"/>
      <c r="AH34" s="2423"/>
      <c r="AI34" s="2423"/>
      <c r="AJ34" s="2423"/>
      <c r="AK34" s="472"/>
      <c r="AL34" s="472"/>
      <c r="AM34" s="426"/>
      <c r="AN34" s="514"/>
      <c r="AO34" s="514"/>
      <c r="AP34" s="514"/>
      <c r="AQ34" s="514"/>
      <c r="AR34" s="514"/>
      <c r="AS34" s="564">
        <v>0</v>
      </c>
    </row>
    <row s="7809" customFormat="1" customHeight="1" ht="25.5" hidden="1">
      <c r="A35" s="1514"/>
      <c r="B35" s="1514"/>
      <c r="C35" s="1514"/>
      <c r="D35" s="1514"/>
      <c r="E35" s="1514"/>
      <c r="F35" s="1514"/>
      <c r="G35" s="1514"/>
      <c r="H35" s="1514"/>
      <c r="I35" s="1514"/>
      <c r="J35" s="1514"/>
      <c r="K35" s="1514"/>
      <c r="L35" s="1515"/>
      <c r="M35" s="1514"/>
      <c r="N35" s="1514"/>
      <c r="O35" s="1514"/>
      <c r="S35" s="2409" t="s">
        <v>448</v>
      </c>
      <c r="T35" s="2409"/>
      <c r="U35" s="1518"/>
      <c r="V35" s="2410" t="str">
        <f>IF(TITLE_NUMBER_PR_CHANGE="",IF(TITLE_NUMBER_PR="","",TITLE_NUMBER_PR),TITLE_NUMBER_PR_CHANGE)</f>
        <v/>
      </c>
      <c r="W35" s="2410"/>
      <c r="X35" s="2410"/>
      <c r="Y35" s="2410"/>
      <c r="Z35" s="2410"/>
      <c r="AA35" s="2410"/>
      <c r="AB35" s="2410"/>
      <c r="AC35" s="472"/>
      <c r="AD35" s="2410" t="str">
        <f>IF(TITLE_NUMBER_PR_CHANGE="",IF(TITLE_NUMBER_PR="","",TITLE_NUMBER_PR),TITLE_NUMBER_PR_CHANGE)</f>
        <v/>
      </c>
      <c r="AE35" s="2410"/>
      <c r="AF35" s="2410"/>
      <c r="AG35" s="2410"/>
      <c r="AH35" s="2410"/>
      <c r="AI35" s="2410"/>
      <c r="AJ35" s="2410"/>
      <c r="AK35" s="472"/>
      <c r="AL35" s="472"/>
      <c r="AM35" s="426"/>
      <c r="AN35" s="514"/>
      <c r="AO35" s="514"/>
      <c r="AP35" s="514"/>
      <c r="AQ35" s="514"/>
      <c r="AR35" s="514"/>
      <c r="AS35" s="564">
        <v>0</v>
      </c>
    </row>
    <row s="7809" customFormat="1" customHeight="1" ht="0">
      <c r="A36" s="1514"/>
      <c r="B36" s="1514"/>
      <c r="C36" s="1514"/>
      <c r="D36" s="1514"/>
      <c r="E36" s="1514"/>
      <c r="F36" s="1514"/>
      <c r="G36" s="1514"/>
      <c r="H36" s="1514"/>
      <c r="I36" s="1514"/>
      <c r="J36" s="1514"/>
      <c r="K36" s="1514"/>
      <c r="L36" s="1515"/>
      <c r="M36" s="1514"/>
      <c r="N36" s="1514"/>
      <c r="O36" s="1514"/>
      <c r="S36" s="469"/>
      <c r="T36" s="469"/>
      <c r="U36" s="1486"/>
      <c r="V36" s="472"/>
      <c r="W36" s="472"/>
      <c r="X36" s="472"/>
      <c r="Y36" s="472"/>
      <c r="Z36" s="472"/>
      <c r="AA36" s="472"/>
      <c r="AB36" s="472"/>
      <c r="AC36" s="424" t="s">
        <v>449</v>
      </c>
      <c r="AD36" s="472"/>
      <c r="AE36" s="472"/>
      <c r="AF36" s="472"/>
      <c r="AG36" s="472"/>
      <c r="AH36" s="472"/>
      <c r="AI36" s="472"/>
      <c r="AJ36" s="472"/>
      <c r="AK36" s="424" t="s">
        <v>449</v>
      </c>
      <c r="AN36" s="514"/>
      <c r="AO36" s="514"/>
      <c r="AP36" s="514"/>
      <c r="AQ36" s="514"/>
      <c r="AR36" s="514"/>
      <c r="AS36" s="564">
        <v>0</v>
      </c>
    </row>
    <row customHeight="1" ht="14.699999999999998">
      <c r="Q37" s="522"/>
      <c r="R37" s="522"/>
      <c r="S37" s="1421"/>
      <c r="T37" s="509"/>
      <c r="U37" s="1390"/>
      <c r="V37" s="2411"/>
      <c r="W37" s="2411"/>
      <c r="X37" s="2411"/>
      <c r="Y37" s="2411"/>
      <c r="Z37" s="2411"/>
      <c r="AA37" s="2411"/>
      <c r="AB37" s="2411"/>
      <c r="AC37" s="2411"/>
      <c r="AD37" s="2411"/>
      <c r="AE37" s="2411"/>
      <c r="AF37" s="2411"/>
      <c r="AG37" s="2411"/>
      <c r="AH37" s="2411"/>
      <c r="AI37" s="2411"/>
      <c r="AJ37" s="2411"/>
      <c r="AK37" s="2411"/>
      <c r="AS37" s="1301">
        <v>14</v>
      </c>
    </row>
    <row customHeight="1" ht="14.699999999999998">
      <c r="Q38" s="522"/>
      <c r="R38" s="522"/>
      <c r="S38" s="2286" t="s">
        <v>322</v>
      </c>
      <c r="T38" s="2286"/>
      <c r="U38" s="2286"/>
      <c r="V38" s="2286"/>
      <c r="W38" s="2286"/>
      <c r="X38" s="2286"/>
      <c r="Y38" s="2286"/>
      <c r="Z38" s="2286"/>
      <c r="AA38" s="2286"/>
      <c r="AB38" s="2286"/>
      <c r="AC38" s="2286"/>
      <c r="AD38" s="2286"/>
      <c r="AE38" s="2286"/>
      <c r="AF38" s="2286"/>
      <c r="AG38" s="2286"/>
      <c r="AH38" s="2286"/>
      <c r="AI38" s="2286"/>
      <c r="AJ38" s="2286"/>
      <c r="AK38" s="2286"/>
      <c r="AL38" s="2286"/>
      <c r="AM38" s="2286" t="s">
        <v>323</v>
      </c>
      <c r="AS38" s="1301">
        <v>14</v>
      </c>
    </row>
    <row customHeight="1" ht="14.699999999999998">
      <c r="Q39" s="522"/>
      <c r="R39" s="522"/>
      <c r="S39" s="2432" t="s">
        <v>89</v>
      </c>
      <c r="T39" s="2368" t="s">
        <v>450</v>
      </c>
      <c r="U39" s="447"/>
      <c r="V39" s="2433" t="s">
        <v>451</v>
      </c>
      <c r="W39" s="2434"/>
      <c r="X39" s="2434"/>
      <c r="Y39" s="2434"/>
      <c r="Z39" s="2434"/>
      <c r="AA39" s="2434"/>
      <c r="AB39" s="2435"/>
      <c r="AC39" s="2436" t="s">
        <v>452</v>
      </c>
      <c r="AD39" s="2433" t="s">
        <v>451</v>
      </c>
      <c r="AE39" s="2434"/>
      <c r="AF39" s="2434"/>
      <c r="AG39" s="2434"/>
      <c r="AH39" s="2434"/>
      <c r="AI39" s="2434"/>
      <c r="AJ39" s="2435"/>
      <c r="AK39" s="2436" t="s">
        <v>453</v>
      </c>
      <c r="AL39" s="2439" t="s">
        <v>454</v>
      </c>
      <c r="AM39" s="2286"/>
      <c r="AS39" s="1301">
        <v>14</v>
      </c>
    </row>
    <row customHeight="1" ht="35.699999999999996">
      <c r="Q40" s="522"/>
      <c r="R40" s="522"/>
      <c r="S40" s="2432"/>
      <c r="T40" s="2368"/>
      <c r="U40" s="1177"/>
      <c r="V40" s="2419" t="s">
        <v>455</v>
      </c>
      <c r="W40" s="2442"/>
      <c r="X40" s="2421" t="s">
        <v>457</v>
      </c>
      <c r="Y40" s="2422"/>
      <c r="Z40" s="2421" t="s">
        <v>458</v>
      </c>
      <c r="AA40" s="2428"/>
      <c r="AB40" s="2422"/>
      <c r="AC40" s="2437"/>
      <c r="AD40" s="2419" t="s">
        <v>472</v>
      </c>
      <c r="AE40" s="2442"/>
      <c r="AF40" s="2421" t="s">
        <v>457</v>
      </c>
      <c r="AG40" s="2422"/>
      <c r="AH40" s="2421" t="s">
        <v>458</v>
      </c>
      <c r="AI40" s="2428"/>
      <c r="AJ40" s="2422"/>
      <c r="AK40" s="2437"/>
      <c r="AL40" s="2440"/>
      <c r="AM40" s="2286"/>
      <c r="AS40" s="1301">
        <v>34</v>
      </c>
    </row>
    <row customHeight="1" ht="35.699999999999996">
      <c r="A41" s="1516"/>
      <c r="B41" s="1516" t="s">
        <v>159</v>
      </c>
      <c r="C41" s="1516" t="s">
        <v>160</v>
      </c>
      <c r="D41" s="1516" t="s">
        <v>161</v>
      </c>
      <c r="E41" s="1510" t="s">
        <v>459</v>
      </c>
      <c r="F41" s="1510" t="s">
        <v>460</v>
      </c>
      <c r="G41" s="1510" t="s">
        <v>461</v>
      </c>
      <c r="H41" s="1510" t="s">
        <v>462</v>
      </c>
      <c r="I41" s="1510" t="s">
        <v>463</v>
      </c>
      <c r="J41" s="1510" t="s">
        <v>464</v>
      </c>
      <c r="K41" s="1510" t="s">
        <v>465</v>
      </c>
      <c r="L41" s="1510" t="s">
        <v>440</v>
      </c>
      <c r="Q41" s="522"/>
      <c r="R41" s="522"/>
      <c r="S41" s="2432"/>
      <c r="T41" s="2368"/>
      <c r="U41" s="448"/>
      <c r="V41" s="2420"/>
      <c r="W41" s="2443"/>
      <c r="X41" s="1368" t="s">
        <v>466</v>
      </c>
      <c r="Y41" s="1368" t="s">
        <v>467</v>
      </c>
      <c r="Z41" s="1484" t="s">
        <v>468</v>
      </c>
      <c r="AA41" s="2429" t="s">
        <v>469</v>
      </c>
      <c r="AB41" s="2430"/>
      <c r="AC41" s="2438"/>
      <c r="AD41" s="2420"/>
      <c r="AE41" s="2443"/>
      <c r="AF41" s="1368" t="s">
        <v>466</v>
      </c>
      <c r="AG41" s="1368" t="s">
        <v>467</v>
      </c>
      <c r="AH41" s="1484" t="s">
        <v>468</v>
      </c>
      <c r="AI41" s="2429" t="s">
        <v>469</v>
      </c>
      <c r="AJ41" s="2430"/>
      <c r="AK41" s="2438"/>
      <c r="AL41" s="2441"/>
      <c r="AM41" s="2286"/>
      <c r="AS41" s="1301">
        <v>34</v>
      </c>
    </row>
    <row s="6314" customFormat="1" customHeight="1" ht="11.25" hidden="1">
      <c r="A42" s="1516"/>
      <c r="B42" s="1516"/>
      <c r="C42" s="1516"/>
      <c r="D42" s="1516"/>
      <c r="E42" s="1516"/>
      <c r="F42" s="1516"/>
      <c r="G42" s="1516"/>
      <c r="H42" s="1516"/>
      <c r="I42" s="1516"/>
      <c r="J42" s="1516"/>
      <c r="K42" s="1516"/>
      <c r="L42" s="1510"/>
      <c r="M42" s="1508"/>
      <c r="N42" s="1508"/>
      <c r="O42" s="1508"/>
      <c r="P42" s="1392"/>
      <c r="Q42" s="1393"/>
      <c r="R42" s="1400">
        <v>1</v>
      </c>
      <c r="S42" s="1423" t="s">
        <v>121</v>
      </c>
      <c r="T42" s="1401" t="s">
        <v>105</v>
      </c>
      <c r="U42" s="1391" t="str">
        <f>OFFSET(U42,0,-1)</f>
        <v>2</v>
      </c>
      <c r="V42" s="1481">
        <f>OFFSET(V42,0,-1)+1</f>
        <v>3</v>
      </c>
      <c r="W42" s="1481"/>
      <c r="X42" s="1481">
        <f>OFFSET(X42,0,-1)+1</f>
        <v>1</v>
      </c>
      <c r="Y42" s="1481">
        <f>OFFSET(Y42,0,-1)+1</f>
        <v>2</v>
      </c>
      <c r="Z42" s="1481">
        <f>OFFSET(Z42,0,-1)+1</f>
        <v>3</v>
      </c>
      <c r="AA42" s="2431">
        <f>OFFSET(AA42,0,-1)+1</f>
        <v>4</v>
      </c>
      <c r="AB42" s="2431"/>
      <c r="AC42" s="1481">
        <f>OFFSET(AC42,0,-2)+1</f>
        <v>5</v>
      </c>
      <c r="AD42" s="1481">
        <f>OFFSET(AD42,0,-1)+1</f>
        <v>6</v>
      </c>
      <c r="AE42" s="1481"/>
      <c r="AF42" s="1481">
        <f>OFFSET(AF42,0,-1)+1</f>
        <v>1</v>
      </c>
      <c r="AG42" s="1481">
        <f>OFFSET(AG42,0,-1)+1</f>
        <v>2</v>
      </c>
      <c r="AH42" s="1481">
        <f>OFFSET(AH42,0,-1)+1</f>
        <v>3</v>
      </c>
      <c r="AI42" s="2431">
        <f>OFFSET(AI42,0,-1)+1</f>
        <v>4</v>
      </c>
      <c r="AJ42" s="2431"/>
      <c r="AK42" s="1481">
        <f>OFFSET(AK42,0,-2)+1</f>
        <v>5</v>
      </c>
      <c r="AL42" s="1391">
        <f>OFFSET(AL42,0,-1)</f>
        <v>5</v>
      </c>
      <c r="AM42" s="1481">
        <f>OFFSET(AM42,0,-1)+1</f>
        <v>6</v>
      </c>
      <c r="AN42" s="657"/>
      <c r="AO42" s="657"/>
      <c r="AP42" s="657"/>
      <c r="AQ42" s="657"/>
      <c r="AR42" s="657"/>
      <c r="AS42" s="642">
        <v>0</v>
      </c>
    </row>
    <row customHeight="1" ht="22.049999999999997">
      <c r="A43" s="1509" t="s">
        <v>210</v>
      </c>
      <c r="B43" s="1509"/>
      <c r="C43" s="1509"/>
      <c r="D43" s="1509"/>
      <c r="E43" s="2417">
        <v>1</v>
      </c>
      <c r="F43" s="1509"/>
      <c r="G43" s="1509"/>
      <c r="H43" s="1509"/>
      <c r="I43" s="1509"/>
      <c r="J43" s="1509"/>
      <c r="K43" s="1509"/>
      <c r="L43" s="1510"/>
      <c r="M43" s="1511"/>
      <c r="N43" s="1511"/>
      <c r="O43" s="1511"/>
      <c r="P43" s="507"/>
      <c r="Q43" s="506"/>
      <c r="R43" s="501"/>
      <c r="S43" s="1482">
        <f>INDEX(PT_DIFFERENTIATION_NUM_NTAR,MATCH(A43,PT_DIFFERENTIATION_NTAR_ID,0))</f>
        <v>0</v>
      </c>
      <c r="T43" s="444" t="s">
        <v>147</v>
      </c>
      <c r="U43" s="446"/>
      <c r="V43" s="2401"/>
      <c r="W43" s="2402"/>
      <c r="X43" s="2402"/>
      <c r="Y43" s="2402"/>
      <c r="Z43" s="2402"/>
      <c r="AA43" s="2402"/>
      <c r="AB43" s="2402"/>
      <c r="AC43" s="2403"/>
      <c r="AD43" s="2401" t="str">
        <f>INDEX(PT_DIFFERENTIATION_NTAR,MATCH(A43,PT_DIFFERENTIATION_NTAR_ID,0))</f>
        <v/>
      </c>
      <c r="AE43" s="2402"/>
      <c r="AF43" s="2402"/>
      <c r="AG43" s="2402"/>
      <c r="AH43" s="2402"/>
      <c r="AI43" s="2402"/>
      <c r="AJ43" s="2402"/>
      <c r="AK43" s="2402"/>
      <c r="AL43" s="2403"/>
      <c r="AM43" s="140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46"/>
      <c r="AP43" s="646" t="str">
        <f>IF(T43="","",T43)</f>
        <v>Наименование тарифа</v>
      </c>
      <c r="AQ43" s="646"/>
      <c r="AR43" s="646"/>
      <c r="AS43" s="1301">
        <v>21</v>
      </c>
    </row>
    <row customHeight="1" ht="22.049999999999997">
      <c r="A44" s="1509" t="s">
        <v>210</v>
      </c>
      <c r="B44" s="1509" t="s">
        <v>211</v>
      </c>
      <c r="C44" s="1509"/>
      <c r="D44" s="1509"/>
      <c r="E44" s="2418"/>
      <c r="F44" s="2417">
        <v>1</v>
      </c>
      <c r="G44" s="1509"/>
      <c r="H44" s="1509"/>
      <c r="I44" s="1509"/>
      <c r="J44" s="1509"/>
      <c r="K44" s="1509"/>
      <c r="L44" s="1510"/>
      <c r="M44" s="1511"/>
      <c r="N44" s="1511"/>
      <c r="O44" s="1511"/>
      <c r="P44" s="1478"/>
      <c r="Q44" s="498"/>
      <c r="R44" s="499"/>
      <c r="S44" s="1482" t="str">
        <f>INDEX(PT_DIFFERENTIATION_NUM_TER,MATCH(B44,PT_DIFFERENTIATION_TER_ID,0))</f>
        <v>.</v>
      </c>
      <c r="T44" s="454" t="s">
        <v>419</v>
      </c>
      <c r="U44" s="446"/>
      <c r="V44" s="2401"/>
      <c r="W44" s="2402"/>
      <c r="X44" s="2402"/>
      <c r="Y44" s="2402"/>
      <c r="Z44" s="2402"/>
      <c r="AA44" s="2402"/>
      <c r="AB44" s="2402"/>
      <c r="AC44" s="2403"/>
      <c r="AD44" s="2401" t="str">
        <f>INDEX(PT_DIFFERENTIATION_TER,MATCH(B44,PT_DIFFERENTIATION_TER_ID,0))</f>
        <v/>
      </c>
      <c r="AE44" s="2402"/>
      <c r="AF44" s="2402"/>
      <c r="AG44" s="2402"/>
      <c r="AH44" s="2402"/>
      <c r="AI44" s="2402"/>
      <c r="AJ44" s="2402"/>
      <c r="AK44" s="2402"/>
      <c r="AL44" s="2403"/>
      <c r="AM44" s="1404" t="s">
        <v>420</v>
      </c>
      <c r="AO44" s="646"/>
      <c r="AP44" s="646" t="str">
        <f>IF(T44="","",T44)</f>
        <v>Территория действия тарифа</v>
      </c>
      <c r="AQ44" s="646"/>
      <c r="AR44" s="646"/>
      <c r="AS44" s="1301">
        <v>21</v>
      </c>
    </row>
    <row customHeight="1" ht="24">
      <c r="A45" s="1509" t="s">
        <v>210</v>
      </c>
      <c r="B45" s="1509" t="s">
        <v>211</v>
      </c>
      <c r="C45" s="1509" t="s">
        <v>212</v>
      </c>
      <c r="D45" s="1509"/>
      <c r="E45" s="2418"/>
      <c r="F45" s="2418"/>
      <c r="G45" s="2417">
        <v>1</v>
      </c>
      <c r="H45" s="1509"/>
      <c r="I45" s="1509"/>
      <c r="J45" s="1509"/>
      <c r="K45" s="1509"/>
      <c r="L45" s="1510"/>
      <c r="M45" s="1511"/>
      <c r="N45" s="1511"/>
      <c r="O45" s="1511"/>
      <c r="P45" s="500"/>
      <c r="Q45" s="498"/>
      <c r="R45" s="499"/>
      <c r="S45" s="1482" t="str">
        <f>INDEX(PT_DIFFERENTIATION_NUM_CS,MATCH(C45,PT_DIFFERENTIATION_CS_ID,0))</f>
        <v>..</v>
      </c>
      <c r="T45" s="455" t="s">
        <v>421</v>
      </c>
      <c r="U45" s="446"/>
      <c r="V45" s="2401"/>
      <c r="W45" s="2402"/>
      <c r="X45" s="2402"/>
      <c r="Y45" s="2402"/>
      <c r="Z45" s="2402"/>
      <c r="AA45" s="2402"/>
      <c r="AB45" s="2402"/>
      <c r="AC45" s="2403"/>
      <c r="AD45" s="2401" t="str">
        <f>INDEX(PT_DIFFERENTIATION_CS,MATCH(C45,PT_DIFFERENTIATION_CS_ID,0))</f>
        <v/>
      </c>
      <c r="AE45" s="2402"/>
      <c r="AF45" s="2402"/>
      <c r="AG45" s="2402"/>
      <c r="AH45" s="2402"/>
      <c r="AI45" s="2402"/>
      <c r="AJ45" s="2402"/>
      <c r="AK45" s="2402"/>
      <c r="AL45" s="2403"/>
      <c r="AM45" s="1404" t="s">
        <v>422</v>
      </c>
      <c r="AO45" s="646"/>
      <c r="AP45" s="646" t="str">
        <f>IF(T45="","",T45)</f>
        <v>Наименование системы теплоснабжения </v>
      </c>
      <c r="AQ45" s="646"/>
      <c r="AR45" s="646"/>
      <c r="AS45" s="1301">
        <v>23</v>
      </c>
    </row>
    <row customHeight="1" ht="22.049999999999997">
      <c r="A46" s="1509" t="s">
        <v>210</v>
      </c>
      <c r="B46" s="1509" t="s">
        <v>211</v>
      </c>
      <c r="C46" s="1509" t="s">
        <v>212</v>
      </c>
      <c r="D46" s="1509" t="s">
        <v>213</v>
      </c>
      <c r="E46" s="2418"/>
      <c r="F46" s="2418"/>
      <c r="G46" s="2418"/>
      <c r="H46" s="2417">
        <v>1</v>
      </c>
      <c r="I46" s="1509"/>
      <c r="J46" s="1509"/>
      <c r="K46" s="1509"/>
      <c r="L46" s="1510"/>
      <c r="M46" s="1511"/>
      <c r="N46" s="1511"/>
      <c r="O46" s="1511"/>
      <c r="P46" s="500"/>
      <c r="Q46" s="498"/>
      <c r="R46" s="499"/>
      <c r="S46" s="1482" t="str">
        <f>INDEX(PT_DIFFERENTIATION_NUM_IST_TE,MATCH(D46,PT_DIFFERENTIATION_IST_TE_ID,0))</f>
        <v>...</v>
      </c>
      <c r="T46" s="456" t="s">
        <v>423</v>
      </c>
      <c r="U46" s="446"/>
      <c r="V46" s="2401"/>
      <c r="W46" s="2402"/>
      <c r="X46" s="2402"/>
      <c r="Y46" s="2402"/>
      <c r="Z46" s="2402"/>
      <c r="AA46" s="2402"/>
      <c r="AB46" s="2402"/>
      <c r="AC46" s="2403"/>
      <c r="AD46" s="2401" t="str">
        <f>INDEX(PT_DIFFERENTIATION_IST_TE,MATCH(D46,PT_DIFFERENTIATION_IST_TE_ID,0))</f>
        <v/>
      </c>
      <c r="AE46" s="2402"/>
      <c r="AF46" s="2402"/>
      <c r="AG46" s="2402"/>
      <c r="AH46" s="2402"/>
      <c r="AI46" s="2402"/>
      <c r="AJ46" s="2402"/>
      <c r="AK46" s="2402"/>
      <c r="AL46" s="2403"/>
      <c r="AM46" s="1404" t="s">
        <v>424</v>
      </c>
      <c r="AO46" s="646"/>
      <c r="AP46" s="646" t="str">
        <f>IF(T46="","",T46)</f>
        <v>Источник тепловой энергии  </v>
      </c>
      <c r="AQ46" s="646"/>
      <c r="AR46" s="646"/>
      <c r="AS46" s="1301">
        <v>21</v>
      </c>
    </row>
    <row s="6720" customFormat="1" customHeight="1" ht="0">
      <c r="A47" s="1489" t="s">
        <v>210</v>
      </c>
      <c r="B47" s="1489" t="s">
        <v>211</v>
      </c>
      <c r="C47" s="1489" t="s">
        <v>212</v>
      </c>
      <c r="D47" s="1489" t="s">
        <v>213</v>
      </c>
      <c r="E47" s="2418"/>
      <c r="F47" s="2418"/>
      <c r="G47" s="2418"/>
      <c r="H47" s="2418"/>
      <c r="I47" s="2415" t="str">
        <f>S46&amp;".1"</f>
        <v>....1</v>
      </c>
      <c r="J47" s="1489"/>
      <c r="K47" s="1489"/>
      <c r="L47" s="1492" t="s">
        <v>425</v>
      </c>
      <c r="M47" s="656"/>
      <c r="N47" s="656"/>
      <c r="O47" s="656"/>
      <c r="P47" s="2416">
        <v>1</v>
      </c>
      <c r="Q47" s="1477"/>
      <c r="R47" s="502"/>
      <c r="S47" s="1188"/>
      <c r="T47" s="1529"/>
      <c r="U47" s="1530"/>
      <c r="V47" s="2455"/>
      <c r="W47" s="2456"/>
      <c r="X47" s="2456"/>
      <c r="Y47" s="2456"/>
      <c r="Z47" s="2456"/>
      <c r="AA47" s="2456"/>
      <c r="AB47" s="2456"/>
      <c r="AC47" s="2457"/>
      <c r="AD47" s="2455"/>
      <c r="AE47" s="2456"/>
      <c r="AF47" s="2456"/>
      <c r="AG47" s="2456"/>
      <c r="AH47" s="2456"/>
      <c r="AI47" s="2456"/>
      <c r="AJ47" s="2456"/>
      <c r="AK47" s="2456"/>
      <c r="AL47" s="2457"/>
      <c r="AM47" s="1531"/>
      <c r="AO47" s="646"/>
      <c r="AP47" s="646" t="str">
        <f>IF(T47="","",T47)</f>
        <v/>
      </c>
      <c r="AQ47" s="646"/>
      <c r="AR47" s="646"/>
      <c r="AS47" s="657">
        <v>0</v>
      </c>
    </row>
    <row customHeight="1" ht="22.049999999999997">
      <c r="A48" s="1509" t="s">
        <v>210</v>
      </c>
      <c r="B48" s="1509" t="s">
        <v>211</v>
      </c>
      <c r="C48" s="1509" t="s">
        <v>212</v>
      </c>
      <c r="D48" s="1509" t="s">
        <v>213</v>
      </c>
      <c r="E48" s="2418"/>
      <c r="F48" s="2418"/>
      <c r="G48" s="2418"/>
      <c r="H48" s="2418"/>
      <c r="I48" s="2445"/>
      <c r="J48" s="2415" t="str">
        <f>S46&amp;".1"</f>
        <v>....1</v>
      </c>
      <c r="K48" s="1509"/>
      <c r="L48" s="1510" t="s">
        <v>428</v>
      </c>
      <c r="P48" s="2416"/>
      <c r="Q48" s="2416">
        <v>1</v>
      </c>
      <c r="R48" s="503"/>
      <c r="S48" s="1482" t="str">
        <f>$J48</f>
        <v>....1</v>
      </c>
      <c r="T48" s="432" t="s">
        <v>429</v>
      </c>
      <c r="U48" s="446"/>
      <c r="V48" s="2404"/>
      <c r="W48" s="2405"/>
      <c r="X48" s="2405"/>
      <c r="Y48" s="2405"/>
      <c r="Z48" s="2405"/>
      <c r="AA48" s="2405"/>
      <c r="AB48" s="2405"/>
      <c r="AC48" s="2406"/>
      <c r="AD48" s="2404"/>
      <c r="AE48" s="2405"/>
      <c r="AF48" s="2405"/>
      <c r="AG48" s="2405"/>
      <c r="AH48" s="2405"/>
      <c r="AI48" s="2405"/>
      <c r="AJ48" s="2405"/>
      <c r="AK48" s="2405"/>
      <c r="AL48" s="2406"/>
      <c r="AM48" s="1404" t="s">
        <v>430</v>
      </c>
      <c r="AO48" s="646"/>
      <c r="AP48" s="646" t="str">
        <f>IF(T48="","",T48)</f>
        <v>Группа потребителей</v>
      </c>
      <c r="AQ48" s="646"/>
      <c r="AR48" s="646"/>
      <c r="AS48" s="1301">
        <v>21</v>
      </c>
    </row>
    <row customHeight="1" ht="22.049999999999997">
      <c r="A49" s="1509" t="s">
        <v>210</v>
      </c>
      <c r="B49" s="1509" t="s">
        <v>211</v>
      </c>
      <c r="C49" s="1509" t="s">
        <v>212</v>
      </c>
      <c r="D49" s="1509" t="s">
        <v>213</v>
      </c>
      <c r="E49" s="2418"/>
      <c r="F49" s="2418"/>
      <c r="G49" s="2418"/>
      <c r="H49" s="2418"/>
      <c r="I49" s="2445"/>
      <c r="J49" s="2445"/>
      <c r="K49" s="2415" t="str">
        <f>J48&amp;".1"</f>
        <v>....1.1</v>
      </c>
      <c r="L49" s="1510" t="s">
        <v>431</v>
      </c>
      <c r="P49" s="2416"/>
      <c r="Q49" s="2416"/>
      <c r="R49" s="503">
        <v>1</v>
      </c>
      <c r="S49" s="1482" t="str">
        <f>$K49</f>
        <v>....1.1</v>
      </c>
      <c r="T49" s="1493"/>
      <c r="U49" s="446"/>
      <c r="V49" s="897"/>
      <c r="W49" s="471"/>
      <c r="X49" s="897"/>
      <c r="Y49" s="1403"/>
      <c r="Z49" s="2424"/>
      <c r="AA49" s="2266" t="s">
        <v>63</v>
      </c>
      <c r="AB49" s="2424"/>
      <c r="AC49" s="2266" t="s">
        <v>63</v>
      </c>
      <c r="AD49" s="897"/>
      <c r="AE49" s="471"/>
      <c r="AF49" s="897"/>
      <c r="AG49" s="1403"/>
      <c r="AH49" s="2424"/>
      <c r="AI49" s="2266" t="s">
        <v>63</v>
      </c>
      <c r="AJ49" s="2446"/>
      <c r="AK49" s="2266" t="s">
        <v>63</v>
      </c>
      <c r="AL49" s="1494"/>
      <c r="AM49" s="2412" t="s">
        <v>473</v>
      </c>
      <c r="AN49" s="657">
        <f>STRCHECKDATE(V50:AL50)</f>
      </c>
      <c r="AO49" s="646"/>
      <c r="AP49" s="646" t="str">
        <f>IF(T49="","",T49)</f>
        <v/>
      </c>
      <c r="AQ49" s="646"/>
      <c r="AR49" s="646"/>
      <c r="AS49" s="1301">
        <v>21</v>
      </c>
    </row>
    <row customHeight="1" ht="0">
      <c r="A50" s="1509" t="s">
        <v>210</v>
      </c>
      <c r="B50" s="1509" t="s">
        <v>211</v>
      </c>
      <c r="C50" s="1509" t="s">
        <v>212</v>
      </c>
      <c r="D50" s="1509" t="s">
        <v>213</v>
      </c>
      <c r="E50" s="2418"/>
      <c r="F50" s="2418"/>
      <c r="G50" s="2418"/>
      <c r="H50" s="2418"/>
      <c r="I50" s="2445"/>
      <c r="J50" s="2445"/>
      <c r="K50" s="2415"/>
      <c r="L50" s="1510"/>
      <c r="P50" s="2416"/>
      <c r="Q50" s="2416"/>
      <c r="R50" s="503"/>
      <c r="S50" s="1488"/>
      <c r="T50" s="446"/>
      <c r="U50" s="446"/>
      <c r="V50" s="471"/>
      <c r="W50" s="471"/>
      <c r="X50" s="471"/>
      <c r="Y50" s="474" t="str">
        <f>Z49&amp;"-"&amp;AB49</f>
        <v>-</v>
      </c>
      <c r="Z50" s="2425"/>
      <c r="AA50" s="2266"/>
      <c r="AB50" s="2425"/>
      <c r="AC50" s="2266"/>
      <c r="AD50" s="471"/>
      <c r="AE50" s="471"/>
      <c r="AF50" s="471"/>
      <c r="AG50" s="474" t="str">
        <f>AH49&amp;"-"&amp;AJ49</f>
        <v>-</v>
      </c>
      <c r="AH50" s="2425"/>
      <c r="AI50" s="2266"/>
      <c r="AJ50" s="2447"/>
      <c r="AK50" s="2266"/>
      <c r="AL50" s="1495"/>
      <c r="AM50" s="2413"/>
      <c r="AO50" s="646"/>
      <c r="AP50" s="646" t="str">
        <f>IF(T50="","",T50)</f>
        <v/>
      </c>
      <c r="AQ50" s="646"/>
      <c r="AR50" s="646"/>
      <c r="AS50" s="1301">
        <v>0</v>
      </c>
    </row>
    <row customHeight="1" ht="11.549999999999999">
      <c r="A51" s="1509" t="s">
        <v>210</v>
      </c>
      <c r="B51" s="1509" t="s">
        <v>211</v>
      </c>
      <c r="C51" s="1509" t="s">
        <v>212</v>
      </c>
      <c r="D51" s="1509" t="s">
        <v>213</v>
      </c>
      <c r="E51" s="2418"/>
      <c r="F51" s="2418"/>
      <c r="G51" s="2418"/>
      <c r="H51" s="2418"/>
      <c r="I51" s="2445"/>
      <c r="J51" s="2415"/>
      <c r="K51" s="1509"/>
      <c r="L51" s="1510"/>
      <c r="P51" s="2416"/>
      <c r="Q51" s="2416"/>
      <c r="R51" s="502"/>
      <c r="S51" s="1424"/>
      <c r="T51" s="433" t="s">
        <v>433</v>
      </c>
      <c r="U51" s="513"/>
      <c r="V51" s="513"/>
      <c r="W51" s="513"/>
      <c r="X51" s="513"/>
      <c r="Y51" s="513"/>
      <c r="Z51" s="513"/>
      <c r="AA51" s="513"/>
      <c r="AB51" s="513"/>
      <c r="AC51" s="513"/>
      <c r="AD51" s="513"/>
      <c r="AE51" s="513"/>
      <c r="AF51" s="513"/>
      <c r="AG51" s="513"/>
      <c r="AH51" s="513"/>
      <c r="AI51" s="513"/>
      <c r="AJ51" s="513"/>
      <c r="AK51" s="513"/>
      <c r="AL51" s="470"/>
      <c r="AM51" s="2414"/>
      <c r="AO51" s="646"/>
      <c r="AP51" s="646" t="str">
        <f>IF(T51="","",T51)</f>
        <v>Добавить вид теплоносителя (параметры теплоносителя)</v>
      </c>
      <c r="AQ51" s="646"/>
      <c r="AR51" s="646"/>
      <c r="AS51" s="1301">
        <v>11</v>
      </c>
    </row>
    <row customHeight="1" ht="11.549999999999999">
      <c r="A52" s="1509" t="s">
        <v>210</v>
      </c>
      <c r="B52" s="1509" t="s">
        <v>211</v>
      </c>
      <c r="C52" s="1509" t="s">
        <v>212</v>
      </c>
      <c r="D52" s="1509" t="s">
        <v>213</v>
      </c>
      <c r="E52" s="2418"/>
      <c r="F52" s="2418"/>
      <c r="G52" s="2418"/>
      <c r="H52" s="2418"/>
      <c r="I52" s="2415"/>
      <c r="J52" s="1509"/>
      <c r="K52" s="1509"/>
      <c r="L52" s="1510"/>
      <c r="P52" s="2416"/>
      <c r="Q52" s="1477"/>
      <c r="R52" s="502"/>
      <c r="S52" s="1424"/>
      <c r="T52" s="511" t="s">
        <v>434</v>
      </c>
      <c r="U52" s="513"/>
      <c r="V52" s="513"/>
      <c r="W52" s="513"/>
      <c r="X52" s="513"/>
      <c r="Y52" s="513"/>
      <c r="Z52" s="513"/>
      <c r="AA52" s="513"/>
      <c r="AB52" s="513"/>
      <c r="AC52" s="512"/>
      <c r="AD52" s="513"/>
      <c r="AE52" s="513"/>
      <c r="AF52" s="513"/>
      <c r="AG52" s="513"/>
      <c r="AH52" s="513"/>
      <c r="AI52" s="513"/>
      <c r="AJ52" s="513"/>
      <c r="AK52" s="512"/>
      <c r="AL52" s="513"/>
      <c r="AM52" s="449"/>
      <c r="AO52" s="646"/>
      <c r="AP52" s="646" t="str">
        <f>IF(T52="","",T52)</f>
        <v>Добавить группу потребителей</v>
      </c>
      <c r="AQ52" s="646"/>
      <c r="AR52" s="646"/>
      <c r="AS52" s="1301">
        <v>11</v>
      </c>
    </row>
    <row customHeight="1" ht="0">
      <c r="A53" s="1509" t="s">
        <v>210</v>
      </c>
      <c r="B53" s="1509" t="s">
        <v>211</v>
      </c>
      <c r="C53" s="1509" t="s">
        <v>212</v>
      </c>
      <c r="D53" s="1509" t="s">
        <v>213</v>
      </c>
      <c r="E53" s="2418"/>
      <c r="F53" s="2418"/>
      <c r="G53" s="2418"/>
      <c r="H53" s="2417"/>
      <c r="I53" s="1509"/>
      <c r="J53" s="1509"/>
      <c r="K53" s="1509"/>
      <c r="L53" s="1510"/>
      <c r="M53" s="1511"/>
      <c r="N53" s="1511"/>
      <c r="O53" s="683"/>
      <c r="P53" s="506"/>
      <c r="Q53" s="521"/>
      <c r="R53" s="501"/>
      <c r="S53" s="1532"/>
      <c r="T53" s="1533"/>
      <c r="U53" s="1534"/>
      <c r="V53" s="1534"/>
      <c r="W53" s="1534"/>
      <c r="X53" s="1534"/>
      <c r="Y53" s="1534"/>
      <c r="Z53" s="1534"/>
      <c r="AA53" s="1534"/>
      <c r="AB53" s="1534"/>
      <c r="AC53" s="1534"/>
      <c r="AD53" s="1534"/>
      <c r="AE53" s="1534"/>
      <c r="AF53" s="1534"/>
      <c r="AG53" s="1534"/>
      <c r="AH53" s="1534"/>
      <c r="AI53" s="1534"/>
      <c r="AJ53" s="1534"/>
      <c r="AK53" s="1534"/>
      <c r="AL53" s="1534"/>
      <c r="AM53" s="1535"/>
      <c r="AO53" s="646"/>
      <c r="AP53" s="646" t="str">
        <f>IF(T53="","",T53)</f>
        <v/>
      </c>
      <c r="AQ53" s="646"/>
      <c r="AR53" s="646"/>
      <c r="AS53" s="1301">
        <v>0</v>
      </c>
    </row>
    <row s="6720" customFormat="1" customHeight="1" ht="0">
      <c r="A54" s="1489" t="s">
        <v>210</v>
      </c>
      <c r="B54" s="1489" t="s">
        <v>211</v>
      </c>
      <c r="C54" s="1489" t="s">
        <v>212</v>
      </c>
      <c r="D54" s="1460"/>
      <c r="E54" s="2418"/>
      <c r="F54" s="2418"/>
      <c r="G54" s="2417"/>
      <c r="H54" s="1460"/>
      <c r="I54" s="1460"/>
      <c r="J54" s="1460"/>
      <c r="K54" s="1460"/>
      <c r="L54" s="1485"/>
      <c r="M54" s="1461"/>
      <c r="N54" s="1461"/>
      <c r="P54" s="1462"/>
      <c r="Q54" s="1463"/>
      <c r="R54" s="1462"/>
      <c r="S54" s="1468"/>
      <c r="T54" s="1471" t="s">
        <v>436</v>
      </c>
      <c r="U54" s="1470"/>
      <c r="V54" s="1470"/>
      <c r="W54" s="1470"/>
      <c r="X54" s="1470"/>
      <c r="Y54" s="1470"/>
      <c r="Z54" s="1470"/>
      <c r="AA54" s="1470"/>
      <c r="AB54" s="1470"/>
      <c r="AC54" s="1470"/>
      <c r="AD54" s="1470"/>
      <c r="AE54" s="1470"/>
      <c r="AF54" s="1470"/>
      <c r="AG54" s="1470"/>
      <c r="AH54" s="1470"/>
      <c r="AI54" s="1470"/>
      <c r="AJ54" s="1470"/>
      <c r="AK54" s="1470"/>
      <c r="AL54" s="1470"/>
      <c r="AM54" s="1470"/>
      <c r="AO54" s="935"/>
      <c r="AP54" s="935" t="str">
        <f>IF(T54="","",T54)</f>
        <v>Добавить источник для дифференциации</v>
      </c>
      <c r="AQ54" s="935"/>
      <c r="AR54" s="935"/>
      <c r="AS54" s="664">
        <v>0</v>
      </c>
    </row>
    <row s="6720" customFormat="1" customHeight="1" ht="0">
      <c r="A55" s="1489" t="s">
        <v>210</v>
      </c>
      <c r="B55" s="1489" t="s">
        <v>211</v>
      </c>
      <c r="C55" s="1460"/>
      <c r="D55" s="1460"/>
      <c r="E55" s="2418"/>
      <c r="F55" s="2417"/>
      <c r="G55" s="1460"/>
      <c r="H55" s="1460"/>
      <c r="I55" s="1460"/>
      <c r="J55" s="1460"/>
      <c r="K55" s="1460"/>
      <c r="L55" s="1485"/>
      <c r="M55" s="1467"/>
      <c r="N55" s="1467"/>
      <c r="P55" s="1462"/>
      <c r="Q55" s="1463"/>
      <c r="R55" s="1462"/>
      <c r="S55" s="1468"/>
      <c r="T55" s="1471" t="s">
        <v>437</v>
      </c>
      <c r="U55" s="1470"/>
      <c r="V55" s="1470"/>
      <c r="W55" s="1470"/>
      <c r="X55" s="1470"/>
      <c r="Y55" s="1470"/>
      <c r="Z55" s="1470"/>
      <c r="AA55" s="1470"/>
      <c r="AB55" s="1470"/>
      <c r="AC55" s="1470"/>
      <c r="AD55" s="1470"/>
      <c r="AE55" s="1470"/>
      <c r="AF55" s="1470"/>
      <c r="AG55" s="1470"/>
      <c r="AH55" s="1470"/>
      <c r="AI55" s="1470"/>
      <c r="AJ55" s="1470"/>
      <c r="AK55" s="1470"/>
      <c r="AL55" s="1470"/>
      <c r="AM55" s="1470"/>
      <c r="AO55" s="935"/>
      <c r="AP55" s="935" t="str">
        <f>IF(T55="","",T55)</f>
        <v>Добавить централизованную систему для дифференциации</v>
      </c>
      <c r="AQ55" s="935"/>
      <c r="AR55" s="935"/>
      <c r="AS55" s="664">
        <v>0</v>
      </c>
    </row>
    <row s="6720" customFormat="1" customHeight="1" ht="0">
      <c r="A56" s="1489" t="s">
        <v>210</v>
      </c>
      <c r="B56" s="1489"/>
      <c r="C56" s="1489"/>
      <c r="D56" s="1489"/>
      <c r="E56" s="2417"/>
      <c r="F56" s="1489"/>
      <c r="G56" s="1489"/>
      <c r="H56" s="1489"/>
      <c r="I56" s="1489"/>
      <c r="J56" s="1489"/>
      <c r="K56" s="1489"/>
      <c r="L56" s="1492"/>
      <c r="M56" s="1467"/>
      <c r="N56" s="1467"/>
      <c r="O56" s="664"/>
      <c r="P56" s="526"/>
      <c r="Q56" s="1490"/>
      <c r="R56" s="526"/>
      <c r="S56" s="1468"/>
      <c r="T56" s="1471" t="s">
        <v>438</v>
      </c>
      <c r="U56" s="1470"/>
      <c r="V56" s="1470"/>
      <c r="W56" s="1470"/>
      <c r="X56" s="1470"/>
      <c r="Y56" s="1470"/>
      <c r="Z56" s="1470"/>
      <c r="AA56" s="1470"/>
      <c r="AB56" s="1470"/>
      <c r="AC56" s="1470"/>
      <c r="AD56" s="1470"/>
      <c r="AE56" s="1470"/>
      <c r="AF56" s="1470"/>
      <c r="AG56" s="1470"/>
      <c r="AH56" s="1470"/>
      <c r="AI56" s="1470"/>
      <c r="AJ56" s="1470"/>
      <c r="AK56" s="1470"/>
      <c r="AL56" s="1470"/>
      <c r="AM56" s="1470"/>
      <c r="AO56" s="646"/>
      <c r="AP56" s="646" t="str">
        <f>IF(T56="","",T56)</f>
        <v>Добавить территорию для дифференциации</v>
      </c>
      <c r="AQ56" s="646"/>
      <c r="AR56" s="646"/>
      <c r="AS56" s="657">
        <v>0</v>
      </c>
    </row>
    <row s="6720" customFormat="1" customHeight="1" ht="4.2">
      <c r="A57" s="1460"/>
      <c r="B57" s="1460"/>
      <c r="C57" s="1460"/>
      <c r="D57" s="1460"/>
      <c r="E57" s="1489"/>
      <c r="F57" s="1460"/>
      <c r="G57" s="1460"/>
      <c r="H57" s="1460"/>
      <c r="I57" s="1460"/>
      <c r="J57" s="1460"/>
      <c r="K57" s="1460"/>
      <c r="L57" s="1485"/>
      <c r="M57" s="1467"/>
      <c r="N57" s="1467"/>
      <c r="P57" s="1462"/>
      <c r="Q57" s="1463"/>
      <c r="R57" s="1462"/>
      <c r="S57" s="1468"/>
      <c r="T57" s="1471" t="s">
        <v>470</v>
      </c>
      <c r="U57" s="1470"/>
      <c r="V57" s="1470"/>
      <c r="W57" s="1470"/>
      <c r="X57" s="1470"/>
      <c r="Y57" s="1470"/>
      <c r="Z57" s="1470"/>
      <c r="AA57" s="1470"/>
      <c r="AB57" s="1470"/>
      <c r="AC57" s="1470"/>
      <c r="AD57" s="1470"/>
      <c r="AE57" s="1470"/>
      <c r="AF57" s="1470"/>
      <c r="AG57" s="1470"/>
      <c r="AH57" s="1470"/>
      <c r="AI57" s="1470"/>
      <c r="AJ57" s="1470"/>
      <c r="AK57" s="1470"/>
      <c r="AL57" s="1470"/>
      <c r="AM57" s="1470"/>
      <c r="AO57" s="935"/>
      <c r="AP57" s="935" t="str">
        <f>IF(T57="","",T57)</f>
        <v>Добавить наименование тарифа</v>
      </c>
      <c r="AQ57" s="935"/>
      <c r="AR57" s="935"/>
      <c r="AS57" s="664">
        <v>4</v>
      </c>
    </row>
    <row customHeight="1" ht="11.549999999999999">
      <c r="M58" s="1306"/>
      <c r="N58" s="1306"/>
      <c r="O58" s="683"/>
      <c r="P58" s="1301"/>
      <c r="Q58" s="1301"/>
      <c r="R58" s="1301"/>
      <c r="S58" s="1301"/>
      <c r="AN58" s="1301"/>
      <c r="AO58" s="1301"/>
      <c r="AP58" s="1301"/>
      <c r="AQ58" s="1301"/>
      <c r="AR58" s="1301"/>
      <c r="AS58" s="1301">
        <v>11</v>
      </c>
    </row>
    <row customHeight="1" ht="14.699999999999998">
      <c r="O59" s="683"/>
      <c r="S59" s="1399"/>
      <c r="T59" s="2444"/>
      <c r="U59" s="2444"/>
      <c r="V59" s="2444"/>
      <c r="W59" s="2444"/>
      <c r="X59" s="2444"/>
      <c r="Y59" s="2444"/>
      <c r="Z59" s="2444"/>
      <c r="AA59" s="2444"/>
      <c r="AB59" s="2444"/>
      <c r="AC59" s="2444"/>
      <c r="AD59" s="2444"/>
      <c r="AE59" s="2444"/>
      <c r="AF59" s="2444"/>
      <c r="AG59" s="2444"/>
      <c r="AH59" s="2444"/>
      <c r="AI59" s="2444"/>
      <c r="AJ59" s="2444"/>
      <c r="AK59" s="2444"/>
      <c r="AL59" s="2444"/>
      <c r="AM59" s="2444"/>
      <c r="AS59" s="1301">
        <v>14</v>
      </c>
    </row>
    <row customHeight="1" ht="14.699999999999998">
      <c r="O60" s="683"/>
      <c r="T60" s="2444"/>
      <c r="U60" s="2444"/>
      <c r="V60" s="2444"/>
      <c r="W60" s="2444"/>
      <c r="X60" s="2444"/>
      <c r="Y60" s="2444"/>
      <c r="Z60" s="2444"/>
      <c r="AA60" s="2444"/>
      <c r="AB60" s="2444"/>
      <c r="AC60" s="2444"/>
      <c r="AD60" s="2444"/>
      <c r="AE60" s="2444"/>
      <c r="AF60" s="2444"/>
      <c r="AG60" s="2444"/>
      <c r="AH60" s="2444"/>
      <c r="AI60" s="2444"/>
      <c r="AJ60" s="2444"/>
      <c r="AK60" s="2444"/>
      <c r="AL60" s="2444"/>
      <c r="AM60" s="2444"/>
      <c r="AS60" s="1301">
        <v>14</v>
      </c>
    </row>
    <row customHeight="1" ht="14.699999999999998">
      <c r="O61" s="683"/>
      <c r="T61" s="2444"/>
      <c r="U61" s="2444"/>
      <c r="V61" s="2444"/>
      <c r="W61" s="2444"/>
      <c r="X61" s="2444"/>
      <c r="Y61" s="2444"/>
      <c r="Z61" s="2444"/>
      <c r="AA61" s="2444"/>
      <c r="AB61" s="2444"/>
      <c r="AC61" s="2444"/>
      <c r="AD61" s="2444"/>
      <c r="AE61" s="2444"/>
      <c r="AF61" s="2444"/>
      <c r="AG61" s="2444"/>
      <c r="AH61" s="2444"/>
      <c r="AI61" s="2444"/>
      <c r="AJ61" s="2444"/>
      <c r="AK61" s="2444"/>
      <c r="AL61" s="2444"/>
      <c r="AM61" s="2444"/>
      <c r="AS61" s="1301">
        <v>14</v>
      </c>
    </row>
    <row customHeight="1" ht="14.699999999999998">
      <c r="O62" s="683"/>
      <c r="AS62" s="1301">
        <v>14</v>
      </c>
    </row>
    <row customHeight="1" ht="14.699999999999998">
      <c r="O63" s="683"/>
      <c r="S63" s="1399"/>
      <c r="T63" s="2458"/>
      <c r="U63" s="2444"/>
      <c r="V63" s="2444"/>
      <c r="W63" s="2444"/>
      <c r="X63" s="2444"/>
      <c r="Y63" s="2444"/>
      <c r="Z63" s="2444"/>
      <c r="AA63" s="2444"/>
      <c r="AB63" s="2444"/>
      <c r="AC63" s="2444"/>
      <c r="AD63" s="2444"/>
      <c r="AE63" s="2444"/>
      <c r="AF63" s="2444"/>
      <c r="AG63" s="2444"/>
      <c r="AH63" s="2444"/>
      <c r="AI63" s="2444"/>
      <c r="AJ63" s="2444"/>
      <c r="AK63" s="2444"/>
      <c r="AL63" s="2444"/>
      <c r="AM63" s="2444"/>
      <c r="AS63" s="1301">
        <v>14</v>
      </c>
    </row>
    <row customHeight="1" ht="14.699999999999998">
      <c r="O64" s="683"/>
      <c r="T64" s="2444"/>
      <c r="U64" s="2444"/>
      <c r="V64" s="2444"/>
      <c r="W64" s="2444"/>
      <c r="X64" s="2444"/>
      <c r="Y64" s="2444"/>
      <c r="Z64" s="2444"/>
      <c r="AA64" s="2444"/>
      <c r="AB64" s="2444"/>
      <c r="AC64" s="2444"/>
      <c r="AD64" s="2444"/>
      <c r="AE64" s="2444"/>
      <c r="AF64" s="2444"/>
      <c r="AG64" s="2444"/>
      <c r="AH64" s="2444"/>
      <c r="AI64" s="2444"/>
      <c r="AJ64" s="2444"/>
      <c r="AK64" s="2444"/>
      <c r="AL64" s="2444"/>
      <c r="AM64" s="2444"/>
      <c r="AS64" s="1301">
        <v>14</v>
      </c>
    </row>
    <row customHeight="1" ht="14.699999999999998">
      <c r="T65" s="2444"/>
      <c r="U65" s="2444"/>
      <c r="V65" s="2444"/>
      <c r="W65" s="2444"/>
      <c r="X65" s="2444"/>
      <c r="Y65" s="2444"/>
      <c r="Z65" s="2444"/>
      <c r="AA65" s="2444"/>
      <c r="AB65" s="2444"/>
      <c r="AC65" s="2444"/>
      <c r="AD65" s="2444"/>
      <c r="AE65" s="2444"/>
      <c r="AF65" s="2444"/>
      <c r="AG65" s="2444"/>
      <c r="AH65" s="2444"/>
      <c r="AI65" s="2444"/>
      <c r="AJ65" s="2444"/>
      <c r="AK65" s="2444"/>
      <c r="AL65" s="2444"/>
      <c r="AM65" s="2444"/>
      <c r="AS65" s="1301">
        <v>14</v>
      </c>
    </row>
    <row customHeight="1" ht="22.5" hidden="1">
      <c r="A66" s="1306" t="s">
        <v>83</v>
      </c>
      <c r="B66" s="1306">
        <v>0</v>
      </c>
      <c r="C66" s="1306">
        <v>0</v>
      </c>
      <c r="D66" s="1306">
        <v>0</v>
      </c>
      <c r="E66" s="1306">
        <v>0</v>
      </c>
      <c r="F66" s="1306">
        <v>0</v>
      </c>
      <c r="G66" s="1306">
        <v>0</v>
      </c>
      <c r="H66" s="1306">
        <v>0</v>
      </c>
      <c r="I66" s="1306">
        <v>0</v>
      </c>
      <c r="J66" s="1306">
        <v>0</v>
      </c>
      <c r="K66" s="1306">
        <v>0</v>
      </c>
      <c r="L66" s="1475">
        <v>0</v>
      </c>
      <c r="M66" s="1508">
        <v>0</v>
      </c>
      <c r="N66" s="1508">
        <v>0</v>
      </c>
      <c r="O66" s="1508">
        <v>0</v>
      </c>
      <c r="P66" s="1474">
        <v>0</v>
      </c>
      <c r="Q66" s="490">
        <v>3</v>
      </c>
      <c r="R66" s="490">
        <v>3</v>
      </c>
      <c r="S66" s="727">
        <v>12</v>
      </c>
      <c r="T66" s="1301">
        <v>31</v>
      </c>
      <c r="U66" s="1301">
        <v>0</v>
      </c>
      <c r="V66" s="1301">
        <v>0</v>
      </c>
      <c r="W66" s="1301">
        <v>0</v>
      </c>
      <c r="X66" s="1301">
        <v>0</v>
      </c>
      <c r="Y66" s="1301">
        <v>0</v>
      </c>
      <c r="Z66" s="1301">
        <v>0</v>
      </c>
      <c r="AA66" s="1301">
        <v>0</v>
      </c>
      <c r="AB66" s="1301">
        <v>0</v>
      </c>
      <c r="AC66" s="1301">
        <v>0</v>
      </c>
      <c r="AD66" s="1301">
        <v>24</v>
      </c>
      <c r="AE66" s="1301">
        <v>0</v>
      </c>
      <c r="AF66" s="1301">
        <v>24</v>
      </c>
      <c r="AG66" s="1301">
        <v>24</v>
      </c>
      <c r="AH66" s="1301">
        <v>11</v>
      </c>
      <c r="AI66" s="1301">
        <v>3</v>
      </c>
      <c r="AJ66" s="1301">
        <v>11</v>
      </c>
      <c r="AK66" s="1301">
        <v>0</v>
      </c>
      <c r="AL66" s="1301">
        <v>4</v>
      </c>
      <c r="AM66" s="1301">
        <v>115</v>
      </c>
      <c r="AN66" s="657">
        <v>10</v>
      </c>
      <c r="AO66" s="657">
        <v>10</v>
      </c>
      <c r="AP66" s="657">
        <v>10</v>
      </c>
      <c r="AQ66" s="657">
        <v>10</v>
      </c>
      <c r="AR66" s="657">
        <v>10</v>
      </c>
      <c r="AS66" s="1301">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566136-603A-8FAD-5A7E-0.C5D2E2EE}"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7235" width="10.57421875" hidden="1"/>
    <col min="2" max="2" style="7235" width="11.00390625" hidden="1" customWidth="1"/>
    <col min="3" max="3" style="7235" width="10.57421875" hidden="1"/>
    <col min="4" max="4" style="7235" width="11.8515625" hidden="1" customWidth="1"/>
    <col min="5" max="5" style="7235" width="10.00390625" hidden="1" customWidth="1"/>
    <col min="6" max="6" style="7235" width="8.7109375" hidden="1" customWidth="1"/>
    <col min="7" max="7" style="7235" width="7.57421875" hidden="1" customWidth="1"/>
    <col min="8" max="8" style="7235" width="11.421875" hidden="1" customWidth="1"/>
    <col min="9" max="9" style="7235" width="12.00390625" hidden="1" customWidth="1"/>
    <col min="10" max="10" style="7235" width="9.8515625" hidden="1" customWidth="1"/>
    <col min="11" max="12" style="7235" width="11.421875" hidden="1" customWidth="1"/>
    <col min="13" max="13" style="7917" width="19.140625" hidden="1" customWidth="1"/>
    <col min="14" max="15" style="7938" width="12.28125" hidden="1" customWidth="1"/>
    <col min="16" max="16" style="7938" width="23.421875" hidden="1" customWidth="1"/>
    <col min="17" max="17" style="7938" width="3.7109375" hidden="1" customWidth="1"/>
    <col min="18" max="20" style="7205" width="3.00390625" customWidth="1"/>
    <col min="21" max="21" style="7910" width="12.00390625" customWidth="1"/>
    <col min="22" max="22" style="7235" width="31.00390625" customWidth="1"/>
    <col min="23" max="23" style="7235" width="0.140625" customWidth="1"/>
    <col min="24" max="28" style="7235" width="21.7109375" hidden="1" customWidth="1"/>
    <col min="29" max="29" style="7235" width="11.7109375" hidden="1" customWidth="1"/>
    <col min="30" max="30" style="7235" width="3.7109375" hidden="1" customWidth="1"/>
    <col min="31" max="31" style="7235" width="11.7109375" hidden="1" customWidth="1"/>
    <col min="32" max="32" style="7235" width="8.57421875" hidden="1" customWidth="1"/>
    <col min="33" max="33" style="7235" width="21.7109375" customWidth="1"/>
    <col min="34" max="37" style="7235" width="21.00390625" customWidth="1"/>
    <col min="38" max="38" style="7235" width="11.00390625" customWidth="1"/>
    <col min="39" max="39" style="7235" width="3.7109375" customWidth="1"/>
    <col min="40" max="40" style="7235" width="11.00390625" customWidth="1"/>
    <col min="41" max="41" style="7235" width="8.57421875" hidden="1" customWidth="1"/>
    <col min="42" max="42" style="7235" width="4.00390625" customWidth="1"/>
    <col min="43" max="43" style="7235" width="115.00390625" customWidth="1"/>
    <col min="44" max="48" style="6720" width="10.00390625" customWidth="1"/>
    <col min="49" max="49" style="7235" width="10.57421875" hidden="1"/>
  </cols>
  <sheetData>
    <row customHeight="1" ht="22.5" hidden="1">
      <c r="AB1" s="473"/>
      <c r="AC1" s="473"/>
      <c r="AK1" s="473"/>
      <c r="AL1" s="473"/>
      <c r="AW1" s="1301" t="s">
        <v>14</v>
      </c>
    </row>
    <row customHeight="1" ht="21" hidden="1">
      <c r="A2" s="1413"/>
      <c r="B2" s="1413"/>
      <c r="C2" s="1413"/>
      <c r="D2" s="1413"/>
      <c r="E2" s="2448">
        <v>1</v>
      </c>
      <c r="F2" s="1413"/>
      <c r="G2" s="1413"/>
      <c r="H2" s="1413"/>
      <c r="I2" s="1413"/>
      <c r="J2" s="1413"/>
      <c r="K2" s="1413"/>
      <c r="L2" s="1413"/>
      <c r="M2" s="1456"/>
      <c r="N2" s="834"/>
      <c r="O2" s="834"/>
      <c r="P2" s="834"/>
      <c r="Q2" s="507"/>
      <c r="R2" s="506"/>
      <c r="S2" s="506"/>
      <c r="T2" s="501"/>
      <c r="U2" s="1482">
        <f>INDEX(PT_DIFFERENTIATION_NUM_NTAR,MATCH(A2,PT_DIFFERENTIATION_NTAR_ID,0))</f>
      </c>
      <c r="V2" s="444" t="s">
        <v>147</v>
      </c>
      <c r="W2" s="446"/>
      <c r="X2" s="2401"/>
      <c r="Y2" s="2402"/>
      <c r="Z2" s="2402"/>
      <c r="AA2" s="2402"/>
      <c r="AB2" s="2402"/>
      <c r="AC2" s="2402"/>
      <c r="AD2" s="2402"/>
      <c r="AE2" s="2402"/>
      <c r="AF2" s="2403"/>
      <c r="AG2" s="2401">
        <f>INDEX(PT_DIFFERENTIATION_NTAR,MATCH(A2,PT_DIFFERENTIATION_NTAR_ID,0))</f>
      </c>
      <c r="AH2" s="2402"/>
      <c r="AI2" s="2402"/>
      <c r="AJ2" s="2402"/>
      <c r="AK2" s="2402"/>
      <c r="AL2" s="2402"/>
      <c r="AM2" s="2402"/>
      <c r="AN2" s="2402"/>
      <c r="AO2" s="2402"/>
      <c r="AP2" s="2403"/>
      <c r="AQ2" s="1404" t="s">
        <v>418</v>
      </c>
      <c r="AS2" s="646"/>
      <c r="AT2" s="646" t="str">
        <f>IF(V2="","",V2)</f>
        <v>Наименование тарифа</v>
      </c>
      <c r="AU2" s="646"/>
      <c r="AV2" s="646"/>
      <c r="AW2" s="1301">
        <v>0</v>
      </c>
    </row>
    <row customHeight="1" ht="21" hidden="1">
      <c r="A3" s="1413"/>
      <c r="B3" s="1413"/>
      <c r="C3" s="1413"/>
      <c r="D3" s="1413"/>
      <c r="E3" s="2449"/>
      <c r="F3" s="2448">
        <v>1</v>
      </c>
      <c r="G3" s="1413"/>
      <c r="H3" s="1413"/>
      <c r="I3" s="1413"/>
      <c r="J3" s="1413"/>
      <c r="K3" s="1413"/>
      <c r="L3" s="1413"/>
      <c r="M3" s="1456"/>
      <c r="N3" s="834"/>
      <c r="O3" s="834"/>
      <c r="P3" s="834"/>
      <c r="Q3" s="1478"/>
      <c r="R3" s="498"/>
      <c r="S3" s="655"/>
      <c r="T3" s="499"/>
      <c r="U3" s="1482">
        <f>INDEX(PT_DIFFERENTIATION_NUM_TER,MATCH(B3,PT_DIFFERENTIATION_TER_ID,0))</f>
      </c>
      <c r="V3" s="454" t="s">
        <v>419</v>
      </c>
      <c r="W3" s="446"/>
      <c r="X3" s="2401"/>
      <c r="Y3" s="2402"/>
      <c r="Z3" s="2402"/>
      <c r="AA3" s="2402"/>
      <c r="AB3" s="2402"/>
      <c r="AC3" s="2402"/>
      <c r="AD3" s="2402"/>
      <c r="AE3" s="2402"/>
      <c r="AF3" s="2403"/>
      <c r="AG3" s="2401">
        <f>INDEX(PT_DIFFERENTIATION_TER,MATCH(B3,PT_DIFFERENTIATION_TER_ID,0))</f>
      </c>
      <c r="AH3" s="2402"/>
      <c r="AI3" s="2402"/>
      <c r="AJ3" s="2402"/>
      <c r="AK3" s="2402"/>
      <c r="AL3" s="2402"/>
      <c r="AM3" s="2402"/>
      <c r="AN3" s="2402"/>
      <c r="AO3" s="2402"/>
      <c r="AP3" s="2403"/>
      <c r="AQ3" s="1404" t="s">
        <v>420</v>
      </c>
      <c r="AS3" s="646"/>
      <c r="AT3" s="646" t="str">
        <f>IF(V3="","",V3)</f>
        <v>Территория действия тарифа</v>
      </c>
      <c r="AU3" s="646"/>
      <c r="AV3" s="646"/>
      <c r="AW3" s="1301">
        <v>0</v>
      </c>
    </row>
    <row customHeight="1" ht="22.5" hidden="1">
      <c r="A4" s="1413"/>
      <c r="B4" s="1413"/>
      <c r="C4" s="1413"/>
      <c r="D4" s="1413"/>
      <c r="E4" s="2449"/>
      <c r="F4" s="2449"/>
      <c r="G4" s="2448">
        <v>1</v>
      </c>
      <c r="H4" s="1413"/>
      <c r="I4" s="1413"/>
      <c r="J4" s="1413"/>
      <c r="K4" s="1413"/>
      <c r="L4" s="1413"/>
      <c r="M4" s="1456"/>
      <c r="N4" s="834"/>
      <c r="O4" s="834"/>
      <c r="P4" s="834"/>
      <c r="Q4" s="500"/>
      <c r="R4" s="498"/>
      <c r="S4" s="655"/>
      <c r="T4" s="499"/>
      <c r="U4" s="1482">
        <f>INDEX(PT_DIFFERENTIATION_NUM_CS,MATCH(C4,PT_DIFFERENTIATION_CS_ID,0))</f>
      </c>
      <c r="V4" s="455" t="s">
        <v>421</v>
      </c>
      <c r="W4" s="446"/>
      <c r="X4" s="2401"/>
      <c r="Y4" s="2402"/>
      <c r="Z4" s="2402"/>
      <c r="AA4" s="2402"/>
      <c r="AB4" s="2402"/>
      <c r="AC4" s="2402"/>
      <c r="AD4" s="2402"/>
      <c r="AE4" s="2402"/>
      <c r="AF4" s="2403"/>
      <c r="AG4" s="2401">
        <f>INDEX(PT_DIFFERENTIATION_CS,MATCH(C4,PT_DIFFERENTIATION_CS_ID,0))</f>
      </c>
      <c r="AH4" s="2402"/>
      <c r="AI4" s="2402"/>
      <c r="AJ4" s="2402"/>
      <c r="AK4" s="2402"/>
      <c r="AL4" s="2402"/>
      <c r="AM4" s="2402"/>
      <c r="AN4" s="2402"/>
      <c r="AO4" s="2402"/>
      <c r="AP4" s="2403"/>
      <c r="AQ4" s="1404" t="s">
        <v>422</v>
      </c>
      <c r="AS4" s="646"/>
      <c r="AT4" s="646" t="str">
        <f>IF(V4="","",V4)</f>
        <v>Наименование системы теплоснабжения </v>
      </c>
      <c r="AU4" s="646"/>
      <c r="AV4" s="646"/>
      <c r="AW4" s="1301">
        <v>0</v>
      </c>
    </row>
    <row customHeight="1" ht="21" hidden="1">
      <c r="A5" s="1413"/>
      <c r="B5" s="1413"/>
      <c r="C5" s="1413"/>
      <c r="D5" s="1413"/>
      <c r="E5" s="2449"/>
      <c r="F5" s="2449"/>
      <c r="G5" s="2449"/>
      <c r="H5" s="2448">
        <v>1</v>
      </c>
      <c r="I5" s="1413"/>
      <c r="J5" s="1413"/>
      <c r="K5" s="1413"/>
      <c r="L5" s="1413"/>
      <c r="M5" s="1456"/>
      <c r="N5" s="834"/>
      <c r="O5" s="834"/>
      <c r="P5" s="834"/>
      <c r="Q5" s="500"/>
      <c r="R5" s="498"/>
      <c r="S5" s="655"/>
      <c r="T5" s="499"/>
      <c r="U5" s="1482">
        <f>INDEX(PT_DIFFERENTIATION_NUM_IST_TE,MATCH(D5,PT_DIFFERENTIATION_IST_TE_ID,0))</f>
      </c>
      <c r="V5" s="456" t="s">
        <v>423</v>
      </c>
      <c r="W5" s="446"/>
      <c r="X5" s="2401"/>
      <c r="Y5" s="2402"/>
      <c r="Z5" s="2402"/>
      <c r="AA5" s="2402"/>
      <c r="AB5" s="2402"/>
      <c r="AC5" s="2402"/>
      <c r="AD5" s="2402"/>
      <c r="AE5" s="2402"/>
      <c r="AF5" s="2403"/>
      <c r="AG5" s="2401">
        <f>INDEX(PT_DIFFERENTIATION_IST_TE,MATCH(D5,PT_DIFFERENTIATION_IST_TE_ID,0))</f>
      </c>
      <c r="AH5" s="2402"/>
      <c r="AI5" s="2402"/>
      <c r="AJ5" s="2402"/>
      <c r="AK5" s="2402"/>
      <c r="AL5" s="2402"/>
      <c r="AM5" s="2402"/>
      <c r="AN5" s="2402"/>
      <c r="AO5" s="2402"/>
      <c r="AP5" s="2403"/>
      <c r="AQ5" s="1404" t="s">
        <v>424</v>
      </c>
      <c r="AS5" s="646"/>
      <c r="AT5" s="646" t="str">
        <f>IF(V5="","",V5)</f>
        <v>Источник тепловой энергии  </v>
      </c>
      <c r="AU5" s="646"/>
      <c r="AV5" s="646"/>
      <c r="AW5" s="1301">
        <v>0</v>
      </c>
    </row>
    <row customHeight="1" ht="14.25" hidden="1">
      <c r="A6" s="1413"/>
      <c r="B6" s="1413"/>
      <c r="C6" s="1413"/>
      <c r="D6" s="1413"/>
      <c r="E6" s="2449"/>
      <c r="F6" s="2449"/>
      <c r="G6" s="2449"/>
      <c r="H6" s="2449"/>
      <c r="I6" s="2286">
        <f>U5&amp;".1"</f>
      </c>
      <c r="J6" s="1413"/>
      <c r="K6" s="1413"/>
      <c r="L6" s="1413"/>
      <c r="M6" s="1456" t="s">
        <v>425</v>
      </c>
      <c r="N6" s="655"/>
      <c r="Q6" s="2416">
        <v>1</v>
      </c>
      <c r="R6" s="1477"/>
      <c r="S6" s="1477"/>
      <c r="T6" s="502"/>
      <c r="U6" s="1188"/>
      <c r="V6" s="1529"/>
      <c r="W6" s="1530"/>
      <c r="X6" s="2455"/>
      <c r="Y6" s="2456"/>
      <c r="Z6" s="2456"/>
      <c r="AA6" s="2456"/>
      <c r="AB6" s="2456"/>
      <c r="AC6" s="2456"/>
      <c r="AD6" s="2456"/>
      <c r="AE6" s="2456"/>
      <c r="AF6" s="2457"/>
      <c r="AG6" s="2455"/>
      <c r="AH6" s="2456"/>
      <c r="AI6" s="2456"/>
      <c r="AJ6" s="2456"/>
      <c r="AK6" s="2456"/>
      <c r="AL6" s="2456"/>
      <c r="AM6" s="2456"/>
      <c r="AN6" s="2456"/>
      <c r="AO6" s="2456"/>
      <c r="AP6" s="2457"/>
      <c r="AQ6" s="1531"/>
      <c r="AS6" s="646"/>
      <c r="AT6" s="646" t="str">
        <f>IF(V6="","",V6)</f>
        <v/>
      </c>
      <c r="AU6" s="646"/>
      <c r="AV6" s="646"/>
      <c r="AW6" s="1301">
        <v>0</v>
      </c>
    </row>
    <row customHeight="1" ht="21" hidden="1">
      <c r="A7" s="1413"/>
      <c r="B7" s="1413"/>
      <c r="C7" s="1413"/>
      <c r="D7" s="1413"/>
      <c r="E7" s="2449"/>
      <c r="F7" s="2449"/>
      <c r="G7" s="2449"/>
      <c r="H7" s="2449"/>
      <c r="I7" s="2260"/>
      <c r="J7" s="2286">
        <f>I6&amp;".1"</f>
      </c>
      <c r="K7" s="1413"/>
      <c r="L7" s="1413"/>
      <c r="M7" s="1456" t="s">
        <v>428</v>
      </c>
      <c r="N7" s="655"/>
      <c r="O7" s="473"/>
      <c r="Q7" s="2416"/>
      <c r="R7" s="2416">
        <v>1</v>
      </c>
      <c r="S7" s="664"/>
      <c r="T7" s="503"/>
      <c r="U7" s="1482">
        <f>$J7</f>
      </c>
      <c r="V7" s="432" t="s">
        <v>429</v>
      </c>
      <c r="W7" s="446"/>
      <c r="X7" s="2404"/>
      <c r="Y7" s="2405"/>
      <c r="Z7" s="2405"/>
      <c r="AA7" s="2405"/>
      <c r="AB7" s="2405"/>
      <c r="AC7" s="2394"/>
      <c r="AD7" s="2394"/>
      <c r="AE7" s="2394"/>
      <c r="AF7" s="2467"/>
      <c r="AG7" s="2404"/>
      <c r="AH7" s="2405"/>
      <c r="AI7" s="2405"/>
      <c r="AJ7" s="2405"/>
      <c r="AK7" s="2405"/>
      <c r="AL7" s="2405"/>
      <c r="AM7" s="2405"/>
      <c r="AN7" s="2405"/>
      <c r="AO7" s="2405"/>
      <c r="AP7" s="2406"/>
      <c r="AQ7" s="1404" t="s">
        <v>430</v>
      </c>
      <c r="AS7" s="646"/>
      <c r="AT7" s="646" t="str">
        <f>IF(V7="","",V7)</f>
        <v>Группа потребителей</v>
      </c>
      <c r="AU7" s="646"/>
      <c r="AV7" s="646"/>
      <c r="AW7" s="1301">
        <v>0</v>
      </c>
    </row>
    <row customHeight="1" ht="21" hidden="1">
      <c r="A8" s="1413"/>
      <c r="B8" s="1413"/>
      <c r="C8" s="1413"/>
      <c r="D8" s="1413"/>
      <c r="E8" s="2449"/>
      <c r="F8" s="2449"/>
      <c r="G8" s="2449"/>
      <c r="H8" s="2449"/>
      <c r="I8" s="2260"/>
      <c r="J8" s="2260"/>
      <c r="K8" s="2286">
        <f>J7&amp;".1"</f>
      </c>
      <c r="L8" s="285"/>
      <c r="M8" s="1456" t="s">
        <v>431</v>
      </c>
      <c r="N8" s="655"/>
      <c r="O8" s="473"/>
      <c r="P8" s="473"/>
      <c r="Q8" s="2416"/>
      <c r="R8" s="2416"/>
      <c r="S8" s="2416">
        <v>1</v>
      </c>
      <c r="T8" s="503"/>
      <c r="U8" s="1482">
        <f>$K8</f>
      </c>
      <c r="V8" s="1493"/>
      <c r="W8" s="446"/>
      <c r="X8" s="897"/>
      <c r="Y8" s="897"/>
      <c r="Z8" s="897"/>
      <c r="AA8" s="897"/>
      <c r="AB8" s="1551"/>
      <c r="AC8" s="2424"/>
      <c r="AD8" s="2266" t="s">
        <v>63</v>
      </c>
      <c r="AE8" s="2424"/>
      <c r="AF8" s="2266" t="s">
        <v>63</v>
      </c>
      <c r="AG8" s="1553"/>
      <c r="AH8" s="897"/>
      <c r="AI8" s="897"/>
      <c r="AJ8" s="897"/>
      <c r="AK8" s="1403"/>
      <c r="AL8" s="2424"/>
      <c r="AM8" s="2266" t="s">
        <v>63</v>
      </c>
      <c r="AN8" s="2424"/>
      <c r="AO8" s="2266" t="s">
        <v>63</v>
      </c>
      <c r="AP8" s="471"/>
      <c r="AQ8" s="1453" t="s">
        <v>474</v>
      </c>
      <c r="AR8" s="657">
        <f>STRCHECKDATE(X10:AP10)</f>
      </c>
      <c r="AS8" s="646"/>
      <c r="AT8" s="646" t="str">
        <f>IF(V8="","",V8)</f>
        <v/>
      </c>
      <c r="AU8" s="646"/>
      <c r="AV8" s="646"/>
      <c r="AW8" s="1301">
        <v>0</v>
      </c>
    </row>
    <row customHeight="1" ht="21" hidden="1">
      <c r="A9" s="1413"/>
      <c r="B9" s="1413"/>
      <c r="C9" s="1413"/>
      <c r="D9" s="1413"/>
      <c r="E9" s="2449"/>
      <c r="F9" s="2449"/>
      <c r="G9" s="2449"/>
      <c r="H9" s="2449"/>
      <c r="I9" s="2260"/>
      <c r="J9" s="2260"/>
      <c r="K9" s="2260"/>
      <c r="L9" s="2286">
        <f>K8&amp;".1"</f>
      </c>
      <c r="M9" s="1456"/>
      <c r="N9" s="655"/>
      <c r="O9" s="473"/>
      <c r="P9" s="473"/>
      <c r="Q9" s="2416"/>
      <c r="R9" s="2416"/>
      <c r="S9" s="2416"/>
      <c r="T9" s="503"/>
      <c r="U9" s="1482">
        <f>$L9</f>
      </c>
      <c r="V9" s="1537"/>
      <c r="W9" s="446"/>
      <c r="X9" s="471"/>
      <c r="Y9" s="897"/>
      <c r="Z9" s="897"/>
      <c r="AA9" s="897"/>
      <c r="AB9" s="1551"/>
      <c r="AC9" s="2468"/>
      <c r="AD9" s="2266"/>
      <c r="AE9" s="2468"/>
      <c r="AF9" s="2266"/>
      <c r="AG9" s="1553"/>
      <c r="AH9" s="897"/>
      <c r="AI9" s="897"/>
      <c r="AJ9" s="897"/>
      <c r="AK9" s="1403"/>
      <c r="AL9" s="2468"/>
      <c r="AM9" s="2266"/>
      <c r="AN9" s="2468"/>
      <c r="AO9" s="2266"/>
      <c r="AP9" s="471"/>
      <c r="AQ9" s="2412" t="s">
        <v>475</v>
      </c>
      <c r="AS9" s="646"/>
      <c r="AT9" s="646"/>
      <c r="AU9" s="646"/>
      <c r="AV9" s="646"/>
      <c r="AW9" s="1301">
        <v>0</v>
      </c>
    </row>
    <row customHeight="1" ht="14.25" hidden="1">
      <c r="A10" s="1413"/>
      <c r="B10" s="1413"/>
      <c r="C10" s="1413"/>
      <c r="D10" s="1413"/>
      <c r="E10" s="2449"/>
      <c r="F10" s="2449"/>
      <c r="G10" s="2449"/>
      <c r="H10" s="2449"/>
      <c r="I10" s="2260"/>
      <c r="J10" s="2260"/>
      <c r="K10" s="2260"/>
      <c r="L10" s="2286"/>
      <c r="M10" s="1456"/>
      <c r="N10" s="655"/>
      <c r="O10" s="473"/>
      <c r="P10" s="473"/>
      <c r="Q10" s="2416"/>
      <c r="R10" s="2416"/>
      <c r="S10" s="2416"/>
      <c r="T10" s="503"/>
      <c r="U10" s="1488"/>
      <c r="V10" s="446"/>
      <c r="W10" s="446"/>
      <c r="X10" s="471"/>
      <c r="Y10" s="471"/>
      <c r="Z10" s="471"/>
      <c r="AA10" s="471"/>
      <c r="AB10" s="1552" t="str">
        <f>AC8&amp;"-"&amp;AE8</f>
        <v>-</v>
      </c>
      <c r="AC10" s="2468"/>
      <c r="AD10" s="2266"/>
      <c r="AE10" s="2468"/>
      <c r="AF10" s="2266"/>
      <c r="AG10" s="1528"/>
      <c r="AH10" s="471"/>
      <c r="AI10" s="471"/>
      <c r="AJ10" s="471"/>
      <c r="AK10" s="474" t="str">
        <f>AL8&amp;"-"&amp;AN8</f>
        <v>-</v>
      </c>
      <c r="AL10" s="2468"/>
      <c r="AM10" s="2266"/>
      <c r="AN10" s="2468"/>
      <c r="AO10" s="2266"/>
      <c r="AP10" s="471"/>
      <c r="AQ10" s="2413"/>
      <c r="AS10" s="646"/>
      <c r="AT10" s="646" t="str">
        <f>IF(V10="","",V10)</f>
        <v/>
      </c>
      <c r="AU10" s="646"/>
      <c r="AV10" s="646"/>
      <c r="AW10" s="1301">
        <v>0</v>
      </c>
    </row>
    <row customHeight="1" ht="11.25" hidden="1">
      <c r="A11" s="1413"/>
      <c r="B11" s="1413"/>
      <c r="C11" s="1413"/>
      <c r="D11" s="1413"/>
      <c r="E11" s="2449"/>
      <c r="F11" s="2449"/>
      <c r="G11" s="2449"/>
      <c r="H11" s="2449"/>
      <c r="I11" s="2260"/>
      <c r="J11" s="2260"/>
      <c r="K11" s="2286"/>
      <c r="L11" s="1413"/>
      <c r="M11" s="1456"/>
      <c r="N11" s="655"/>
      <c r="O11" s="473"/>
      <c r="P11" s="473"/>
      <c r="Q11" s="2416"/>
      <c r="R11" s="2416"/>
      <c r="S11" s="2416"/>
      <c r="T11" s="503"/>
      <c r="U11" s="1424"/>
      <c r="V11" s="434" t="s">
        <v>476</v>
      </c>
      <c r="W11" s="1538"/>
      <c r="X11" s="1539"/>
      <c r="Y11" s="1539"/>
      <c r="Z11" s="1539"/>
      <c r="AA11" s="1539"/>
      <c r="AB11" s="1540"/>
      <c r="AC11" s="2468"/>
      <c r="AD11" s="2266"/>
      <c r="AE11" s="2468"/>
      <c r="AF11" s="2266"/>
      <c r="AG11" s="1539"/>
      <c r="AH11" s="1539"/>
      <c r="AI11" s="1539"/>
      <c r="AJ11" s="1539"/>
      <c r="AK11" s="1540"/>
      <c r="AL11" s="2468"/>
      <c r="AM11" s="2266"/>
      <c r="AN11" s="2468"/>
      <c r="AO11" s="2266"/>
      <c r="AP11" s="1541"/>
      <c r="AQ11" s="2413"/>
      <c r="AS11" s="646"/>
      <c r="AT11" s="646"/>
      <c r="AU11" s="646"/>
      <c r="AV11" s="646"/>
      <c r="AW11" s="1301">
        <v>0</v>
      </c>
    </row>
    <row customHeight="1" ht="15" hidden="1">
      <c r="A12" s="1413"/>
      <c r="B12" s="1413"/>
      <c r="C12" s="1413"/>
      <c r="D12" s="1413"/>
      <c r="E12" s="2449"/>
      <c r="F12" s="2449"/>
      <c r="G12" s="2449"/>
      <c r="H12" s="2449"/>
      <c r="I12" s="2260"/>
      <c r="J12" s="2286"/>
      <c r="K12" s="1413"/>
      <c r="L12" s="1413"/>
      <c r="M12" s="1456"/>
      <c r="N12" s="655"/>
      <c r="O12" s="473"/>
      <c r="Q12" s="2416"/>
      <c r="R12" s="2416"/>
      <c r="S12" s="1477"/>
      <c r="T12" s="502"/>
      <c r="U12" s="1424"/>
      <c r="V12" s="433" t="s">
        <v>433</v>
      </c>
      <c r="W12" s="513"/>
      <c r="X12" s="513"/>
      <c r="Y12" s="513"/>
      <c r="Z12" s="513"/>
      <c r="AA12" s="513"/>
      <c r="AB12" s="513"/>
      <c r="AC12" s="1554"/>
      <c r="AD12" s="1554"/>
      <c r="AE12" s="1554"/>
      <c r="AF12" s="1554"/>
      <c r="AG12" s="513"/>
      <c r="AH12" s="513"/>
      <c r="AI12" s="513"/>
      <c r="AJ12" s="513"/>
      <c r="AK12" s="513"/>
      <c r="AL12" s="513"/>
      <c r="AM12" s="513"/>
      <c r="AN12" s="513"/>
      <c r="AO12" s="513"/>
      <c r="AP12" s="470"/>
      <c r="AQ12" s="2414"/>
      <c r="AS12" s="646"/>
      <c r="AT12" s="646" t="str">
        <f>IF(V12="","",V12)</f>
        <v>Добавить вид теплоносителя (параметры теплоносителя)</v>
      </c>
      <c r="AU12" s="646"/>
      <c r="AV12" s="646"/>
      <c r="AW12" s="1301">
        <v>0</v>
      </c>
    </row>
    <row customHeight="1" ht="11.25" hidden="1">
      <c r="A13" s="1413"/>
      <c r="B13" s="1413"/>
      <c r="C13" s="1413"/>
      <c r="D13" s="1413"/>
      <c r="E13" s="2449"/>
      <c r="F13" s="2449"/>
      <c r="G13" s="2449"/>
      <c r="H13" s="2449"/>
      <c r="I13" s="2286"/>
      <c r="J13" s="1413"/>
      <c r="K13" s="1413"/>
      <c r="L13" s="1413"/>
      <c r="M13" s="1456"/>
      <c r="N13" s="655"/>
      <c r="Q13" s="2416"/>
      <c r="R13" s="1477"/>
      <c r="S13" s="1477"/>
      <c r="T13" s="502"/>
      <c r="U13" s="1424"/>
      <c r="V13" s="511" t="s">
        <v>434</v>
      </c>
      <c r="W13" s="513"/>
      <c r="X13" s="513"/>
      <c r="Y13" s="513"/>
      <c r="Z13" s="513"/>
      <c r="AA13" s="513"/>
      <c r="AB13" s="513"/>
      <c r="AC13" s="513"/>
      <c r="AD13" s="513"/>
      <c r="AE13" s="513"/>
      <c r="AF13" s="512"/>
      <c r="AG13" s="513"/>
      <c r="AH13" s="513"/>
      <c r="AI13" s="513"/>
      <c r="AJ13" s="513"/>
      <c r="AK13" s="513"/>
      <c r="AL13" s="513"/>
      <c r="AM13" s="513"/>
      <c r="AN13" s="513"/>
      <c r="AO13" s="512"/>
      <c r="AP13" s="513"/>
      <c r="AQ13" s="449"/>
      <c r="AS13" s="646"/>
      <c r="AT13" s="646" t="str">
        <f>IF(V13="","",V13)</f>
        <v>Добавить группу потребителей</v>
      </c>
      <c r="AU13" s="646"/>
      <c r="AV13" s="646"/>
      <c r="AW13" s="1301">
        <v>0</v>
      </c>
    </row>
    <row customHeight="1" ht="14.25" hidden="1">
      <c r="A14" s="1413"/>
      <c r="B14" s="1413"/>
      <c r="C14" s="1413"/>
      <c r="D14" s="1413"/>
      <c r="E14" s="2449"/>
      <c r="F14" s="2449"/>
      <c r="G14" s="2449"/>
      <c r="H14" s="2448"/>
      <c r="I14" s="1413"/>
      <c r="J14" s="1413"/>
      <c r="K14" s="1413"/>
      <c r="L14" s="1413"/>
      <c r="M14" s="1456"/>
      <c r="N14" s="834"/>
      <c r="O14" s="834"/>
      <c r="P14" s="655"/>
      <c r="Q14" s="506"/>
      <c r="R14" s="521"/>
      <c r="S14" s="501"/>
      <c r="T14" s="506"/>
      <c r="U14" s="1532"/>
      <c r="V14" s="1533"/>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5"/>
      <c r="AS14" s="646"/>
      <c r="AT14" s="646" t="str">
        <f>IF(V14="","",V14)</f>
        <v/>
      </c>
      <c r="AU14" s="646"/>
      <c r="AV14" s="646"/>
      <c r="AW14" s="1301">
        <v>0</v>
      </c>
    </row>
    <row s="6720" customFormat="1" customHeight="1" ht="14.25" hidden="1">
      <c r="A15" s="1520"/>
      <c r="B15" s="1520"/>
      <c r="C15" s="1520"/>
      <c r="D15" s="1520"/>
      <c r="E15" s="2449"/>
      <c r="F15" s="2449"/>
      <c r="G15" s="2448"/>
      <c r="H15" s="1520"/>
      <c r="I15" s="1520"/>
      <c r="J15" s="1520"/>
      <c r="K15" s="1520"/>
      <c r="L15" s="1520"/>
      <c r="M15" s="1523"/>
      <c r="N15" s="1524"/>
      <c r="O15" s="1524"/>
      <c r="P15" s="497"/>
      <c r="Q15" s="1462"/>
      <c r="R15" s="1463"/>
      <c r="S15" s="1462"/>
      <c r="T15" s="1462"/>
      <c r="U15" s="1464"/>
      <c r="V15" s="1465" t="s">
        <v>436</v>
      </c>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S15" s="935"/>
      <c r="AT15" s="935" t="str">
        <f>IF(V15="","",V15)</f>
        <v>Добавить источник для дифференциации</v>
      </c>
      <c r="AU15" s="935"/>
      <c r="AV15" s="935"/>
      <c r="AW15" s="664">
        <v>0</v>
      </c>
    </row>
    <row s="6720" customFormat="1" customHeight="1" ht="14.25" hidden="1">
      <c r="A16" s="1520"/>
      <c r="B16" s="1520"/>
      <c r="C16" s="1520"/>
      <c r="D16" s="1520"/>
      <c r="E16" s="2449"/>
      <c r="F16" s="2448"/>
      <c r="G16" s="1520"/>
      <c r="H16" s="1520"/>
      <c r="I16" s="1520"/>
      <c r="J16" s="1520"/>
      <c r="K16" s="1520"/>
      <c r="L16" s="1520"/>
      <c r="M16" s="1523"/>
      <c r="N16" s="1525"/>
      <c r="O16" s="1525"/>
      <c r="P16" s="497"/>
      <c r="Q16" s="1462"/>
      <c r="R16" s="1463"/>
      <c r="S16" s="1462"/>
      <c r="T16" s="1462"/>
      <c r="U16" s="1468"/>
      <c r="V16" s="1469" t="s">
        <v>437</v>
      </c>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S16" s="935"/>
      <c r="AT16" s="935" t="str">
        <f>IF(V16="","",V16)</f>
        <v>Добавить централизованную систему для дифференциации</v>
      </c>
      <c r="AU16" s="935"/>
      <c r="AV16" s="935"/>
      <c r="AW16" s="664">
        <v>0</v>
      </c>
    </row>
    <row s="6720" customFormat="1" customHeight="1" ht="14.25" hidden="1">
      <c r="A17" s="1520"/>
      <c r="B17" s="1520"/>
      <c r="C17" s="1520"/>
      <c r="D17" s="1520"/>
      <c r="E17" s="2448"/>
      <c r="F17" s="1520"/>
      <c r="G17" s="1520"/>
      <c r="H17" s="1520"/>
      <c r="I17" s="1520"/>
      <c r="J17" s="1520"/>
      <c r="K17" s="1520"/>
      <c r="L17" s="1520"/>
      <c r="M17" s="1523"/>
      <c r="N17" s="1525"/>
      <c r="O17" s="1525"/>
      <c r="P17" s="497"/>
      <c r="Q17" s="1462"/>
      <c r="R17" s="1463"/>
      <c r="S17" s="1462"/>
      <c r="T17" s="1462"/>
      <c r="U17" s="1468"/>
      <c r="V17" s="1471" t="s">
        <v>438</v>
      </c>
      <c r="W17" s="1470"/>
      <c r="X17" s="1470"/>
      <c r="Y17" s="1470"/>
      <c r="Z17" s="1470"/>
      <c r="AA17" s="1470"/>
      <c r="AB17" s="1470"/>
      <c r="AC17" s="1470"/>
      <c r="AD17" s="1470"/>
      <c r="AE17" s="1470"/>
      <c r="AF17" s="1470"/>
      <c r="AG17" s="1470"/>
      <c r="AH17" s="1470"/>
      <c r="AI17" s="1470"/>
      <c r="AJ17" s="1470"/>
      <c r="AK17" s="1470"/>
      <c r="AL17" s="1470"/>
      <c r="AM17" s="1470"/>
      <c r="AN17" s="1470"/>
      <c r="AO17" s="1470"/>
      <c r="AP17" s="1470"/>
      <c r="AQ17" s="1470"/>
      <c r="AS17" s="935"/>
      <c r="AT17" s="935" t="str">
        <f>IF(V17="","",V17)</f>
        <v>Добавить территорию для дифференциации</v>
      </c>
      <c r="AU17" s="935"/>
      <c r="AV17" s="935"/>
      <c r="AW17" s="664">
        <v>0</v>
      </c>
    </row>
    <row customHeight="1" ht="14.25" hidden="1">
      <c r="AF18" s="473"/>
      <c r="AO18" s="473"/>
      <c r="AW18" s="1301">
        <v>0</v>
      </c>
    </row>
    <row customHeight="1" ht="14.25" hidden="1">
      <c r="AG19" s="1506"/>
      <c r="AH19" s="1506"/>
      <c r="AI19" s="1506"/>
      <c r="AJ19" s="1506"/>
      <c r="AK19" s="1507"/>
      <c r="AL19" s="2426"/>
      <c r="AM19" s="2427" t="s">
        <v>63</v>
      </c>
      <c r="AN19" s="2426"/>
      <c r="AO19" s="2427" t="s">
        <v>63</v>
      </c>
      <c r="AW19" s="1301">
        <v>0</v>
      </c>
    </row>
    <row customHeight="1" ht="14.25" hidden="1">
      <c r="AG20" s="1506"/>
      <c r="AH20" s="1506"/>
      <c r="AI20" s="1506"/>
      <c r="AJ20" s="1506"/>
      <c r="AK20" s="1507"/>
      <c r="AL20" s="2426"/>
      <c r="AM20" s="2427"/>
      <c r="AN20" s="2426"/>
      <c r="AO20" s="2427"/>
      <c r="AW20" s="1301">
        <v>0</v>
      </c>
    </row>
    <row customHeight="1" ht="14.25" hidden="1">
      <c r="AG21" s="1506"/>
      <c r="AH21" s="1506"/>
      <c r="AI21" s="1506"/>
      <c r="AJ21" s="1506"/>
      <c r="AK21" s="1507"/>
      <c r="AL21" s="2426"/>
      <c r="AM21" s="2427"/>
      <c r="AN21" s="2426"/>
      <c r="AO21" s="2427"/>
      <c r="AW21" s="1301">
        <v>0</v>
      </c>
    </row>
    <row customHeight="1" ht="14.25" hidden="1">
      <c r="AG22" s="1506"/>
      <c r="AH22" s="1506"/>
      <c r="AI22" s="1506"/>
      <c r="AJ22" s="1506"/>
      <c r="AK22" s="474" t="str">
        <f>AL19&amp;"-"&amp;AN19</f>
        <v>-</v>
      </c>
      <c r="AL22" s="2427"/>
      <c r="AM22" s="2427"/>
      <c r="AN22" s="2427"/>
      <c r="AO22" s="2427"/>
      <c r="AW22" s="1301">
        <v>0</v>
      </c>
    </row>
    <row customHeight="1" ht="14.25" hidden="1">
      <c r="AO23" s="473"/>
      <c r="AW23" s="1301">
        <v>0</v>
      </c>
    </row>
    <row s="7180" customFormat="1" customHeight="1" ht="22.5" hidden="1">
      <c r="A24" s="1301"/>
      <c r="B24" s="1301"/>
      <c r="C24" s="1301"/>
      <c r="D24" s="1301"/>
      <c r="E24" s="1301"/>
      <c r="F24" s="1301"/>
      <c r="G24" s="1301"/>
      <c r="H24" s="1301"/>
      <c r="I24" s="1301"/>
      <c r="J24" s="1301"/>
      <c r="K24" s="1301"/>
      <c r="L24" s="1301"/>
      <c r="M24" s="1473"/>
      <c r="N24" s="1474"/>
      <c r="O24" s="1474"/>
      <c r="P24" s="1491" t="s">
        <v>439</v>
      </c>
      <c r="Q24" s="1508"/>
      <c r="R24" s="1517"/>
      <c r="S24" s="1517"/>
      <c r="T24" s="1517"/>
      <c r="U24" s="875"/>
      <c r="AC24" s="1513"/>
      <c r="AE24" s="1513"/>
      <c r="AF24" s="1512"/>
      <c r="AL24" s="1513"/>
      <c r="AN24" s="1513"/>
      <c r="AO24" s="1512"/>
      <c r="AR24" s="657"/>
      <c r="AS24" s="657"/>
      <c r="AT24" s="657"/>
      <c r="AU24" s="657"/>
      <c r="AV24" s="657"/>
      <c r="AW24" s="1306">
        <v>0</v>
      </c>
    </row>
    <row s="7180" customFormat="1" customHeight="1" ht="14.25" hidden="1">
      <c r="A25" s="1301"/>
      <c r="B25" s="1301"/>
      <c r="C25" s="1301"/>
      <c r="D25" s="1301"/>
      <c r="E25" s="1301"/>
      <c r="F25" s="1301"/>
      <c r="G25" s="1301"/>
      <c r="H25" s="1301"/>
      <c r="I25" s="1301"/>
      <c r="J25" s="1301"/>
      <c r="K25" s="1301"/>
      <c r="L25" s="1301"/>
      <c r="M25" s="1473"/>
      <c r="N25" s="1474"/>
      <c r="O25" s="1474"/>
      <c r="P25" s="1474"/>
      <c r="Q25" s="1508"/>
      <c r="R25" s="1517"/>
      <c r="S25" s="1517"/>
      <c r="T25" s="1517"/>
      <c r="U25" s="875"/>
      <c r="AF25" s="1512"/>
      <c r="AO25" s="1512"/>
      <c r="AR25" s="657"/>
      <c r="AS25" s="657"/>
      <c r="AT25" s="657"/>
      <c r="AU25" s="657"/>
      <c r="AV25" s="657"/>
      <c r="AW25" s="1306">
        <v>0</v>
      </c>
    </row>
    <row s="7180" customFormat="1" customHeight="1" ht="14.25" hidden="1">
      <c r="A26" s="1301"/>
      <c r="B26" s="1301"/>
      <c r="C26" s="1301"/>
      <c r="D26" s="1301"/>
      <c r="E26" s="1301"/>
      <c r="F26" s="1301"/>
      <c r="G26" s="1301"/>
      <c r="H26" s="1301"/>
      <c r="I26" s="1301"/>
      <c r="J26" s="1301"/>
      <c r="K26" s="1301"/>
      <c r="L26" s="1301"/>
      <c r="M26" s="1473"/>
      <c r="N26" s="1474"/>
      <c r="O26" s="1474"/>
      <c r="P26" s="1456" t="s">
        <v>440</v>
      </c>
      <c r="Q26" s="1508"/>
      <c r="R26" s="1517"/>
      <c r="S26" s="1517"/>
      <c r="T26" s="1517"/>
      <c r="U26" s="875"/>
      <c r="V26" s="1306" t="s">
        <v>441</v>
      </c>
      <c r="AD26" s="332" t="s">
        <v>442</v>
      </c>
      <c r="AF26" s="332" t="s">
        <v>443</v>
      </c>
      <c r="AG26" s="1306" t="s">
        <v>441</v>
      </c>
      <c r="AM26" s="332" t="s">
        <v>444</v>
      </c>
      <c r="AO26" s="332" t="s">
        <v>443</v>
      </c>
      <c r="AR26" s="657"/>
      <c r="AS26" s="657"/>
      <c r="AT26" s="657"/>
      <c r="AU26" s="657"/>
      <c r="AV26" s="657"/>
      <c r="AW26" s="1306">
        <v>0</v>
      </c>
    </row>
    <row customHeight="1" ht="14.25" hidden="1">
      <c r="P27" s="1456"/>
      <c r="AW27" s="1301">
        <v>0</v>
      </c>
    </row>
    <row customHeight="1" ht="14.25" hidden="1">
      <c r="P28" s="1456"/>
      <c r="AW28" s="1301">
        <v>0</v>
      </c>
    </row>
    <row customHeight="1" ht="14.699999999999998">
      <c r="R29" s="522"/>
      <c r="S29" s="522"/>
      <c r="T29" s="522"/>
      <c r="U29" s="1421"/>
      <c r="V29" s="509"/>
      <c r="W29" s="509"/>
      <c r="X29" s="655"/>
      <c r="Y29" s="655"/>
      <c r="Z29" s="655"/>
      <c r="AA29" s="655"/>
      <c r="AB29" s="655"/>
      <c r="AC29" s="655"/>
      <c r="AD29" s="655"/>
      <c r="AE29" s="655"/>
      <c r="AF29" s="655"/>
      <c r="AG29" s="655"/>
      <c r="AH29" s="655"/>
      <c r="AI29" s="655"/>
      <c r="AJ29" s="655"/>
      <c r="AK29" s="655"/>
      <c r="AL29" s="655"/>
      <c r="AM29" s="655"/>
      <c r="AN29" s="655"/>
      <c r="AO29" s="655"/>
      <c r="AW29" s="1301">
        <v>14</v>
      </c>
    </row>
    <row customHeight="1" ht="56.699999999999996">
      <c r="R30" s="522"/>
      <c r="S30" s="522"/>
      <c r="T30" s="522"/>
      <c r="U30" s="240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7"/>
      <c r="W30" s="2407"/>
      <c r="X30" s="2407"/>
      <c r="Y30" s="2407"/>
      <c r="Z30" s="2407"/>
      <c r="AA30" s="2407"/>
      <c r="AB30" s="2407"/>
      <c r="AC30" s="2407"/>
      <c r="AD30" s="2407"/>
      <c r="AE30" s="2407"/>
      <c r="AF30" s="2407"/>
      <c r="AG30" s="2407"/>
      <c r="AH30" s="2407"/>
      <c r="AI30" s="2407"/>
      <c r="AJ30" s="2407"/>
      <c r="AK30" s="2407"/>
      <c r="AL30" s="2407"/>
      <c r="AM30" s="2407"/>
      <c r="AN30" s="2407"/>
      <c r="AO30" s="1389"/>
      <c r="AW30" s="1301">
        <v>54</v>
      </c>
    </row>
    <row customHeight="1" ht="14.699999999999998">
      <c r="R31" s="522"/>
      <c r="S31" s="522"/>
      <c r="T31" s="522"/>
      <c r="U31" s="2408" t="str">
        <f>IF(org=0,"Не определено",org)</f>
        <v>ПАО "ТГК-14"</v>
      </c>
      <c r="V31" s="2408"/>
      <c r="W31" s="2408"/>
      <c r="X31" s="2408"/>
      <c r="Y31" s="2408"/>
      <c r="Z31" s="2408"/>
      <c r="AA31" s="2408"/>
      <c r="AB31" s="2408"/>
      <c r="AC31" s="2408"/>
      <c r="AD31" s="2408"/>
      <c r="AE31" s="2408"/>
      <c r="AF31" s="2408"/>
      <c r="AG31" s="2408"/>
      <c r="AH31" s="2408"/>
      <c r="AI31" s="2408"/>
      <c r="AJ31" s="2408"/>
      <c r="AK31" s="2408"/>
      <c r="AL31" s="2408"/>
      <c r="AM31" s="2408"/>
      <c r="AN31" s="2408"/>
      <c r="AO31" s="1389"/>
      <c r="AW31" s="1301">
        <v>14</v>
      </c>
    </row>
    <row customHeight="1" ht="14.25" hidden="1">
      <c r="R32" s="522"/>
      <c r="S32" s="522"/>
      <c r="T32" s="522"/>
      <c r="U32" s="1421"/>
      <c r="V32" s="509"/>
      <c r="W32" s="509"/>
      <c r="X32" s="468"/>
      <c r="Y32" s="468"/>
      <c r="Z32" s="468"/>
      <c r="AA32" s="468"/>
      <c r="AB32" s="468"/>
      <c r="AC32" s="468"/>
      <c r="AD32" s="468"/>
      <c r="AE32" s="468"/>
      <c r="AF32" s="468"/>
      <c r="AG32" s="468"/>
      <c r="AH32" s="468"/>
      <c r="AI32" s="468"/>
      <c r="AJ32" s="468"/>
      <c r="AK32" s="468"/>
      <c r="AL32" s="468"/>
      <c r="AM32" s="468"/>
      <c r="AN32" s="468"/>
      <c r="AO32" s="468"/>
      <c r="AP32" s="655"/>
      <c r="AW32" s="1301">
        <v>0</v>
      </c>
    </row>
    <row s="7809" customFormat="1" customHeight="1" ht="25.5" hidden="1">
      <c r="A33" s="1394"/>
      <c r="B33" s="1394"/>
      <c r="C33" s="1394"/>
      <c r="D33" s="1394"/>
      <c r="E33" s="1394"/>
      <c r="F33" s="1394"/>
      <c r="G33" s="1394"/>
      <c r="H33" s="1394"/>
      <c r="I33" s="1394"/>
      <c r="J33" s="1394"/>
      <c r="K33" s="1394"/>
      <c r="L33" s="1394"/>
      <c r="M33" s="1526"/>
      <c r="N33" s="1394"/>
      <c r="O33" s="1394"/>
      <c r="P33" s="1394"/>
      <c r="U33" s="2409" t="s">
        <v>42</v>
      </c>
      <c r="V33" s="2409"/>
      <c r="W33" s="1518"/>
      <c r="X33" s="2410" t="str">
        <f>IF(TITLE_NAME_OR_PR_CHANGE="",IF(TITLE_NAME_OR_PR="","",TITLE_NAME_OR_PR),TITLE_NAME_OR_PR_CHANGE)</f>
        <v/>
      </c>
      <c r="Y33" s="2410"/>
      <c r="Z33" s="2410"/>
      <c r="AA33" s="2410"/>
      <c r="AB33" s="2410"/>
      <c r="AC33" s="2410"/>
      <c r="AD33" s="2410"/>
      <c r="AE33" s="2410"/>
      <c r="AF33" s="472"/>
      <c r="AG33" s="2410" t="str">
        <f>IF(TITLE_NAME_OR_PR_CHANGE="",IF(TITLE_NAME_OR_PR="","",TITLE_NAME_OR_PR),TITLE_NAME_OR_PR_CHANGE)</f>
        <v/>
      </c>
      <c r="AH33" s="2410"/>
      <c r="AI33" s="2410"/>
      <c r="AJ33" s="2410"/>
      <c r="AK33" s="2410"/>
      <c r="AL33" s="2410"/>
      <c r="AM33" s="2410"/>
      <c r="AN33" s="2410"/>
      <c r="AO33" s="472"/>
      <c r="AP33" s="472"/>
      <c r="AQ33" s="426"/>
      <c r="AR33" s="514"/>
      <c r="AS33" s="514"/>
      <c r="AT33" s="514"/>
      <c r="AU33" s="514"/>
      <c r="AV33" s="514"/>
      <c r="AW33" s="564">
        <v>0</v>
      </c>
    </row>
    <row s="7809" customFormat="1" customHeight="1" ht="18.75" hidden="1">
      <c r="A34" s="1394"/>
      <c r="B34" s="1394"/>
      <c r="C34" s="1394"/>
      <c r="D34" s="1394"/>
      <c r="E34" s="1394"/>
      <c r="F34" s="1394"/>
      <c r="G34" s="1394"/>
      <c r="H34" s="1394"/>
      <c r="I34" s="1394"/>
      <c r="J34" s="1394"/>
      <c r="K34" s="1394"/>
      <c r="L34" s="1394"/>
      <c r="M34" s="1526"/>
      <c r="N34" s="1394"/>
      <c r="O34" s="1394"/>
      <c r="P34" s="1394"/>
      <c r="U34" s="2409" t="s">
        <v>445</v>
      </c>
      <c r="V34" s="2409"/>
      <c r="W34" s="1518"/>
      <c r="X34" s="2423" t="str">
        <f>IF(TITLE_DATE_PR_CHANGE="",IF(TITLE_DATE_PR="","",TITLE_DATE_PR),TITLE_DATE_PR_CHANGE)</f>
        <v/>
      </c>
      <c r="Y34" s="2423"/>
      <c r="Z34" s="2423"/>
      <c r="AA34" s="2423"/>
      <c r="AB34" s="2423"/>
      <c r="AC34" s="2423"/>
      <c r="AD34" s="2423"/>
      <c r="AE34" s="2423"/>
      <c r="AF34" s="472"/>
      <c r="AG34" s="2423" t="str">
        <f>IF(TITLE_DATE_PR_CHANGE="",IF(TITLE_DATE_PR="","",TITLE_DATE_PR),TITLE_DATE_PR_CHANGE)</f>
        <v/>
      </c>
      <c r="AH34" s="2423"/>
      <c r="AI34" s="2423"/>
      <c r="AJ34" s="2423"/>
      <c r="AK34" s="2423"/>
      <c r="AL34" s="2423"/>
      <c r="AM34" s="2423"/>
      <c r="AN34" s="2423"/>
      <c r="AO34" s="472"/>
      <c r="AP34" s="472"/>
      <c r="AQ34" s="426"/>
      <c r="AR34" s="514"/>
      <c r="AS34" s="514"/>
      <c r="AT34" s="514"/>
      <c r="AU34" s="514"/>
      <c r="AV34" s="514"/>
      <c r="AW34" s="564">
        <v>0</v>
      </c>
    </row>
    <row s="7809" customFormat="1" customHeight="1" ht="18.75" hidden="1">
      <c r="A35" s="1394"/>
      <c r="B35" s="1394"/>
      <c r="C35" s="1394"/>
      <c r="D35" s="1394"/>
      <c r="E35" s="1394"/>
      <c r="F35" s="1394"/>
      <c r="G35" s="1394"/>
      <c r="H35" s="1394"/>
      <c r="I35" s="1394"/>
      <c r="J35" s="1394"/>
      <c r="K35" s="1394"/>
      <c r="L35" s="1394"/>
      <c r="M35" s="1526"/>
      <c r="N35" s="1394"/>
      <c r="O35" s="1394"/>
      <c r="P35" s="1394"/>
      <c r="U35" s="2409" t="s">
        <v>446</v>
      </c>
      <c r="V35" s="2409"/>
      <c r="W35" s="1518"/>
      <c r="X35" s="2410" t="str">
        <f>IF(TITLE_NUMBER_PR_CHANGE="",IF(TITLE_NUMBER_PR="","",TITLE_NUMBER_PR),TITLE_NUMBER_PR_CHANGE)</f>
        <v/>
      </c>
      <c r="Y35" s="2410"/>
      <c r="Z35" s="2410"/>
      <c r="AA35" s="2410"/>
      <c r="AB35" s="2410"/>
      <c r="AC35" s="2410"/>
      <c r="AD35" s="2410"/>
      <c r="AE35" s="2410"/>
      <c r="AF35" s="472"/>
      <c r="AG35" s="2410" t="str">
        <f>IF(TITLE_NUMBER_PR_CHANGE="",IF(TITLE_NUMBER_PR="","",TITLE_NUMBER_PR),TITLE_NUMBER_PR_CHANGE)</f>
        <v/>
      </c>
      <c r="AH35" s="2410"/>
      <c r="AI35" s="2410"/>
      <c r="AJ35" s="2410"/>
      <c r="AK35" s="2410"/>
      <c r="AL35" s="2410"/>
      <c r="AM35" s="2410"/>
      <c r="AN35" s="2410"/>
      <c r="AO35" s="472"/>
      <c r="AP35" s="472"/>
      <c r="AQ35" s="426"/>
      <c r="AR35" s="514"/>
      <c r="AS35" s="514"/>
      <c r="AT35" s="514"/>
      <c r="AU35" s="514"/>
      <c r="AV35" s="514"/>
      <c r="AW35" s="564">
        <v>0</v>
      </c>
    </row>
    <row s="7809" customFormat="1" customHeight="1" ht="18.75" hidden="1">
      <c r="A36" s="1394"/>
      <c r="B36" s="1394"/>
      <c r="C36" s="1394"/>
      <c r="D36" s="1394"/>
      <c r="E36" s="1394"/>
      <c r="F36" s="1394"/>
      <c r="G36" s="1394"/>
      <c r="H36" s="1394"/>
      <c r="I36" s="1394"/>
      <c r="J36" s="1394"/>
      <c r="K36" s="1394"/>
      <c r="L36" s="1394"/>
      <c r="M36" s="1526"/>
      <c r="N36" s="1394"/>
      <c r="O36" s="1394"/>
      <c r="P36" s="1394"/>
      <c r="U36" s="2409" t="s">
        <v>43</v>
      </c>
      <c r="V36" s="2409"/>
      <c r="W36" s="1518"/>
      <c r="X36" s="2410" t="str">
        <f>IF(TITLE_IST_PUB_CHANGE="",IF(TITLE_IST_PUB="","",TITLE_IST_PUB),TITLE_IST_PUB_CHANGE)</f>
        <v/>
      </c>
      <c r="Y36" s="2410"/>
      <c r="Z36" s="2410"/>
      <c r="AA36" s="2410"/>
      <c r="AB36" s="2410"/>
      <c r="AC36" s="2410"/>
      <c r="AD36" s="2410"/>
      <c r="AE36" s="2410"/>
      <c r="AF36" s="472"/>
      <c r="AG36" s="2410" t="str">
        <f>IF(TITLE_IST_PUB_CHANGE="",IF(TITLE_IST_PUB="","",TITLE_IST_PUB),TITLE_IST_PUB_CHANGE)</f>
        <v/>
      </c>
      <c r="AH36" s="2410"/>
      <c r="AI36" s="2410"/>
      <c r="AJ36" s="2410"/>
      <c r="AK36" s="2410"/>
      <c r="AL36" s="2410"/>
      <c r="AM36" s="2410"/>
      <c r="AN36" s="2410"/>
      <c r="AO36" s="472"/>
      <c r="AP36" s="472"/>
      <c r="AQ36" s="426"/>
      <c r="AR36" s="514"/>
      <c r="AS36" s="514"/>
      <c r="AT36" s="514"/>
      <c r="AU36" s="514"/>
      <c r="AV36" s="514"/>
      <c r="AW36" s="564">
        <v>0</v>
      </c>
    </row>
    <row customHeight="1" ht="14.25" hidden="1">
      <c r="R37" s="522"/>
      <c r="S37" s="522"/>
      <c r="T37" s="522"/>
      <c r="U37" s="1421"/>
      <c r="V37" s="509"/>
      <c r="W37" s="509"/>
      <c r="X37" s="468"/>
      <c r="Y37" s="468"/>
      <c r="Z37" s="468"/>
      <c r="AA37" s="468"/>
      <c r="AB37" s="468"/>
      <c r="AC37" s="468"/>
      <c r="AD37" s="468"/>
      <c r="AE37" s="468"/>
      <c r="AF37" s="468"/>
      <c r="AG37" s="468"/>
      <c r="AH37" s="468"/>
      <c r="AI37" s="468"/>
      <c r="AJ37" s="468"/>
      <c r="AK37" s="468"/>
      <c r="AL37" s="468"/>
      <c r="AM37" s="468"/>
      <c r="AN37" s="468"/>
      <c r="AO37" s="468"/>
      <c r="AP37" s="655"/>
      <c r="AW37" s="1301">
        <v>0</v>
      </c>
    </row>
    <row s="7809" customFormat="1" customHeight="1" ht="18.75" hidden="1">
      <c r="A38" s="1394"/>
      <c r="B38" s="1394"/>
      <c r="C38" s="1394"/>
      <c r="D38" s="1394"/>
      <c r="E38" s="1394"/>
      <c r="F38" s="1394"/>
      <c r="G38" s="1394"/>
      <c r="H38" s="1394"/>
      <c r="I38" s="1394"/>
      <c r="J38" s="1394"/>
      <c r="K38" s="1394"/>
      <c r="L38" s="1394"/>
      <c r="M38" s="1526"/>
      <c r="N38" s="1394"/>
      <c r="O38" s="1394"/>
      <c r="P38" s="1394"/>
      <c r="U38" s="2409" t="s">
        <v>447</v>
      </c>
      <c r="V38" s="2409"/>
      <c r="W38" s="1518"/>
      <c r="X38" s="2423" t="str">
        <f>IF(TITLE_DATE_PR_CHANGE="",IF(TITLE_DATE_PR="","",TITLE_DATE_PR),TITLE_DATE_PR_CHANGE)</f>
        <v/>
      </c>
      <c r="Y38" s="2423"/>
      <c r="Z38" s="2423"/>
      <c r="AA38" s="2423"/>
      <c r="AB38" s="2423"/>
      <c r="AC38" s="2423"/>
      <c r="AD38" s="2423"/>
      <c r="AE38" s="2423"/>
      <c r="AF38" s="472"/>
      <c r="AG38" s="2423" t="str">
        <f>IF(TITLE_DATE_PR_CHANGE="",IF(TITLE_DATE_PR="","",TITLE_DATE_PR),TITLE_DATE_PR_CHANGE)</f>
        <v/>
      </c>
      <c r="AH38" s="2423"/>
      <c r="AI38" s="2423"/>
      <c r="AJ38" s="2423"/>
      <c r="AK38" s="2423"/>
      <c r="AL38" s="2423"/>
      <c r="AM38" s="2423"/>
      <c r="AN38" s="2423"/>
      <c r="AO38" s="472"/>
      <c r="AP38" s="472"/>
      <c r="AQ38" s="426"/>
      <c r="AR38" s="514"/>
      <c r="AS38" s="514"/>
      <c r="AT38" s="514"/>
      <c r="AU38" s="514"/>
      <c r="AV38" s="514"/>
      <c r="AW38" s="564">
        <v>0</v>
      </c>
    </row>
    <row s="7809" customFormat="1" customHeight="1" ht="18.75" hidden="1">
      <c r="A39" s="1394"/>
      <c r="B39" s="1394"/>
      <c r="C39" s="1394"/>
      <c r="D39" s="1394"/>
      <c r="E39" s="1394"/>
      <c r="F39" s="1394"/>
      <c r="G39" s="1394"/>
      <c r="H39" s="1394"/>
      <c r="I39" s="1394"/>
      <c r="J39" s="1394"/>
      <c r="K39" s="1394"/>
      <c r="L39" s="1394"/>
      <c r="M39" s="1526"/>
      <c r="N39" s="1394"/>
      <c r="O39" s="1394"/>
      <c r="P39" s="1394"/>
      <c r="U39" s="2409" t="s">
        <v>448</v>
      </c>
      <c r="V39" s="2409"/>
      <c r="W39" s="1518"/>
      <c r="X39" s="2410" t="str">
        <f>IF(TITLE_NUMBER_PR_CHANGE="",IF(TITLE_NUMBER_PR="","",TITLE_NUMBER_PR),TITLE_NUMBER_PR_CHANGE)</f>
        <v/>
      </c>
      <c r="Y39" s="2410"/>
      <c r="Z39" s="2410"/>
      <c r="AA39" s="2410"/>
      <c r="AB39" s="2410"/>
      <c r="AC39" s="2410"/>
      <c r="AD39" s="2410"/>
      <c r="AE39" s="2410"/>
      <c r="AF39" s="472"/>
      <c r="AG39" s="2410" t="str">
        <f>IF(TITLE_NUMBER_PR_CHANGE="",IF(TITLE_NUMBER_PR="","",TITLE_NUMBER_PR),TITLE_NUMBER_PR_CHANGE)</f>
        <v/>
      </c>
      <c r="AH39" s="2410"/>
      <c r="AI39" s="2410"/>
      <c r="AJ39" s="2410"/>
      <c r="AK39" s="2410"/>
      <c r="AL39" s="2410"/>
      <c r="AM39" s="2410"/>
      <c r="AN39" s="2410"/>
      <c r="AO39" s="472"/>
      <c r="AP39" s="472"/>
      <c r="AQ39" s="426"/>
      <c r="AR39" s="514"/>
      <c r="AS39" s="514"/>
      <c r="AT39" s="514"/>
      <c r="AU39" s="514"/>
      <c r="AV39" s="514"/>
      <c r="AW39" s="564">
        <v>0</v>
      </c>
    </row>
    <row s="7809" customFormat="1" customHeight="1" ht="0">
      <c r="A40" s="1394"/>
      <c r="B40" s="1394"/>
      <c r="C40" s="1394"/>
      <c r="D40" s="1394"/>
      <c r="E40" s="1394"/>
      <c r="F40" s="1394"/>
      <c r="G40" s="1394"/>
      <c r="H40" s="1394"/>
      <c r="I40" s="1394"/>
      <c r="J40" s="1394"/>
      <c r="K40" s="1394"/>
      <c r="L40" s="1394"/>
      <c r="M40" s="1526"/>
      <c r="N40" s="1394"/>
      <c r="O40" s="1394"/>
      <c r="P40" s="1394"/>
      <c r="U40" s="469"/>
      <c r="V40" s="469"/>
      <c r="W40" s="1486"/>
      <c r="X40" s="472"/>
      <c r="Y40" s="472"/>
      <c r="Z40" s="472"/>
      <c r="AA40" s="472"/>
      <c r="AB40" s="472"/>
      <c r="AC40" s="472"/>
      <c r="AD40" s="472"/>
      <c r="AE40" s="472"/>
      <c r="AF40" s="424" t="s">
        <v>449</v>
      </c>
      <c r="AG40" s="472"/>
      <c r="AH40" s="472"/>
      <c r="AI40" s="472"/>
      <c r="AJ40" s="472"/>
      <c r="AK40" s="472"/>
      <c r="AL40" s="472"/>
      <c r="AM40" s="472"/>
      <c r="AN40" s="472"/>
      <c r="AO40" s="424" t="s">
        <v>449</v>
      </c>
      <c r="AR40" s="514"/>
      <c r="AS40" s="514"/>
      <c r="AT40" s="514"/>
      <c r="AU40" s="514"/>
      <c r="AV40" s="514"/>
      <c r="AW40" s="564">
        <v>0</v>
      </c>
    </row>
    <row customHeight="1" ht="14.699999999999998">
      <c r="R41" s="522"/>
      <c r="S41" s="522"/>
      <c r="T41" s="522"/>
      <c r="U41" s="1421"/>
      <c r="V41" s="509"/>
      <c r="W41" s="1390"/>
      <c r="X41" s="2411"/>
      <c r="Y41" s="2411"/>
      <c r="Z41" s="2411"/>
      <c r="AA41" s="2411"/>
      <c r="AB41" s="2411"/>
      <c r="AC41" s="2411"/>
      <c r="AD41" s="2411"/>
      <c r="AE41" s="2411"/>
      <c r="AF41" s="2411"/>
      <c r="AG41" s="2411"/>
      <c r="AH41" s="2411"/>
      <c r="AI41" s="2411"/>
      <c r="AJ41" s="2411"/>
      <c r="AK41" s="2411"/>
      <c r="AL41" s="2411"/>
      <c r="AM41" s="2411"/>
      <c r="AN41" s="2411"/>
      <c r="AO41" s="2411"/>
      <c r="AW41" s="1301">
        <v>14</v>
      </c>
    </row>
    <row customHeight="1" ht="14.699999999999998">
      <c r="R42" s="522"/>
      <c r="S42" s="522"/>
      <c r="T42" s="522"/>
      <c r="U42" s="2286" t="s">
        <v>322</v>
      </c>
      <c r="V42" s="2286"/>
      <c r="W42" s="2286"/>
      <c r="X42" s="2286"/>
      <c r="Y42" s="2286"/>
      <c r="Z42" s="2286"/>
      <c r="AA42" s="2286"/>
      <c r="AB42" s="2286"/>
      <c r="AC42" s="2286"/>
      <c r="AD42" s="2286"/>
      <c r="AE42" s="2286"/>
      <c r="AF42" s="2286"/>
      <c r="AG42" s="2286"/>
      <c r="AH42" s="2286"/>
      <c r="AI42" s="2286"/>
      <c r="AJ42" s="2286"/>
      <c r="AK42" s="2286"/>
      <c r="AL42" s="2286"/>
      <c r="AM42" s="2286"/>
      <c r="AN42" s="2286"/>
      <c r="AO42" s="2286"/>
      <c r="AP42" s="2286"/>
      <c r="AQ42" s="2286" t="s">
        <v>323</v>
      </c>
      <c r="AW42" s="1301">
        <v>14</v>
      </c>
    </row>
    <row customHeight="1" ht="14.699999999999998">
      <c r="R43" s="522"/>
      <c r="S43" s="522"/>
      <c r="T43" s="522"/>
      <c r="U43" s="2432" t="s">
        <v>89</v>
      </c>
      <c r="V43" s="2368" t="s">
        <v>450</v>
      </c>
      <c r="W43" s="447"/>
      <c r="X43" s="2433" t="s">
        <v>451</v>
      </c>
      <c r="Y43" s="2450"/>
      <c r="Z43" s="2450"/>
      <c r="AA43" s="2450"/>
      <c r="AB43" s="2450"/>
      <c r="AC43" s="2434"/>
      <c r="AD43" s="2434"/>
      <c r="AE43" s="2435"/>
      <c r="AF43" s="2436" t="s">
        <v>452</v>
      </c>
      <c r="AG43" s="2433" t="s">
        <v>451</v>
      </c>
      <c r="AH43" s="2450"/>
      <c r="AI43" s="2450"/>
      <c r="AJ43" s="2450"/>
      <c r="AK43" s="2450"/>
      <c r="AL43" s="2434"/>
      <c r="AM43" s="2434"/>
      <c r="AN43" s="2435"/>
      <c r="AO43" s="2436" t="s">
        <v>453</v>
      </c>
      <c r="AP43" s="2439" t="s">
        <v>454</v>
      </c>
      <c r="AQ43" s="2286"/>
      <c r="AW43" s="1301">
        <v>14</v>
      </c>
    </row>
    <row customHeight="1" ht="35.699999999999996">
      <c r="R44" s="522"/>
      <c r="S44" s="522"/>
      <c r="T44" s="522"/>
      <c r="U44" s="2432"/>
      <c r="V44" s="2368"/>
      <c r="W44" s="1177"/>
      <c r="X44" s="2453" t="s">
        <v>477</v>
      </c>
      <c r="Y44" s="2471" t="s">
        <v>478</v>
      </c>
      <c r="Z44" s="2471"/>
      <c r="AA44" s="2471"/>
      <c r="AB44" s="2471"/>
      <c r="AC44" s="2453" t="s">
        <v>458</v>
      </c>
      <c r="AD44" s="2771"/>
      <c r="AE44" s="2473"/>
      <c r="AF44" s="2437"/>
      <c r="AG44" s="2453" t="s">
        <v>477</v>
      </c>
      <c r="AH44" s="2471" t="s">
        <v>478</v>
      </c>
      <c r="AI44" s="2471"/>
      <c r="AJ44" s="2471"/>
      <c r="AK44" s="2471"/>
      <c r="AL44" s="2453" t="s">
        <v>458</v>
      </c>
      <c r="AM44" s="2771"/>
      <c r="AN44" s="2473"/>
      <c r="AO44" s="2437"/>
      <c r="AP44" s="2440"/>
      <c r="AQ44" s="2286"/>
      <c r="AW44" s="1301">
        <v>34</v>
      </c>
    </row>
    <row customHeight="1" ht="14.699999999999998">
      <c r="R45" s="522"/>
      <c r="S45" s="522"/>
      <c r="T45" s="522"/>
      <c r="U45" s="2432"/>
      <c r="V45" s="2368"/>
      <c r="W45" s="1177"/>
      <c r="X45" s="2484"/>
      <c r="Y45" s="2476" t="s">
        <v>479</v>
      </c>
      <c r="Z45" s="2429" t="s">
        <v>480</v>
      </c>
      <c r="AA45" s="2479"/>
      <c r="AB45" s="2430"/>
      <c r="AC45" s="2454"/>
      <c r="AD45" s="2772"/>
      <c r="AE45" s="2475"/>
      <c r="AF45" s="2437"/>
      <c r="AG45" s="2484"/>
      <c r="AH45" s="2476" t="s">
        <v>479</v>
      </c>
      <c r="AI45" s="2429" t="s">
        <v>480</v>
      </c>
      <c r="AJ45" s="2479"/>
      <c r="AK45" s="2430"/>
      <c r="AL45" s="2454"/>
      <c r="AM45" s="2772"/>
      <c r="AN45" s="2475"/>
      <c r="AO45" s="2437"/>
      <c r="AP45" s="2440"/>
      <c r="AQ45" s="2286"/>
      <c r="AW45" s="1301">
        <v>14</v>
      </c>
    </row>
    <row customHeight="1" ht="27.299999999999997">
      <c r="R46" s="522"/>
      <c r="S46" s="522"/>
      <c r="T46" s="522"/>
      <c r="U46" s="2432"/>
      <c r="V46" s="2368"/>
      <c r="W46" s="1177"/>
      <c r="X46" s="2484"/>
      <c r="Y46" s="2477"/>
      <c r="Z46" s="2476" t="s">
        <v>481</v>
      </c>
      <c r="AA46" s="2429" t="s">
        <v>482</v>
      </c>
      <c r="AB46" s="2430"/>
      <c r="AC46" s="2476" t="s">
        <v>468</v>
      </c>
      <c r="AD46" s="2480" t="s">
        <v>469</v>
      </c>
      <c r="AE46" s="2481"/>
      <c r="AF46" s="2437"/>
      <c r="AG46" s="2484"/>
      <c r="AH46" s="2477"/>
      <c r="AI46" s="2476" t="s">
        <v>481</v>
      </c>
      <c r="AJ46" s="2429" t="s">
        <v>482</v>
      </c>
      <c r="AK46" s="2430"/>
      <c r="AL46" s="2476" t="s">
        <v>468</v>
      </c>
      <c r="AM46" s="2480" t="s">
        <v>469</v>
      </c>
      <c r="AN46" s="2481"/>
      <c r="AO46" s="2437"/>
      <c r="AP46" s="2440"/>
      <c r="AQ46" s="2286"/>
      <c r="AW46" s="1301">
        <v>26</v>
      </c>
    </row>
    <row customHeight="1" ht="65.25">
      <c r="A47" s="1405"/>
      <c r="B47" s="1405" t="s">
        <v>159</v>
      </c>
      <c r="C47" s="1405" t="s">
        <v>160</v>
      </c>
      <c r="D47" s="1405" t="s">
        <v>161</v>
      </c>
      <c r="E47" s="1456" t="s">
        <v>459</v>
      </c>
      <c r="F47" s="1456" t="s">
        <v>460</v>
      </c>
      <c r="G47" s="1456" t="s">
        <v>461</v>
      </c>
      <c r="H47" s="1456" t="s">
        <v>462</v>
      </c>
      <c r="I47" s="1456" t="s">
        <v>463</v>
      </c>
      <c r="J47" s="1456" t="s">
        <v>464</v>
      </c>
      <c r="K47" s="1456" t="s">
        <v>465</v>
      </c>
      <c r="L47" s="1456" t="s">
        <v>483</v>
      </c>
      <c r="M47" s="1456" t="s">
        <v>440</v>
      </c>
      <c r="R47" s="522"/>
      <c r="S47" s="522"/>
      <c r="T47" s="522"/>
      <c r="U47" s="2432"/>
      <c r="V47" s="2368"/>
      <c r="W47" s="448"/>
      <c r="X47" s="2454"/>
      <c r="Y47" s="2478"/>
      <c r="Z47" s="2478"/>
      <c r="AA47" s="1368" t="s">
        <v>484</v>
      </c>
      <c r="AB47" s="1368" t="s">
        <v>485</v>
      </c>
      <c r="AC47" s="2478"/>
      <c r="AD47" s="2482"/>
      <c r="AE47" s="2483"/>
      <c r="AF47" s="2438"/>
      <c r="AG47" s="2454"/>
      <c r="AH47" s="2478"/>
      <c r="AI47" s="2478"/>
      <c r="AJ47" s="1368" t="s">
        <v>484</v>
      </c>
      <c r="AK47" s="1368" t="s">
        <v>485</v>
      </c>
      <c r="AL47" s="2478"/>
      <c r="AM47" s="2482"/>
      <c r="AN47" s="2483"/>
      <c r="AO47" s="2438"/>
      <c r="AP47" s="2441"/>
      <c r="AQ47" s="2286"/>
      <c r="AW47" s="1301">
        <v>62</v>
      </c>
    </row>
    <row s="6314" customFormat="1" customHeight="1" ht="11.25" hidden="1">
      <c r="A48" s="1405"/>
      <c r="B48" s="1405"/>
      <c r="C48" s="1405"/>
      <c r="D48" s="1405"/>
      <c r="E48" s="1405"/>
      <c r="F48" s="1405"/>
      <c r="G48" s="1405"/>
      <c r="H48" s="1405"/>
      <c r="I48" s="1405"/>
      <c r="J48" s="1405"/>
      <c r="K48" s="1405"/>
      <c r="L48" s="1405"/>
      <c r="M48" s="1456"/>
      <c r="N48" s="1474"/>
      <c r="O48" s="1474"/>
      <c r="P48" s="1474"/>
      <c r="Q48" s="1392"/>
      <c r="R48" s="1393"/>
      <c r="S48" s="1400">
        <v>1</v>
      </c>
      <c r="T48" s="1400"/>
      <c r="U48" s="1423" t="s">
        <v>121</v>
      </c>
      <c r="V48" s="1401" t="s">
        <v>105</v>
      </c>
      <c r="W48" s="1391" t="str">
        <f>OFFSET(W48,0,-1)</f>
        <v>2</v>
      </c>
      <c r="X48" s="1481">
        <f>OFFSET(X48,0,-1)+1</f>
        <v>3</v>
      </c>
      <c r="Y48" s="1487"/>
      <c r="Z48" s="1487"/>
      <c r="AA48" s="1487">
        <f>OFFSET(AA48,0,-1)+1</f>
        <v>1</v>
      </c>
      <c r="AB48" s="1487">
        <f>OFFSET(AB48,0,-1)+1</f>
        <v>2</v>
      </c>
      <c r="AC48" s="1481">
        <f>OFFSET(AC48,0,-1)+1</f>
        <v>3</v>
      </c>
      <c r="AD48" s="2431">
        <f>OFFSET(AD48,0,-1)+1</f>
        <v>4</v>
      </c>
      <c r="AE48" s="2431"/>
      <c r="AF48" s="1481">
        <f>OFFSET(AF48,0,-2)+1</f>
        <v>5</v>
      </c>
      <c r="AG48" s="1481">
        <f>OFFSET(AG48,0,-1)+1</f>
        <v>6</v>
      </c>
      <c r="AH48" s="1481"/>
      <c r="AI48" s="1481"/>
      <c r="AJ48" s="1481">
        <f>OFFSET(AJ48,0,-1)+1</f>
        <v>1</v>
      </c>
      <c r="AK48" s="1481">
        <f>OFFSET(AK48,0,-1)+1</f>
        <v>2</v>
      </c>
      <c r="AL48" s="1481">
        <f>OFFSET(AL48,0,-1)+1</f>
        <v>3</v>
      </c>
      <c r="AM48" s="2431">
        <f>OFFSET(AM48,0,-1)+1</f>
        <v>4</v>
      </c>
      <c r="AN48" s="2431"/>
      <c r="AO48" s="1481">
        <f>OFFSET(AO48,0,-2)+1</f>
        <v>5</v>
      </c>
      <c r="AP48" s="1391">
        <f>OFFSET(AP48,0,-1)</f>
        <v>5</v>
      </c>
      <c r="AQ48" s="1481">
        <f>OFFSET(AQ48,0,-1)+1</f>
        <v>6</v>
      </c>
      <c r="AR48" s="657"/>
      <c r="AS48" s="657"/>
      <c r="AT48" s="657"/>
      <c r="AU48" s="657"/>
      <c r="AV48" s="657"/>
      <c r="AW48" s="642">
        <v>0</v>
      </c>
    </row>
    <row customHeight="1" ht="22.049999999999997">
      <c r="A49" s="1413" t="s">
        <v>198</v>
      </c>
      <c r="B49" s="1413"/>
      <c r="C49" s="1413"/>
      <c r="D49" s="1413"/>
      <c r="E49" s="2448">
        <v>1</v>
      </c>
      <c r="F49" s="1413"/>
      <c r="G49" s="1413"/>
      <c r="H49" s="1413"/>
      <c r="I49" s="1413"/>
      <c r="J49" s="1413"/>
      <c r="K49" s="1413"/>
      <c r="L49" s="1413"/>
      <c r="M49" s="1456"/>
      <c r="N49" s="834"/>
      <c r="O49" s="834"/>
      <c r="P49" s="834"/>
      <c r="Q49" s="507"/>
      <c r="R49" s="506"/>
      <c r="S49" s="506"/>
      <c r="T49" s="501"/>
      <c r="U49" s="1482">
        <f>INDEX(PT_DIFFERENTIATION_NUM_NTAR,MATCH(A49,PT_DIFFERENTIATION_NTAR_ID,0))</f>
        <v>0</v>
      </c>
      <c r="V49" s="444" t="s">
        <v>147</v>
      </c>
      <c r="W49" s="446"/>
      <c r="X49" s="2401"/>
      <c r="Y49" s="2402"/>
      <c r="Z49" s="2402"/>
      <c r="AA49" s="2402"/>
      <c r="AB49" s="2402"/>
      <c r="AC49" s="2402"/>
      <c r="AD49" s="2402"/>
      <c r="AE49" s="2402"/>
      <c r="AF49" s="2403"/>
      <c r="AG49" s="2401" t="str">
        <f>INDEX(PT_DIFFERENTIATION_NTAR,MATCH(A49,PT_DIFFERENTIATION_NTAR_ID,0))</f>
        <v/>
      </c>
      <c r="AH49" s="2402"/>
      <c r="AI49" s="2402"/>
      <c r="AJ49" s="2402"/>
      <c r="AK49" s="2402"/>
      <c r="AL49" s="2402"/>
      <c r="AM49" s="2402"/>
      <c r="AN49" s="2402"/>
      <c r="AO49" s="2402"/>
      <c r="AP49" s="2403"/>
      <c r="AQ49" s="140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46"/>
      <c r="AT49" s="646" t="str">
        <f>IF(V49="","",V49)</f>
        <v>Наименование тарифа</v>
      </c>
      <c r="AU49" s="646"/>
      <c r="AV49" s="646"/>
      <c r="AW49" s="1301">
        <v>21</v>
      </c>
    </row>
    <row customHeight="1" ht="22.049999999999997">
      <c r="A50" s="1413" t="s">
        <v>198</v>
      </c>
      <c r="B50" s="1413" t="s">
        <v>199</v>
      </c>
      <c r="C50" s="1413"/>
      <c r="D50" s="1413"/>
      <c r="E50" s="2449"/>
      <c r="F50" s="2448">
        <v>1</v>
      </c>
      <c r="G50" s="1413"/>
      <c r="H50" s="1413"/>
      <c r="I50" s="1413"/>
      <c r="J50" s="1413"/>
      <c r="K50" s="1413"/>
      <c r="L50" s="1413"/>
      <c r="M50" s="1456"/>
      <c r="N50" s="834"/>
      <c r="O50" s="834"/>
      <c r="P50" s="834"/>
      <c r="Q50" s="1478"/>
      <c r="R50" s="498"/>
      <c r="S50" s="655"/>
      <c r="T50" s="499"/>
      <c r="U50" s="1482" t="str">
        <f>INDEX(PT_DIFFERENTIATION_NUM_TER,MATCH(B50,PT_DIFFERENTIATION_TER_ID,0))</f>
        <v>.</v>
      </c>
      <c r="V50" s="454" t="s">
        <v>419</v>
      </c>
      <c r="W50" s="446"/>
      <c r="X50" s="2401"/>
      <c r="Y50" s="2402"/>
      <c r="Z50" s="2402"/>
      <c r="AA50" s="2402"/>
      <c r="AB50" s="2402"/>
      <c r="AC50" s="2402"/>
      <c r="AD50" s="2402"/>
      <c r="AE50" s="2402"/>
      <c r="AF50" s="2403"/>
      <c r="AG50" s="2401" t="str">
        <f>INDEX(PT_DIFFERENTIATION_TER,MATCH(B50,PT_DIFFERENTIATION_TER_ID,0))</f>
        <v/>
      </c>
      <c r="AH50" s="2402"/>
      <c r="AI50" s="2402"/>
      <c r="AJ50" s="2402"/>
      <c r="AK50" s="2402"/>
      <c r="AL50" s="2402"/>
      <c r="AM50" s="2402"/>
      <c r="AN50" s="2402"/>
      <c r="AO50" s="2402"/>
      <c r="AP50" s="2403"/>
      <c r="AQ50" s="1404" t="s">
        <v>420</v>
      </c>
      <c r="AS50" s="646"/>
      <c r="AT50" s="646" t="str">
        <f>IF(V50="","",V50)</f>
        <v>Территория действия тарифа</v>
      </c>
      <c r="AU50" s="646"/>
      <c r="AV50" s="646"/>
      <c r="AW50" s="1301">
        <v>21</v>
      </c>
    </row>
    <row customHeight="1" ht="24">
      <c r="A51" s="1413" t="s">
        <v>198</v>
      </c>
      <c r="B51" s="1413" t="s">
        <v>199</v>
      </c>
      <c r="C51" s="1413" t="s">
        <v>200</v>
      </c>
      <c r="D51" s="1413"/>
      <c r="E51" s="2449"/>
      <c r="F51" s="2449"/>
      <c r="G51" s="2448">
        <v>1</v>
      </c>
      <c r="H51" s="1413"/>
      <c r="I51" s="1413"/>
      <c r="J51" s="1413"/>
      <c r="K51" s="1413"/>
      <c r="L51" s="1413"/>
      <c r="M51" s="1456"/>
      <c r="N51" s="834"/>
      <c r="O51" s="834"/>
      <c r="P51" s="834"/>
      <c r="Q51" s="500"/>
      <c r="R51" s="498"/>
      <c r="S51" s="655"/>
      <c r="T51" s="499"/>
      <c r="U51" s="1482" t="str">
        <f>INDEX(PT_DIFFERENTIATION_NUM_CS,MATCH(C51,PT_DIFFERENTIATION_CS_ID,0))</f>
        <v>..</v>
      </c>
      <c r="V51" s="455" t="s">
        <v>421</v>
      </c>
      <c r="W51" s="446"/>
      <c r="X51" s="2401"/>
      <c r="Y51" s="2402"/>
      <c r="Z51" s="2402"/>
      <c r="AA51" s="2402"/>
      <c r="AB51" s="2402"/>
      <c r="AC51" s="2402"/>
      <c r="AD51" s="2402"/>
      <c r="AE51" s="2402"/>
      <c r="AF51" s="2403"/>
      <c r="AG51" s="2401" t="str">
        <f>INDEX(PT_DIFFERENTIATION_CS,MATCH(C51,PT_DIFFERENTIATION_CS_ID,0))</f>
        <v/>
      </c>
      <c r="AH51" s="2402"/>
      <c r="AI51" s="2402"/>
      <c r="AJ51" s="2402"/>
      <c r="AK51" s="2402"/>
      <c r="AL51" s="2402"/>
      <c r="AM51" s="2402"/>
      <c r="AN51" s="2402"/>
      <c r="AO51" s="2402"/>
      <c r="AP51" s="2403"/>
      <c r="AQ51" s="1404" t="s">
        <v>422</v>
      </c>
      <c r="AS51" s="646"/>
      <c r="AT51" s="646" t="str">
        <f>IF(V51="","",V51)</f>
        <v>Наименование системы теплоснабжения </v>
      </c>
      <c r="AU51" s="646"/>
      <c r="AV51" s="646"/>
      <c r="AW51" s="1301">
        <v>23</v>
      </c>
    </row>
    <row customHeight="1" ht="22.049999999999997">
      <c r="A52" s="1413" t="s">
        <v>198</v>
      </c>
      <c r="B52" s="1413" t="s">
        <v>199</v>
      </c>
      <c r="C52" s="1413" t="s">
        <v>200</v>
      </c>
      <c r="D52" s="1413" t="s">
        <v>201</v>
      </c>
      <c r="E52" s="2449"/>
      <c r="F52" s="2449"/>
      <c r="G52" s="2449"/>
      <c r="H52" s="2469">
        <v>1</v>
      </c>
      <c r="I52" s="1413"/>
      <c r="J52" s="1413"/>
      <c r="K52" s="1413"/>
      <c r="L52" s="1413"/>
      <c r="M52" s="1456"/>
      <c r="N52" s="834"/>
      <c r="O52" s="834"/>
      <c r="P52" s="834"/>
      <c r="Q52" s="500"/>
      <c r="R52" s="498"/>
      <c r="S52" s="655"/>
      <c r="T52" s="499"/>
      <c r="U52" s="1482" t="str">
        <f>INDEX(PT_DIFFERENTIATION_NUM_IST_TE,MATCH(D52,PT_DIFFERENTIATION_IST_TE_ID,0))</f>
        <v>...</v>
      </c>
      <c r="V52" s="456" t="s">
        <v>423</v>
      </c>
      <c r="W52" s="446"/>
      <c r="X52" s="2401"/>
      <c r="Y52" s="2402"/>
      <c r="Z52" s="2402"/>
      <c r="AA52" s="2402"/>
      <c r="AB52" s="2402"/>
      <c r="AC52" s="2402"/>
      <c r="AD52" s="2402"/>
      <c r="AE52" s="2402"/>
      <c r="AF52" s="2403"/>
      <c r="AG52" s="2401" t="str">
        <f>INDEX(PT_DIFFERENTIATION_IST_TE,MATCH(D52,PT_DIFFERENTIATION_IST_TE_ID,0))</f>
        <v/>
      </c>
      <c r="AH52" s="2402"/>
      <c r="AI52" s="2402"/>
      <c r="AJ52" s="2402"/>
      <c r="AK52" s="2402"/>
      <c r="AL52" s="2402"/>
      <c r="AM52" s="2402"/>
      <c r="AN52" s="2402"/>
      <c r="AO52" s="2402"/>
      <c r="AP52" s="2403"/>
      <c r="AQ52" s="1404" t="s">
        <v>424</v>
      </c>
      <c r="AS52" s="646"/>
      <c r="AT52" s="646" t="str">
        <f>IF(V52="","",V52)</f>
        <v>Источник тепловой энергии  </v>
      </c>
      <c r="AU52" s="646"/>
      <c r="AV52" s="646"/>
      <c r="AW52" s="1301">
        <v>21</v>
      </c>
    </row>
    <row s="6720" customFormat="1" customHeight="1" ht="0">
      <c r="A53" s="1521" t="s">
        <v>198</v>
      </c>
      <c r="B53" s="1521" t="s">
        <v>199</v>
      </c>
      <c r="C53" s="1521" t="s">
        <v>200</v>
      </c>
      <c r="D53" s="1521" t="s">
        <v>201</v>
      </c>
      <c r="E53" s="2449"/>
      <c r="F53" s="2449"/>
      <c r="G53" s="2449"/>
      <c r="H53" s="2470"/>
      <c r="I53" s="2286" t="str">
        <f>U52&amp;".1"</f>
        <v>....1</v>
      </c>
      <c r="J53" s="1521"/>
      <c r="K53" s="1521"/>
      <c r="L53" s="1521"/>
      <c r="M53" s="1527" t="s">
        <v>425</v>
      </c>
      <c r="N53" s="1392"/>
      <c r="O53" s="1392"/>
      <c r="P53" s="1392"/>
      <c r="Q53" s="2416">
        <v>1</v>
      </c>
      <c r="R53" s="1477"/>
      <c r="S53" s="1477"/>
      <c r="T53" s="502"/>
      <c r="U53" s="1188"/>
      <c r="V53" s="1529"/>
      <c r="W53" s="1530"/>
      <c r="X53" s="2455"/>
      <c r="Y53" s="2456"/>
      <c r="Z53" s="2456"/>
      <c r="AA53" s="2456"/>
      <c r="AB53" s="2456"/>
      <c r="AC53" s="2456"/>
      <c r="AD53" s="2456"/>
      <c r="AE53" s="2456"/>
      <c r="AF53" s="2457"/>
      <c r="AG53" s="2455"/>
      <c r="AH53" s="2456"/>
      <c r="AI53" s="2456"/>
      <c r="AJ53" s="2456"/>
      <c r="AK53" s="2456"/>
      <c r="AL53" s="2456"/>
      <c r="AM53" s="2456"/>
      <c r="AN53" s="2456"/>
      <c r="AO53" s="2456"/>
      <c r="AP53" s="2457"/>
      <c r="AQ53" s="1531"/>
      <c r="AS53" s="646"/>
      <c r="AT53" s="646" t="str">
        <f>IF(V53="","",V53)</f>
        <v/>
      </c>
      <c r="AU53" s="646"/>
      <c r="AV53" s="646"/>
      <c r="AW53" s="657">
        <v>0</v>
      </c>
    </row>
    <row customHeight="1" ht="22.049999999999997">
      <c r="A54" s="1413" t="s">
        <v>198</v>
      </c>
      <c r="B54" s="1413" t="s">
        <v>199</v>
      </c>
      <c r="C54" s="1413" t="s">
        <v>200</v>
      </c>
      <c r="D54" s="1413" t="s">
        <v>201</v>
      </c>
      <c r="E54" s="2449"/>
      <c r="F54" s="2449"/>
      <c r="G54" s="2449"/>
      <c r="H54" s="2470"/>
      <c r="I54" s="2260"/>
      <c r="J54" s="2286" t="str">
        <f>I53&amp;".1"</f>
        <v>....1.1</v>
      </c>
      <c r="K54" s="1413"/>
      <c r="L54" s="1413"/>
      <c r="M54" s="1456" t="s">
        <v>428</v>
      </c>
      <c r="Q54" s="2416"/>
      <c r="R54" s="2416">
        <v>1</v>
      </c>
      <c r="S54" s="664"/>
      <c r="T54" s="503"/>
      <c r="U54" s="1482" t="str">
        <f>$J54</f>
        <v>....1.1</v>
      </c>
      <c r="V54" s="432" t="s">
        <v>429</v>
      </c>
      <c r="W54" s="446"/>
      <c r="X54" s="2404"/>
      <c r="Y54" s="2405"/>
      <c r="Z54" s="2405"/>
      <c r="AA54" s="2405"/>
      <c r="AB54" s="2405"/>
      <c r="AC54" s="2394"/>
      <c r="AD54" s="2394"/>
      <c r="AE54" s="2394"/>
      <c r="AF54" s="2467"/>
      <c r="AG54" s="2404"/>
      <c r="AH54" s="2405"/>
      <c r="AI54" s="2405"/>
      <c r="AJ54" s="2405"/>
      <c r="AK54" s="2405"/>
      <c r="AL54" s="2405"/>
      <c r="AM54" s="2405"/>
      <c r="AN54" s="2405"/>
      <c r="AO54" s="2405"/>
      <c r="AP54" s="2406"/>
      <c r="AQ54" s="1404" t="s">
        <v>430</v>
      </c>
      <c r="AS54" s="646"/>
      <c r="AT54" s="646" t="str">
        <f>IF(V54="","",V54)</f>
        <v>Группа потребителей</v>
      </c>
      <c r="AU54" s="646"/>
      <c r="AV54" s="646"/>
      <c r="AW54" s="1301">
        <v>21</v>
      </c>
    </row>
    <row customHeight="1" ht="22.049999999999997">
      <c r="A55" s="1413" t="s">
        <v>198</v>
      </c>
      <c r="B55" s="1413" t="s">
        <v>199</v>
      </c>
      <c r="C55" s="1413" t="s">
        <v>200</v>
      </c>
      <c r="D55" s="1413" t="s">
        <v>201</v>
      </c>
      <c r="E55" s="2449"/>
      <c r="F55" s="2449"/>
      <c r="G55" s="2449"/>
      <c r="H55" s="2470"/>
      <c r="I55" s="2260"/>
      <c r="J55" s="2260"/>
      <c r="K55" s="2286" t="str">
        <f>J54&amp;".1"</f>
        <v>....1.1.1</v>
      </c>
      <c r="L55" s="285"/>
      <c r="M55" s="1456" t="s">
        <v>431</v>
      </c>
      <c r="Q55" s="2416"/>
      <c r="R55" s="2416"/>
      <c r="S55" s="664">
        <v>1</v>
      </c>
      <c r="T55" s="503"/>
      <c r="U55" s="1482" t="str">
        <f>$K55</f>
        <v>....1.1.1</v>
      </c>
      <c r="V55" s="1493"/>
      <c r="W55" s="446"/>
      <c r="X55" s="897"/>
      <c r="Y55" s="897"/>
      <c r="Z55" s="897"/>
      <c r="AA55" s="897"/>
      <c r="AB55" s="1551"/>
      <c r="AC55" s="2424"/>
      <c r="AD55" s="2266" t="s">
        <v>63</v>
      </c>
      <c r="AE55" s="2424"/>
      <c r="AF55" s="2266" t="s">
        <v>63</v>
      </c>
      <c r="AG55" s="1553"/>
      <c r="AH55" s="897"/>
      <c r="AI55" s="897"/>
      <c r="AJ55" s="897"/>
      <c r="AK55" s="1403"/>
      <c r="AL55" s="2424"/>
      <c r="AM55" s="2266" t="s">
        <v>63</v>
      </c>
      <c r="AN55" s="2424"/>
      <c r="AO55" s="2266" t="s">
        <v>63</v>
      </c>
      <c r="AP55" s="1494"/>
      <c r="AQ55" s="1453" t="s">
        <v>474</v>
      </c>
      <c r="AR55" s="657">
        <f>STRCHECKDATE(X57:AP57)</f>
      </c>
      <c r="AS55" s="646"/>
      <c r="AT55" s="646" t="str">
        <f>IF(V55="","",V55)</f>
        <v/>
      </c>
      <c r="AU55" s="646"/>
      <c r="AV55" s="646"/>
      <c r="AW55" s="1301">
        <v>21</v>
      </c>
    </row>
    <row customHeight="1" ht="11.549999999999999">
      <c r="A56" s="1413" t="s">
        <v>198</v>
      </c>
      <c r="B56" s="1413" t="s">
        <v>199</v>
      </c>
      <c r="C56" s="1413" t="s">
        <v>200</v>
      </c>
      <c r="D56" s="1413" t="s">
        <v>201</v>
      </c>
      <c r="E56" s="2449"/>
      <c r="F56" s="2449"/>
      <c r="G56" s="2449"/>
      <c r="H56" s="2470"/>
      <c r="I56" s="2260"/>
      <c r="J56" s="2260"/>
      <c r="K56" s="2260"/>
      <c r="L56" s="2286" t="str">
        <f>K55&amp;".1"</f>
        <v>....1.1.1.1</v>
      </c>
      <c r="M56" s="1456"/>
      <c r="Q56" s="2416"/>
      <c r="R56" s="2416"/>
      <c r="S56" s="664">
        <v>1</v>
      </c>
      <c r="T56" s="503"/>
      <c r="U56" s="1482" t="str">
        <f>$L56</f>
        <v>....1.1.1.1</v>
      </c>
      <c r="V56" s="1537"/>
      <c r="W56" s="446"/>
      <c r="X56" s="471"/>
      <c r="Y56" s="897"/>
      <c r="Z56" s="897"/>
      <c r="AA56" s="897"/>
      <c r="AB56" s="1551"/>
      <c r="AC56" s="2468"/>
      <c r="AD56" s="2266"/>
      <c r="AE56" s="2468"/>
      <c r="AF56" s="2266"/>
      <c r="AG56" s="1553"/>
      <c r="AH56" s="897"/>
      <c r="AI56" s="897"/>
      <c r="AJ56" s="897"/>
      <c r="AK56" s="1403"/>
      <c r="AL56" s="2468"/>
      <c r="AM56" s="2266"/>
      <c r="AN56" s="2468"/>
      <c r="AO56" s="2266"/>
      <c r="AP56" s="1494"/>
      <c r="AQ56" s="2412" t="s">
        <v>475</v>
      </c>
      <c r="AR56" s="657">
        <f>STRCHECKDATE(X58:AP58)</f>
      </c>
      <c r="AS56" s="646"/>
      <c r="AT56" s="646" t="str">
        <f>IF(V56="","",V56)</f>
        <v/>
      </c>
      <c r="AU56" s="646"/>
      <c r="AV56" s="646"/>
      <c r="AW56" s="1301">
        <v>11</v>
      </c>
    </row>
    <row customHeight="1" ht="0">
      <c r="A57" s="1413" t="s">
        <v>198</v>
      </c>
      <c r="B57" s="1413" t="s">
        <v>199</v>
      </c>
      <c r="C57" s="1413" t="s">
        <v>200</v>
      </c>
      <c r="D57" s="1413" t="s">
        <v>201</v>
      </c>
      <c r="E57" s="2449"/>
      <c r="F57" s="2449"/>
      <c r="G57" s="2449"/>
      <c r="H57" s="2470"/>
      <c r="I57" s="2260"/>
      <c r="J57" s="2260"/>
      <c r="K57" s="2260"/>
      <c r="L57" s="2286"/>
      <c r="M57" s="1456"/>
      <c r="Q57" s="2416"/>
      <c r="R57" s="2416"/>
      <c r="S57" s="664"/>
      <c r="T57" s="503"/>
      <c r="U57" s="1488"/>
      <c r="V57" s="446"/>
      <c r="W57" s="446"/>
      <c r="X57" s="471"/>
      <c r="Y57" s="471"/>
      <c r="Z57" s="471"/>
      <c r="AA57" s="471"/>
      <c r="AB57" s="1552" t="str">
        <f>AC55&amp;"-"&amp;AE55</f>
        <v>-</v>
      </c>
      <c r="AC57" s="2468"/>
      <c r="AD57" s="2266"/>
      <c r="AE57" s="2468"/>
      <c r="AF57" s="2266"/>
      <c r="AG57" s="1528"/>
      <c r="AH57" s="471"/>
      <c r="AI57" s="471"/>
      <c r="AJ57" s="471"/>
      <c r="AK57" s="474" t="str">
        <f>AL55&amp;"-"&amp;AN55</f>
        <v>-</v>
      </c>
      <c r="AL57" s="2468"/>
      <c r="AM57" s="2266"/>
      <c r="AN57" s="2468"/>
      <c r="AO57" s="2266"/>
      <c r="AP57" s="1495"/>
      <c r="AQ57" s="2413"/>
      <c r="AS57" s="646"/>
      <c r="AT57" s="646" t="str">
        <f>IF(V57="","",V57)</f>
        <v/>
      </c>
      <c r="AU57" s="646"/>
      <c r="AV57" s="646"/>
      <c r="AW57" s="1301">
        <v>0</v>
      </c>
    </row>
    <row customHeight="1" ht="11.549999999999999">
      <c r="A58" s="1413" t="s">
        <v>198</v>
      </c>
      <c r="B58" s="1413" t="s">
        <v>199</v>
      </c>
      <c r="C58" s="1413" t="s">
        <v>200</v>
      </c>
      <c r="D58" s="1413" t="s">
        <v>201</v>
      </c>
      <c r="E58" s="2449"/>
      <c r="F58" s="2449"/>
      <c r="G58" s="2449"/>
      <c r="H58" s="2470"/>
      <c r="I58" s="2260"/>
      <c r="J58" s="2260"/>
      <c r="K58" s="2286"/>
      <c r="L58" s="1413"/>
      <c r="M58" s="1456"/>
      <c r="Q58" s="2416"/>
      <c r="R58" s="2416"/>
      <c r="S58" s="1477"/>
      <c r="T58" s="502"/>
      <c r="U58" s="1424"/>
      <c r="V58" s="434" t="s">
        <v>476</v>
      </c>
      <c r="W58" s="513"/>
      <c r="X58" s="513"/>
      <c r="Y58" s="513"/>
      <c r="Z58" s="513"/>
      <c r="AA58" s="513"/>
      <c r="AB58" s="513"/>
      <c r="AC58" s="2468"/>
      <c r="AD58" s="2266"/>
      <c r="AE58" s="2468"/>
      <c r="AF58" s="2266"/>
      <c r="AG58" s="513"/>
      <c r="AH58" s="513"/>
      <c r="AI58" s="513"/>
      <c r="AJ58" s="513"/>
      <c r="AK58" s="513"/>
      <c r="AL58" s="2468"/>
      <c r="AM58" s="2266"/>
      <c r="AN58" s="2468"/>
      <c r="AO58" s="2266"/>
      <c r="AP58" s="470"/>
      <c r="AQ58" s="2413"/>
      <c r="AS58" s="646"/>
      <c r="AT58" s="646" t="str">
        <f>IF(V58="","",V58)</f>
        <v>Добавить наименование поставщика</v>
      </c>
      <c r="AU58" s="646"/>
      <c r="AV58" s="646"/>
      <c r="AW58" s="1301">
        <v>11</v>
      </c>
    </row>
    <row customHeight="1" ht="11.549999999999999">
      <c r="A59" s="1413" t="s">
        <v>198</v>
      </c>
      <c r="B59" s="1413" t="s">
        <v>199</v>
      </c>
      <c r="C59" s="1413" t="s">
        <v>200</v>
      </c>
      <c r="D59" s="1413" t="s">
        <v>201</v>
      </c>
      <c r="E59" s="2449"/>
      <c r="F59" s="2449"/>
      <c r="G59" s="2449"/>
      <c r="H59" s="2470"/>
      <c r="I59" s="2260"/>
      <c r="J59" s="2286"/>
      <c r="K59" s="1413"/>
      <c r="L59" s="1413"/>
      <c r="M59" s="1456"/>
      <c r="Q59" s="2416"/>
      <c r="R59" s="2416"/>
      <c r="S59" s="1477"/>
      <c r="T59" s="502"/>
      <c r="U59" s="1424"/>
      <c r="V59" s="433" t="s">
        <v>433</v>
      </c>
      <c r="W59" s="513"/>
      <c r="X59" s="513"/>
      <c r="Y59" s="513"/>
      <c r="Z59" s="513"/>
      <c r="AA59" s="513"/>
      <c r="AB59" s="513"/>
      <c r="AC59" s="1554"/>
      <c r="AD59" s="1554"/>
      <c r="AE59" s="1554"/>
      <c r="AF59" s="1554"/>
      <c r="AG59" s="513"/>
      <c r="AH59" s="513"/>
      <c r="AI59" s="513"/>
      <c r="AJ59" s="513"/>
      <c r="AK59" s="513"/>
      <c r="AL59" s="513"/>
      <c r="AM59" s="513"/>
      <c r="AN59" s="513"/>
      <c r="AO59" s="513"/>
      <c r="AP59" s="470"/>
      <c r="AQ59" s="2414"/>
      <c r="AS59" s="646"/>
      <c r="AT59" s="646" t="str">
        <f>IF(V59="","",V59)</f>
        <v>Добавить вид теплоносителя (параметры теплоносителя)</v>
      </c>
      <c r="AU59" s="646"/>
      <c r="AV59" s="646"/>
      <c r="AW59" s="1301">
        <v>11</v>
      </c>
    </row>
    <row customHeight="1" ht="11.549999999999999">
      <c r="A60" s="1413" t="s">
        <v>198</v>
      </c>
      <c r="B60" s="1413" t="s">
        <v>199</v>
      </c>
      <c r="C60" s="1413" t="s">
        <v>200</v>
      </c>
      <c r="D60" s="1413" t="s">
        <v>201</v>
      </c>
      <c r="E60" s="2449"/>
      <c r="F60" s="2449"/>
      <c r="G60" s="2449"/>
      <c r="H60" s="2470"/>
      <c r="I60" s="2286"/>
      <c r="J60" s="1413"/>
      <c r="K60" s="1413"/>
      <c r="L60" s="1413"/>
      <c r="M60" s="1456"/>
      <c r="Q60" s="2416"/>
      <c r="R60" s="1477"/>
      <c r="S60" s="1477"/>
      <c r="T60" s="502"/>
      <c r="U60" s="1424"/>
      <c r="V60" s="511" t="s">
        <v>434</v>
      </c>
      <c r="W60" s="513"/>
      <c r="X60" s="513"/>
      <c r="Y60" s="513"/>
      <c r="Z60" s="513"/>
      <c r="AA60" s="513"/>
      <c r="AB60" s="513"/>
      <c r="AC60" s="513"/>
      <c r="AD60" s="513"/>
      <c r="AE60" s="513"/>
      <c r="AF60" s="512"/>
      <c r="AG60" s="513"/>
      <c r="AH60" s="513"/>
      <c r="AI60" s="513"/>
      <c r="AJ60" s="513"/>
      <c r="AK60" s="513"/>
      <c r="AL60" s="513"/>
      <c r="AM60" s="513"/>
      <c r="AN60" s="513"/>
      <c r="AO60" s="512"/>
      <c r="AP60" s="513"/>
      <c r="AQ60" s="449"/>
      <c r="AS60" s="646"/>
      <c r="AT60" s="646" t="str">
        <f>IF(V60="","",V60)</f>
        <v>Добавить группу потребителей</v>
      </c>
      <c r="AU60" s="646"/>
      <c r="AV60" s="646"/>
      <c r="AW60" s="1301">
        <v>11</v>
      </c>
    </row>
    <row customHeight="1" ht="0">
      <c r="A61" s="1413" t="s">
        <v>198</v>
      </c>
      <c r="B61" s="1413" t="s">
        <v>199</v>
      </c>
      <c r="C61" s="1413" t="s">
        <v>200</v>
      </c>
      <c r="D61" s="1413" t="s">
        <v>201</v>
      </c>
      <c r="E61" s="2449"/>
      <c r="F61" s="2449"/>
      <c r="G61" s="2449"/>
      <c r="H61" s="2469"/>
      <c r="I61" s="1413"/>
      <c r="J61" s="1413"/>
      <c r="K61" s="1413"/>
      <c r="L61" s="1413"/>
      <c r="M61" s="1456"/>
      <c r="N61" s="834"/>
      <c r="O61" s="834"/>
      <c r="P61" s="655"/>
      <c r="Q61" s="506"/>
      <c r="R61" s="521"/>
      <c r="S61" s="501"/>
      <c r="T61" s="506"/>
      <c r="U61" s="1532"/>
      <c r="V61" s="1533"/>
      <c r="W61" s="1534"/>
      <c r="X61" s="1534"/>
      <c r="Y61" s="1534"/>
      <c r="Z61" s="1534"/>
      <c r="AA61" s="1534"/>
      <c r="AB61" s="1534"/>
      <c r="AC61" s="1534"/>
      <c r="AD61" s="1534"/>
      <c r="AE61" s="1534"/>
      <c r="AF61" s="1534"/>
      <c r="AG61" s="1534"/>
      <c r="AH61" s="1534"/>
      <c r="AI61" s="1534"/>
      <c r="AJ61" s="1534"/>
      <c r="AK61" s="1534"/>
      <c r="AL61" s="1534"/>
      <c r="AM61" s="1534"/>
      <c r="AN61" s="1534"/>
      <c r="AO61" s="1534"/>
      <c r="AP61" s="1534"/>
      <c r="AQ61" s="1535"/>
      <c r="AS61" s="646"/>
      <c r="AT61" s="646" t="str">
        <f>IF(V61="","",V61)</f>
        <v/>
      </c>
      <c r="AU61" s="646"/>
      <c r="AV61" s="646"/>
      <c r="AW61" s="1301">
        <v>0</v>
      </c>
    </row>
    <row s="6720" customFormat="1" customHeight="1" ht="0">
      <c r="A62" s="1521" t="s">
        <v>198</v>
      </c>
      <c r="B62" s="1521" t="s">
        <v>199</v>
      </c>
      <c r="C62" s="1521" t="s">
        <v>200</v>
      </c>
      <c r="D62" s="1520"/>
      <c r="E62" s="2449"/>
      <c r="F62" s="2449"/>
      <c r="G62" s="2448"/>
      <c r="H62" s="1520"/>
      <c r="I62" s="1520"/>
      <c r="J62" s="1520"/>
      <c r="K62" s="1520"/>
      <c r="L62" s="1520"/>
      <c r="M62" s="1523"/>
      <c r="N62" s="1524"/>
      <c r="O62" s="1524"/>
      <c r="P62" s="497"/>
      <c r="Q62" s="1462"/>
      <c r="R62" s="1463"/>
      <c r="S62" s="1462"/>
      <c r="T62" s="1462"/>
      <c r="U62" s="1468"/>
      <c r="V62" s="1471" t="s">
        <v>436</v>
      </c>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S62" s="935"/>
      <c r="AT62" s="935" t="str">
        <f>IF(V62="","",V62)</f>
        <v>Добавить источник для дифференциации</v>
      </c>
      <c r="AU62" s="935"/>
      <c r="AV62" s="935"/>
      <c r="AW62" s="664">
        <v>0</v>
      </c>
    </row>
    <row s="6720" customFormat="1" customHeight="1" ht="0">
      <c r="A63" s="1521" t="s">
        <v>198</v>
      </c>
      <c r="B63" s="1521" t="s">
        <v>199</v>
      </c>
      <c r="C63" s="1520"/>
      <c r="D63" s="1520"/>
      <c r="E63" s="2449"/>
      <c r="F63" s="2448"/>
      <c r="G63" s="1520"/>
      <c r="H63" s="1520"/>
      <c r="I63" s="1520"/>
      <c r="J63" s="1520"/>
      <c r="K63" s="1520"/>
      <c r="L63" s="1520"/>
      <c r="M63" s="1523"/>
      <c r="N63" s="1525"/>
      <c r="O63" s="1525"/>
      <c r="P63" s="497"/>
      <c r="Q63" s="1462"/>
      <c r="R63" s="1463"/>
      <c r="S63" s="1462"/>
      <c r="T63" s="1462"/>
      <c r="U63" s="1468"/>
      <c r="V63" s="1471" t="s">
        <v>437</v>
      </c>
      <c r="W63" s="1470"/>
      <c r="X63" s="1470"/>
      <c r="Y63" s="1470"/>
      <c r="Z63" s="1470"/>
      <c r="AA63" s="1470"/>
      <c r="AB63" s="1470"/>
      <c r="AC63" s="1470"/>
      <c r="AD63" s="1470"/>
      <c r="AE63" s="1470"/>
      <c r="AF63" s="1470"/>
      <c r="AG63" s="1470"/>
      <c r="AH63" s="1470"/>
      <c r="AI63" s="1470"/>
      <c r="AJ63" s="1470"/>
      <c r="AK63" s="1470"/>
      <c r="AL63" s="1470"/>
      <c r="AM63" s="1470"/>
      <c r="AN63" s="1470"/>
      <c r="AO63" s="1470"/>
      <c r="AP63" s="1470"/>
      <c r="AQ63" s="1470"/>
      <c r="AS63" s="935"/>
      <c r="AT63" s="935" t="str">
        <f>IF(V63="","",V63)</f>
        <v>Добавить централизованную систему для дифференциации</v>
      </c>
      <c r="AU63" s="935"/>
      <c r="AV63" s="935"/>
      <c r="AW63" s="664">
        <v>0</v>
      </c>
    </row>
    <row s="6720" customFormat="1" customHeight="1" ht="0">
      <c r="A64" s="1521" t="s">
        <v>198</v>
      </c>
      <c r="B64" s="1521"/>
      <c r="C64" s="1521"/>
      <c r="D64" s="1521"/>
      <c r="E64" s="2448"/>
      <c r="F64" s="1521"/>
      <c r="G64" s="1521"/>
      <c r="H64" s="1521"/>
      <c r="I64" s="1521"/>
      <c r="J64" s="1521"/>
      <c r="K64" s="1521"/>
      <c r="L64" s="1521"/>
      <c r="M64" s="1527"/>
      <c r="N64" s="1525"/>
      <c r="O64" s="1525"/>
      <c r="P64" s="497"/>
      <c r="Q64" s="526"/>
      <c r="R64" s="1490"/>
      <c r="S64" s="526"/>
      <c r="T64" s="526"/>
      <c r="U64" s="1468"/>
      <c r="V64" s="1471" t="s">
        <v>438</v>
      </c>
      <c r="W64" s="1470"/>
      <c r="X64" s="1470"/>
      <c r="Y64" s="1470"/>
      <c r="Z64" s="1470"/>
      <c r="AA64" s="1470"/>
      <c r="AB64" s="1470"/>
      <c r="AC64" s="1470"/>
      <c r="AD64" s="1470"/>
      <c r="AE64" s="1470"/>
      <c r="AF64" s="1470"/>
      <c r="AG64" s="1470"/>
      <c r="AH64" s="1470"/>
      <c r="AI64" s="1470"/>
      <c r="AJ64" s="1470"/>
      <c r="AK64" s="1470"/>
      <c r="AL64" s="1470"/>
      <c r="AM64" s="1470"/>
      <c r="AN64" s="1470"/>
      <c r="AO64" s="1470"/>
      <c r="AP64" s="1470"/>
      <c r="AQ64" s="1470"/>
      <c r="AS64" s="646"/>
      <c r="AT64" s="646" t="str">
        <f>IF(V64="","",V64)</f>
        <v>Добавить территорию для дифференциации</v>
      </c>
      <c r="AU64" s="646"/>
      <c r="AV64" s="646"/>
      <c r="AW64" s="657">
        <v>0</v>
      </c>
    </row>
    <row s="6720" customFormat="1" customHeight="1" ht="4.2">
      <c r="A65" s="1520"/>
      <c r="B65" s="1520"/>
      <c r="C65" s="1520"/>
      <c r="D65" s="1520"/>
      <c r="E65" s="1521"/>
      <c r="F65" s="1520"/>
      <c r="G65" s="1520"/>
      <c r="H65" s="1520"/>
      <c r="I65" s="1520"/>
      <c r="J65" s="1520"/>
      <c r="K65" s="1520"/>
      <c r="L65" s="1520"/>
      <c r="M65" s="1523"/>
      <c r="N65" s="1525"/>
      <c r="O65" s="1525"/>
      <c r="P65" s="497"/>
      <c r="Q65" s="1462"/>
      <c r="R65" s="1463"/>
      <c r="S65" s="1462"/>
      <c r="T65" s="1462"/>
      <c r="U65" s="1468"/>
      <c r="V65" s="1471" t="s">
        <v>470</v>
      </c>
      <c r="W65" s="1470"/>
      <c r="X65" s="1470"/>
      <c r="Y65" s="1470"/>
      <c r="Z65" s="1470"/>
      <c r="AA65" s="1470"/>
      <c r="AB65" s="1470"/>
      <c r="AC65" s="1470"/>
      <c r="AD65" s="1470"/>
      <c r="AE65" s="1470"/>
      <c r="AF65" s="1470"/>
      <c r="AG65" s="1470"/>
      <c r="AH65" s="1470"/>
      <c r="AI65" s="1470"/>
      <c r="AJ65" s="1470"/>
      <c r="AK65" s="1470"/>
      <c r="AL65" s="1470"/>
      <c r="AM65" s="1470"/>
      <c r="AN65" s="1470"/>
      <c r="AO65" s="1470"/>
      <c r="AP65" s="1470"/>
      <c r="AQ65" s="1470"/>
      <c r="AS65" s="935"/>
      <c r="AT65" s="935" t="str">
        <f>IF(V65="","",V65)</f>
        <v>Добавить наименование тарифа</v>
      </c>
      <c r="AU65" s="935"/>
      <c r="AV65" s="935"/>
      <c r="AW65" s="664">
        <v>4</v>
      </c>
    </row>
    <row customHeight="1" ht="11.549999999999999">
      <c r="N66" s="1301"/>
      <c r="O66" s="1301"/>
      <c r="P66" s="655"/>
      <c r="Q66" s="1301"/>
      <c r="R66" s="1301"/>
      <c r="S66" s="1301"/>
      <c r="T66" s="1301"/>
      <c r="U66" s="1301"/>
      <c r="AR66" s="1301"/>
      <c r="AS66" s="1301"/>
      <c r="AT66" s="1301"/>
      <c r="AU66" s="1301"/>
      <c r="AV66" s="1301"/>
      <c r="AW66" s="1301">
        <v>11</v>
      </c>
    </row>
    <row customHeight="1" ht="35.699999999999996">
      <c r="P67" s="655"/>
      <c r="U67" s="1399"/>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W67" s="1301">
        <v>34</v>
      </c>
    </row>
    <row customHeight="1" ht="21">
      <c r="P68" s="655"/>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W68" s="1301">
        <v>20</v>
      </c>
    </row>
    <row customHeight="1" ht="14.699999999999998">
      <c r="P69" s="655"/>
      <c r="AW69" s="1301">
        <v>14</v>
      </c>
    </row>
    <row customHeight="1" ht="28.5">
      <c r="P70" s="655"/>
      <c r="V70" s="2444"/>
      <c r="W70" s="2444"/>
      <c r="X70" s="2444"/>
      <c r="Y70" s="2444"/>
      <c r="Z70" s="2444"/>
      <c r="AA70" s="2444"/>
      <c r="AB70" s="2444"/>
      <c r="AC70" s="2444"/>
      <c r="AD70" s="2444"/>
      <c r="AE70" s="2444"/>
      <c r="AF70" s="2444"/>
      <c r="AG70" s="2444"/>
      <c r="AH70" s="2444"/>
      <c r="AI70" s="2444"/>
      <c r="AJ70" s="2444"/>
      <c r="AK70" s="2444"/>
      <c r="AL70" s="2444"/>
      <c r="AM70" s="2444"/>
      <c r="AN70" s="2444"/>
      <c r="AO70" s="2444"/>
      <c r="AP70" s="2444"/>
      <c r="AQ70" s="2444"/>
      <c r="AW70" s="1301">
        <v>27</v>
      </c>
    </row>
    <row customHeight="1" ht="18.75">
      <c r="P71" s="655"/>
      <c r="V71" s="2444"/>
      <c r="W71" s="2444"/>
      <c r="X71" s="2444"/>
      <c r="Y71" s="2444"/>
      <c r="Z71" s="2444"/>
      <c r="AA71" s="2444"/>
      <c r="AB71" s="2444"/>
      <c r="AC71" s="2444"/>
      <c r="AD71" s="2444"/>
      <c r="AE71" s="2444"/>
      <c r="AF71" s="2444"/>
      <c r="AG71" s="2444"/>
      <c r="AH71" s="2444"/>
      <c r="AI71" s="2444"/>
      <c r="AJ71" s="2444"/>
      <c r="AK71" s="2444"/>
      <c r="AL71" s="2444"/>
      <c r="AM71" s="2444"/>
      <c r="AN71" s="2444"/>
      <c r="AO71" s="2444"/>
      <c r="AP71" s="2444"/>
      <c r="AQ71" s="2444"/>
      <c r="AW71" s="1301">
        <v>18</v>
      </c>
    </row>
    <row customHeight="1" ht="22.5" hidden="1">
      <c r="A72" s="1301" t="s">
        <v>83</v>
      </c>
      <c r="B72" s="1301">
        <v>0</v>
      </c>
      <c r="C72" s="1301">
        <v>0</v>
      </c>
      <c r="D72" s="1301">
        <v>0</v>
      </c>
      <c r="E72" s="1301">
        <v>0</v>
      </c>
      <c r="F72" s="1301">
        <v>0</v>
      </c>
      <c r="G72" s="1301">
        <v>0</v>
      </c>
      <c r="H72" s="1301">
        <v>0</v>
      </c>
      <c r="I72" s="1301">
        <v>0</v>
      </c>
      <c r="J72" s="1301">
        <v>0</v>
      </c>
      <c r="K72" s="1301">
        <v>0</v>
      </c>
      <c r="L72" s="1301">
        <v>0</v>
      </c>
      <c r="M72" s="1473">
        <v>0</v>
      </c>
      <c r="N72" s="1474">
        <v>0</v>
      </c>
      <c r="O72" s="1474">
        <v>0</v>
      </c>
      <c r="P72" s="1474">
        <v>0</v>
      </c>
      <c r="Q72" s="1474">
        <v>0</v>
      </c>
      <c r="R72" s="490">
        <v>3</v>
      </c>
      <c r="S72" s="490">
        <v>3</v>
      </c>
      <c r="T72" s="490">
        <v>3</v>
      </c>
      <c r="U72" s="727">
        <v>12</v>
      </c>
      <c r="V72" s="1301">
        <v>31</v>
      </c>
      <c r="W72" s="1301">
        <v>0</v>
      </c>
      <c r="X72" s="1301">
        <v>0</v>
      </c>
      <c r="Y72" s="1301">
        <v>0</v>
      </c>
      <c r="Z72" s="1301">
        <v>0</v>
      </c>
      <c r="AA72" s="1301">
        <v>0</v>
      </c>
      <c r="AB72" s="1301">
        <v>0</v>
      </c>
      <c r="AC72" s="1301">
        <v>0</v>
      </c>
      <c r="AD72" s="1301">
        <v>0</v>
      </c>
      <c r="AE72" s="1301">
        <v>0</v>
      </c>
      <c r="AF72" s="1301">
        <v>0</v>
      </c>
      <c r="AG72" s="1301">
        <v>21</v>
      </c>
      <c r="AH72" s="1301">
        <v>21</v>
      </c>
      <c r="AI72" s="1301">
        <v>21</v>
      </c>
      <c r="AJ72" s="1301">
        <v>21</v>
      </c>
      <c r="AK72" s="1301">
        <v>21</v>
      </c>
      <c r="AL72" s="1301">
        <v>11</v>
      </c>
      <c r="AM72" s="1301">
        <v>3</v>
      </c>
      <c r="AN72" s="1301">
        <v>11</v>
      </c>
      <c r="AO72" s="1301">
        <v>8</v>
      </c>
      <c r="AP72" s="1301">
        <v>4</v>
      </c>
      <c r="AQ72" s="1301">
        <v>115</v>
      </c>
      <c r="AR72" s="657">
        <v>10</v>
      </c>
      <c r="AS72" s="657">
        <v>10</v>
      </c>
      <c r="AT72" s="657">
        <v>10</v>
      </c>
      <c r="AU72" s="657">
        <v>10</v>
      </c>
      <c r="AV72" s="657">
        <v>10</v>
      </c>
      <c r="AW72" s="1301">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C40DE39-1488-0DC1-3A92-0.509E52B1}" mc:Ignorable="x14ac xr xr2 xr3">
  <sheetPr>
    <tabColor rgb="FFCCCCFF"/>
  </sheetPr>
  <dimension ref="A1:Q79"/>
  <sheetViews>
    <sheetView topLeftCell="C1" showGridLines="0" zoomScale="90" workbookViewId="0" tabSelected="1">
      <selection activeCell="I51" sqref="I51"/>
    </sheetView>
  </sheetViews>
  <sheetFormatPr defaultColWidth="9.140625" customHeight="1" defaultRowHeight="11.25"/>
  <cols>
    <col min="1" max="1" style="5509" width="10.7109375" hidden="1" customWidth="1"/>
    <col min="2" max="2" style="6641" width="10.7109375" hidden="1" customWidth="1"/>
    <col min="3" max="3" style="5511" width="3.00390625" customWidth="1"/>
    <col min="4" max="4" style="7235" width="1.00390625" customWidth="1"/>
    <col min="5" max="6" style="7235" width="55.00390625" customWidth="1"/>
    <col min="7" max="7" style="7917" width="1.00390625" customWidth="1"/>
    <col min="8" max="8" style="7235" width="18.00390625" hidden="1" customWidth="1"/>
    <col min="9" max="9" style="5513" width="59.00390625" customWidth="1"/>
    <col min="10" max="10" style="7180" width="52.140625" hidden="1" customWidth="1"/>
    <col min="11" max="11" style="7235" width="8.00390625" customWidth="1"/>
    <col min="12" max="12" style="7235" width="77.00390625" customWidth="1"/>
    <col min="13" max="16" style="7235" width="8.00390625" customWidth="1"/>
    <col min="17" max="17" style="7235" width="12.00390625" hidden="1" customWidth="1"/>
  </cols>
  <sheetData>
    <row s="6710" customFormat="1" customHeight="1" ht="3">
      <c r="A1" s="929"/>
      <c r="B1" s="387"/>
      <c r="F1" s="388" t="s">
        <v>13</v>
      </c>
      <c r="G1" s="557"/>
      <c r="H1" s="217"/>
      <c r="I1" s="557"/>
      <c r="J1" s="1017"/>
      <c r="Q1" s="388" t="s">
        <v>14</v>
      </c>
    </row>
    <row s="7486" customFormat="1" customHeight="1" ht="14.25">
      <c r="A2" s="929"/>
      <c r="B2" s="244"/>
      <c r="E2" s="1885" t="str">
        <f>code</f>
        <v>Код отчёта: PP110.OPEN.INFO.BALANCE.HEAT.EIAS</v>
      </c>
      <c r="F2" s="415"/>
      <c r="G2" s="391"/>
      <c r="H2" s="391"/>
      <c r="I2" s="391"/>
      <c r="J2" s="1018"/>
      <c r="K2" s="391"/>
      <c r="Q2" s="217">
        <v>14</v>
      </c>
    </row>
    <row customHeight="1" ht="14.699999999999998">
      <c r="E3" s="392" t="str">
        <f>version</f>
        <v>Версия отчёта: 1.1.6</v>
      </c>
      <c r="F3" s="415"/>
      <c r="G3" s="916"/>
      <c r="H3" s="916"/>
      <c r="I3" s="916"/>
      <c r="J3" s="1019"/>
      <c r="K3" s="234"/>
      <c r="Q3" s="220">
        <v>14</v>
      </c>
    </row>
    <row s="6075" customFormat="1" customHeight="1" ht="6.3">
      <c r="A4" s="930"/>
      <c r="B4" s="378"/>
      <c r="C4" s="379"/>
      <c r="D4" s="380"/>
      <c r="E4" s="389"/>
      <c r="F4" s="390"/>
      <c r="G4" s="917"/>
      <c r="H4" s="555"/>
      <c r="I4" s="557"/>
      <c r="J4" s="1020"/>
      <c r="Q4" s="382">
        <v>6</v>
      </c>
    </row>
    <row customHeight="1" ht="39.75">
      <c r="D5" s="221"/>
      <c r="E5" s="2254"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55"/>
      <c r="G5" s="918"/>
      <c r="J5" s="1021"/>
      <c r="Q5" s="220">
        <v>38</v>
      </c>
    </row>
    <row s="6075" customFormat="1" customHeight="1" ht="6.3">
      <c r="A6" s="930"/>
      <c r="B6" s="378"/>
      <c r="C6" s="379"/>
      <c r="D6" s="380"/>
      <c r="E6" s="383"/>
      <c r="F6" s="384"/>
      <c r="G6" s="918"/>
      <c r="H6" s="555"/>
      <c r="I6" s="557"/>
      <c r="J6" s="1020"/>
      <c r="Q6" s="382">
        <v>6</v>
      </c>
    </row>
    <row customHeight="1" ht="21">
      <c r="D7" s="221"/>
      <c r="E7" s="537" t="s">
        <v>15</v>
      </c>
      <c r="F7" s="361" t="s">
        <v>16</v>
      </c>
      <c r="G7" s="918"/>
      <c r="Q7" s="220">
        <v>20</v>
      </c>
    </row>
    <row s="6075" customFormat="1" customHeight="1" ht="6.3">
      <c r="A8" s="931"/>
      <c r="B8" s="378"/>
      <c r="C8" s="379"/>
      <c r="D8" s="385"/>
      <c r="E8" s="383"/>
      <c r="F8" s="386"/>
      <c r="G8" s="223"/>
      <c r="H8" s="555"/>
      <c r="I8" s="557"/>
      <c r="J8" s="1023"/>
      <c r="Q8" s="382">
        <v>6</v>
      </c>
    </row>
    <row s="7235" customFormat="1" customHeight="1" ht="19.5" hidden="1">
      <c r="A9" s="930"/>
      <c r="B9" s="244"/>
      <c r="C9" s="554"/>
      <c r="D9" s="556"/>
      <c r="E9" s="1311" t="s">
        <v>17</v>
      </c>
      <c r="F9" s="2064"/>
      <c r="G9" s="918"/>
      <c r="I9" s="2043" t="str">
        <f>IF(TITLE_STRUCTURE_INFO_ROIV="","","раскрывается "&amp;INDEX(ROIV_INFO_COMMENT,MATCH(TITLE_STRUCTURE_INFO_ROIV,ROIV_INFO_LIST,0)))</f>
        <v/>
      </c>
      <c r="J9" s="1022"/>
      <c r="Q9" s="555">
        <v>0</v>
      </c>
    </row>
    <row s="6075" customFormat="1" customHeight="1" ht="24" hidden="1">
      <c r="A10" s="931"/>
      <c r="B10" s="572"/>
      <c r="C10" s="573"/>
      <c r="D10" s="385"/>
      <c r="E10" s="1311" t="s">
        <v>18</v>
      </c>
      <c r="F10" s="2209" t="s">
        <v>19</v>
      </c>
      <c r="G10" s="223"/>
      <c r="H10" s="555"/>
      <c r="I10" s="557"/>
      <c r="J10" s="1023"/>
      <c r="Q10" s="576">
        <v>24</v>
      </c>
    </row>
    <row customHeight="1" ht="22.5" hidden="1">
      <c r="A11" s="2257" t="s">
        <v>20</v>
      </c>
      <c r="D11" s="221"/>
      <c r="E11" s="1311" t="s">
        <v>21</v>
      </c>
      <c r="F11" s="1877" t="s">
        <v>22</v>
      </c>
      <c r="G11" s="223"/>
      <c r="H11" s="919" t="s">
        <v>23</v>
      </c>
      <c r="J11" s="1022" t="s">
        <v>24</v>
      </c>
      <c r="Q11" s="220">
        <v>0</v>
      </c>
    </row>
    <row customHeight="1" ht="22.5" hidden="1">
      <c r="A12" s="2257"/>
      <c r="D12" s="221"/>
      <c r="E12" s="1311" t="s">
        <v>25</v>
      </c>
      <c r="F12" s="1877"/>
      <c r="G12" s="219"/>
      <c r="J12" s="1022" t="s">
        <v>26</v>
      </c>
      <c r="Q12" s="220">
        <v>0</v>
      </c>
    </row>
    <row s="7235" customFormat="1" customHeight="1" ht="22.5" hidden="1">
      <c r="A13" s="934" t="s">
        <v>27</v>
      </c>
      <c r="B13" s="244"/>
      <c r="C13" s="554"/>
      <c r="D13" s="556"/>
      <c r="E13" s="1920" t="s">
        <v>28</v>
      </c>
      <c r="F13" s="1877" t="s">
        <v>22</v>
      </c>
      <c r="G13" s="223"/>
      <c r="H13" s="916"/>
      <c r="I13" s="557"/>
      <c r="J13" s="1921" t="s">
        <v>29</v>
      </c>
      <c r="Q13" s="555">
        <v>0</v>
      </c>
    </row>
    <row s="7235" customFormat="1" customHeight="1" ht="27">
      <c r="A14" s="934" t="s">
        <v>30</v>
      </c>
      <c r="B14" s="244"/>
      <c r="C14" s="554"/>
      <c r="D14" s="556"/>
      <c r="E14" s="1311" t="s">
        <v>31</v>
      </c>
      <c r="F14" s="7207">
        <v>2025</v>
      </c>
      <c r="G14" s="223"/>
      <c r="H14" s="916"/>
      <c r="I14" s="557"/>
      <c r="J14" s="1022" t="s">
        <v>32</v>
      </c>
      <c r="Q14" s="555">
        <v>0</v>
      </c>
    </row>
    <row s="7235" customFormat="1" customHeight="1" ht="19.5" hidden="1">
      <c r="A15" s="934" t="s">
        <v>33</v>
      </c>
      <c r="B15" s="244"/>
      <c r="C15" s="554"/>
      <c r="D15" s="556"/>
      <c r="E15" s="1311" t="s">
        <v>34</v>
      </c>
      <c r="F15" s="1912"/>
      <c r="G15" s="223"/>
      <c r="H15" s="916"/>
      <c r="I15" s="557"/>
      <c r="J15" s="1022" t="s">
        <v>35</v>
      </c>
      <c r="Q15" s="555">
        <v>0</v>
      </c>
    </row>
    <row s="6075" customFormat="1" customHeight="1" ht="6.3">
      <c r="A16" s="931"/>
      <c r="B16" s="378"/>
      <c r="C16" s="379"/>
      <c r="D16" s="385"/>
      <c r="E16" s="383"/>
      <c r="F16" s="386"/>
      <c r="G16" s="223"/>
      <c r="H16" s="555"/>
      <c r="I16" s="557"/>
      <c r="J16" s="1020"/>
      <c r="Q16" s="382">
        <v>6</v>
      </c>
    </row>
    <row customHeight="1" ht="21">
      <c r="D17" s="221"/>
      <c r="E17" s="537" t="s">
        <v>36</v>
      </c>
      <c r="F17" s="7753" t="s">
        <v>37</v>
      </c>
      <c r="G17" s="219"/>
      <c r="H17" s="919" t="s">
        <v>23</v>
      </c>
      <c r="Q17" s="220">
        <v>20</v>
      </c>
    </row>
    <row customHeight="1" ht="25.5" hidden="1">
      <c r="D18" s="221"/>
      <c r="E18" s="1920" t="s">
        <v>38</v>
      </c>
      <c r="F18" s="7986" t="s">
        <v>39</v>
      </c>
      <c r="G18" s="219"/>
      <c r="I18" s="920"/>
      <c r="J18" s="2256" t="s">
        <v>40</v>
      </c>
      <c r="Q18" s="220">
        <v>0</v>
      </c>
    </row>
    <row customHeight="1" ht="25.5" hidden="1">
      <c r="D19" s="221"/>
      <c r="E19" s="131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878"/>
      <c r="G19" s="219"/>
      <c r="I19" s="920"/>
      <c r="J19" s="2256"/>
      <c r="Q19" s="220">
        <v>0</v>
      </c>
    </row>
    <row customHeight="1" ht="22.5" hidden="1">
      <c r="D20" s="221"/>
      <c r="E20" s="222"/>
      <c r="F20" s="416" t="str">
        <f>"Первичное "&amp;IF(TEMPLATE_GROUP="P","установление тарифов","предложение по тарифам")</f>
        <v>Первичное предложение по тарифам</v>
      </c>
      <c r="G20" s="219"/>
      <c r="I20" s="540"/>
      <c r="J20" s="1021" t="s">
        <v>41</v>
      </c>
      <c r="Q20" s="220">
        <v>0</v>
      </c>
    </row>
    <row customHeight="1" ht="19.5" hidden="1">
      <c r="D21" s="221"/>
      <c r="E21" s="537" t="str">
        <f>"Дата "&amp;IF(TEMPLATE_GROUP="P","документа","подачи заявления")&amp;" об утверждении тарифов"</f>
        <v>Дата подачи заявления об утверждении тарифов</v>
      </c>
      <c r="F21" s="1877"/>
      <c r="G21" s="219"/>
      <c r="I21" s="921"/>
      <c r="Q21" s="220">
        <v>0</v>
      </c>
    </row>
    <row customHeight="1" ht="19.5" hidden="1">
      <c r="D22" s="221"/>
      <c r="E22" s="537" t="str">
        <f>"Номер "&amp;IF(TEMPLATE_GROUP="P","документа","подачи заявления")&amp;" об утверждении тарифов"</f>
        <v>Номер подачи заявления об утверждении тарифов</v>
      </c>
      <c r="F22" s="362"/>
      <c r="G22" s="219"/>
      <c r="I22" s="921"/>
      <c r="Q22" s="220">
        <v>0</v>
      </c>
    </row>
    <row customHeight="1" ht="22.5" hidden="1">
      <c r="D23" s="221"/>
      <c r="E23" s="537" t="s">
        <v>42</v>
      </c>
      <c r="F23" s="362"/>
      <c r="G23" s="219"/>
      <c r="Q23" s="220">
        <v>0</v>
      </c>
    </row>
    <row customHeight="1" ht="19.5" hidden="1">
      <c r="D24" s="221"/>
      <c r="E24" s="537" t="s">
        <v>43</v>
      </c>
      <c r="F24" s="362"/>
      <c r="G24" s="219"/>
      <c r="Q24" s="220">
        <v>0</v>
      </c>
    </row>
    <row customHeight="1" ht="22.5" hidden="1">
      <c r="D25" s="221"/>
      <c r="E25" s="222"/>
      <c r="F25" s="416" t="str">
        <f>"Изменение "&amp;IF(TEMPLATE_GROUP="P","тарифов","предложения по тарифам")</f>
        <v>Изменение предложения по тарифам</v>
      </c>
      <c r="G25" s="219"/>
      <c r="J25" s="1021" t="s">
        <v>44</v>
      </c>
      <c r="Q25" s="220">
        <v>0</v>
      </c>
    </row>
    <row customHeight="1" ht="19.5" hidden="1">
      <c r="D26" s="221"/>
      <c r="E26" s="537" t="str">
        <f>"Дата "&amp;IF(TEMPLATE_GROUP="P","принятия решения","подачи заявления")&amp;" об изменении тарифов"</f>
        <v>Дата подачи заявления об изменении тарифов</v>
      </c>
      <c r="F26" s="1878"/>
      <c r="G26" s="219"/>
      <c r="Q26" s="220">
        <v>0</v>
      </c>
    </row>
    <row customHeight="1" ht="19.5" hidden="1">
      <c r="D27" s="221"/>
      <c r="E27" s="1311" t="str">
        <f>"Номер "&amp;IF(TEMPLATE_GROUP="P","принятия решения","заявления")&amp;" об изменении тарифов"</f>
        <v>Номер заявления об изменении тарифов</v>
      </c>
      <c r="F27" s="364"/>
      <c r="G27" s="219"/>
      <c r="Q27" s="220">
        <v>0</v>
      </c>
    </row>
    <row customHeight="1" ht="24.75" hidden="1">
      <c r="D28" s="221"/>
      <c r="E28" s="537" t="s">
        <v>45</v>
      </c>
      <c r="F28" s="364"/>
      <c r="G28" s="219"/>
      <c r="Q28" s="220">
        <v>0</v>
      </c>
    </row>
    <row customHeight="1" ht="19.5" hidden="1">
      <c r="D29" s="221"/>
      <c r="E29" s="537" t="s">
        <v>43</v>
      </c>
      <c r="F29" s="364"/>
      <c r="G29" s="219"/>
      <c r="Q29" s="220">
        <v>0</v>
      </c>
    </row>
    <row s="6075" customFormat="1" customHeight="1" ht="6.3">
      <c r="A30" s="931"/>
      <c r="B30" s="378"/>
      <c r="C30" s="379"/>
      <c r="D30" s="385"/>
      <c r="E30" s="383"/>
      <c r="F30" s="386"/>
      <c r="G30" s="223"/>
      <c r="H30" s="555"/>
      <c r="I30" s="557"/>
      <c r="J30" s="1020"/>
      <c r="Q30" s="382">
        <v>6</v>
      </c>
    </row>
    <row customHeight="1" ht="21">
      <c r="C31" s="224"/>
      <c r="D31" s="225"/>
      <c r="E31" s="537" t="str">
        <f>"Наименование "&amp;IF(TEMPLATE_GROUP="ROIV","органа тарифного регулирования","ЮЛ / ИП")</f>
        <v>Наименование ЮЛ / ИП</v>
      </c>
      <c r="F31" s="363" t="s">
        <v>46</v>
      </c>
      <c r="G31" s="922"/>
      <c r="Q31" s="220">
        <v>20</v>
      </c>
    </row>
    <row customHeight="1" ht="21" hidden="1">
      <c r="C32" s="224"/>
      <c r="D32" s="225"/>
      <c r="E32" s="538" t="s">
        <v>47</v>
      </c>
      <c r="F32" s="363"/>
      <c r="G32" s="922"/>
      <c r="Q32" s="220">
        <v>20</v>
      </c>
    </row>
    <row customHeight="1" ht="21">
      <c r="C33" s="224"/>
      <c r="D33" s="225"/>
      <c r="E33" s="537" t="s">
        <v>48</v>
      </c>
      <c r="F33" s="363" t="s">
        <v>49</v>
      </c>
      <c r="G33" s="922"/>
      <c r="Q33" s="220">
        <v>20</v>
      </c>
    </row>
    <row customHeight="1" ht="21">
      <c r="C34" s="224"/>
      <c r="D34" s="225"/>
      <c r="E34" s="537" t="s">
        <v>50</v>
      </c>
      <c r="F34" s="363" t="s">
        <v>51</v>
      </c>
      <c r="G34" s="922"/>
      <c r="H34" s="226"/>
      <c r="Q34" s="220">
        <v>20</v>
      </c>
    </row>
    <row s="6075" customFormat="1" customHeight="1" ht="11.549999999999999">
      <c r="A35" s="931"/>
      <c r="B35" s="378"/>
      <c r="C35" s="379"/>
      <c r="D35" s="385"/>
      <c r="E35" s="383"/>
      <c r="F35" s="386"/>
      <c r="G35" s="223"/>
      <c r="H35" s="555"/>
      <c r="I35" s="557"/>
      <c r="J35" s="1020"/>
      <c r="Q35" s="382">
        <v>11</v>
      </c>
    </row>
    <row customHeight="1" ht="19.5">
      <c r="A36" s="1025"/>
      <c r="D36" s="225"/>
      <c r="E36" s="537" t="s">
        <v>52</v>
      </c>
      <c r="F36" s="7703" t="s">
        <v>53</v>
      </c>
      <c r="G36" s="223"/>
      <c r="Q36" s="220">
        <v>0</v>
      </c>
    </row>
    <row customHeight="1" ht="21">
      <c r="A37" s="1025"/>
      <c r="D37" s="225"/>
      <c r="E37" s="537" t="s">
        <v>54</v>
      </c>
      <c r="F37" s="7703" t="s">
        <v>55</v>
      </c>
      <c r="G37" s="223"/>
      <c r="Q37" s="220">
        <v>20</v>
      </c>
    </row>
    <row s="6075" customFormat="1" customHeight="1" ht="6.3">
      <c r="A38" s="931"/>
      <c r="B38" s="378"/>
      <c r="C38" s="379"/>
      <c r="D38" s="380"/>
      <c r="E38" s="381"/>
      <c r="F38" s="1199"/>
      <c r="G38" s="219"/>
      <c r="H38" s="555"/>
      <c r="I38" s="557"/>
      <c r="J38" s="1022"/>
      <c r="Q38" s="382">
        <v>6</v>
      </c>
    </row>
    <row customHeight="1" ht="36.75">
      <c r="A39" s="931"/>
      <c r="D39" s="221"/>
      <c r="E39" s="537" t="s">
        <v>56</v>
      </c>
      <c r="F39" s="856" t="s">
        <v>19</v>
      </c>
      <c r="G39" s="219"/>
      <c r="H39" s="919" t="s">
        <v>23</v>
      </c>
      <c r="Q39" s="220">
        <v>35</v>
      </c>
    </row>
    <row s="6075" customFormat="1" customHeight="1" ht="6" hidden="1">
      <c r="A40" s="930"/>
      <c r="B40" s="572"/>
      <c r="C40" s="573"/>
      <c r="D40" s="574"/>
      <c r="E40" s="575"/>
      <c r="F40" s="1199"/>
      <c r="G40" s="219"/>
      <c r="H40" s="555"/>
      <c r="I40" s="557"/>
      <c r="J40" s="1022"/>
      <c r="Q40" s="576">
        <v>6</v>
      </c>
    </row>
    <row s="7235" customFormat="1" customHeight="1" ht="26.25" hidden="1">
      <c r="A41" s="934" t="s">
        <v>27</v>
      </c>
      <c r="B41" s="559"/>
      <c r="C41" s="554"/>
      <c r="D41" s="556"/>
      <c r="E41" s="53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856" t="s">
        <v>19</v>
      </c>
      <c r="G41" s="219"/>
      <c r="I41" s="557"/>
      <c r="J41" s="1022"/>
      <c r="Q41" s="555">
        <v>0</v>
      </c>
    </row>
    <row s="6075" customFormat="1" customHeight="1" ht="6" hidden="1">
      <c r="A42" s="930"/>
      <c r="B42" s="572"/>
      <c r="C42" s="573"/>
      <c r="D42" s="574"/>
      <c r="E42" s="575"/>
      <c r="F42" s="1199"/>
      <c r="G42" s="219"/>
      <c r="H42" s="555"/>
      <c r="I42" s="557"/>
      <c r="J42" s="1020"/>
      <c r="Q42" s="576">
        <v>0</v>
      </c>
    </row>
    <row s="7235" customFormat="1" customHeight="1" ht="27" hidden="1">
      <c r="A43" s="930"/>
      <c r="B43" s="559"/>
      <c r="C43" s="554"/>
      <c r="D43" s="556"/>
      <c r="E43" s="537" t="s">
        <v>57</v>
      </c>
      <c r="F43" s="856" t="s">
        <v>19</v>
      </c>
      <c r="G43" s="219"/>
      <c r="I43" s="557"/>
      <c r="J43" s="1022"/>
      <c r="Q43" s="555">
        <v>0</v>
      </c>
    </row>
    <row s="7235" customFormat="1" customHeight="1" ht="27" hidden="1">
      <c r="A44" s="930"/>
      <c r="B44" s="559"/>
      <c r="C44" s="554"/>
      <c r="D44" s="556"/>
      <c r="E44" s="1311" t="s">
        <v>58</v>
      </c>
      <c r="F44" s="2031"/>
      <c r="G44" s="219"/>
      <c r="I44" s="557"/>
      <c r="J44" s="1022"/>
      <c r="Q44" s="555">
        <v>0</v>
      </c>
    </row>
    <row s="6075" customFormat="1" customHeight="1" ht="6" hidden="1">
      <c r="A45" s="930"/>
      <c r="B45" s="572"/>
      <c r="C45" s="573"/>
      <c r="D45" s="574"/>
      <c r="E45" s="575"/>
      <c r="F45" s="1199"/>
      <c r="G45" s="219"/>
      <c r="H45" s="555"/>
      <c r="I45" s="557"/>
      <c r="J45" s="1022"/>
      <c r="Q45" s="576">
        <v>0</v>
      </c>
    </row>
    <row s="6075" customFormat="1" customHeight="1" ht="24.75" hidden="1">
      <c r="A46" s="930"/>
      <c r="B46" s="572"/>
      <c r="C46" s="573"/>
      <c r="D46" s="574"/>
      <c r="E46" s="1311" t="s">
        <v>59</v>
      </c>
      <c r="F46" s="856" t="s">
        <v>19</v>
      </c>
      <c r="G46" s="219"/>
      <c r="H46" s="555"/>
      <c r="I46" s="557"/>
      <c r="J46" s="1022"/>
      <c r="Q46" s="576">
        <v>0</v>
      </c>
    </row>
    <row s="7235" customFormat="1" customHeight="1" ht="24.75" hidden="1">
      <c r="A47" s="930"/>
      <c r="B47" s="559"/>
      <c r="C47" s="554"/>
      <c r="D47" s="556"/>
      <c r="E47" s="1311" t="s">
        <v>60</v>
      </c>
      <c r="F47" s="856" t="s">
        <v>19</v>
      </c>
      <c r="G47" s="219"/>
      <c r="I47" s="557"/>
      <c r="J47" s="1022"/>
      <c r="Q47" s="555">
        <v>0</v>
      </c>
    </row>
    <row s="6075" customFormat="1" customHeight="1" ht="6" hidden="1">
      <c r="A48" s="930"/>
      <c r="B48" s="378"/>
      <c r="C48" s="379"/>
      <c r="D48" s="380"/>
      <c r="E48" s="381"/>
      <c r="F48" s="1199"/>
      <c r="G48" s="219"/>
      <c r="H48" s="555"/>
      <c r="I48" s="557"/>
      <c r="J48" s="1022"/>
      <c r="Q48" s="382">
        <v>0</v>
      </c>
    </row>
    <row customHeight="1" ht="29.25" hidden="1">
      <c r="B49" s="294"/>
      <c r="D49" s="221"/>
      <c r="E49" s="53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856"/>
      <c r="G49" s="219"/>
      <c r="Q49" s="220">
        <v>0</v>
      </c>
    </row>
    <row s="6075" customFormat="1" customHeight="1" ht="6">
      <c r="A50" s="931"/>
      <c r="B50" s="572"/>
      <c r="C50" s="573"/>
      <c r="D50" s="385"/>
      <c r="E50" s="383"/>
      <c r="F50" s="386"/>
      <c r="G50" s="223"/>
      <c r="H50" s="555"/>
      <c r="I50" s="557"/>
      <c r="J50" s="1022"/>
      <c r="Q50" s="576">
        <v>0</v>
      </c>
    </row>
    <row s="7235" customFormat="1" customHeight="1" ht="28.5">
      <c r="A51" s="932"/>
      <c r="B51" s="559"/>
      <c r="C51" s="676"/>
      <c r="D51" s="677"/>
      <c r="E51" s="537" t="s">
        <v>61</v>
      </c>
      <c r="F51" s="856" t="s">
        <v>19</v>
      </c>
      <c r="G51" s="678"/>
      <c r="I51" s="680"/>
      <c r="J51" s="1024"/>
      <c r="P51" s="681"/>
      <c r="Q51" s="679">
        <v>0</v>
      </c>
    </row>
    <row s="6075" customFormat="1" customHeight="1" ht="6">
      <c r="A52" s="931"/>
      <c r="B52" s="572"/>
      <c r="C52" s="573"/>
      <c r="D52" s="385"/>
      <c r="E52" s="383"/>
      <c r="F52" s="386"/>
      <c r="G52" s="223"/>
      <c r="H52" s="555"/>
      <c r="I52" s="557"/>
      <c r="J52" s="1020"/>
      <c r="Q52" s="576">
        <v>0</v>
      </c>
    </row>
    <row s="7235" customFormat="1" customHeight="1" ht="27">
      <c r="A53" s="932"/>
      <c r="B53" s="559"/>
      <c r="C53" s="676"/>
      <c r="D53" s="677"/>
      <c r="E53" s="537" t="s">
        <v>62</v>
      </c>
      <c r="F53" s="1194" t="s">
        <v>63</v>
      </c>
      <c r="G53" s="678"/>
      <c r="I53" s="680"/>
      <c r="J53" s="1024"/>
      <c r="P53" s="681"/>
      <c r="Q53" s="679">
        <v>0</v>
      </c>
    </row>
    <row s="7235" customFormat="1" customHeight="1" ht="27">
      <c r="A54" s="932"/>
      <c r="B54" s="559"/>
      <c r="C54" s="676"/>
      <c r="D54" s="677"/>
      <c r="E54" s="537" t="s">
        <v>64</v>
      </c>
      <c r="F54" s="7981">
        <v>46111</v>
      </c>
      <c r="G54" s="678"/>
      <c r="I54" s="680"/>
      <c r="J54" s="1024"/>
      <c r="P54" s="681"/>
      <c r="Q54" s="679">
        <v>0</v>
      </c>
    </row>
    <row s="6075" customFormat="1" customHeight="1" ht="6">
      <c r="A55" s="931"/>
      <c r="B55" s="572"/>
      <c r="C55" s="573"/>
      <c r="D55" s="385"/>
      <c r="E55" s="383"/>
      <c r="F55" s="386"/>
      <c r="G55" s="223"/>
      <c r="H55" s="555"/>
      <c r="I55" s="557"/>
      <c r="J55" s="1020"/>
      <c r="Q55" s="576">
        <v>0</v>
      </c>
    </row>
    <row s="7235" customFormat="1" customHeight="1" ht="25.5">
      <c r="A56" s="932"/>
      <c r="B56" s="559"/>
      <c r="C56" s="676"/>
      <c r="D56" s="677"/>
      <c r="E56" s="537" t="s">
        <v>65</v>
      </c>
      <c r="F56" s="1194" t="s">
        <v>63</v>
      </c>
      <c r="G56" s="678"/>
      <c r="I56" s="680"/>
      <c r="J56" s="1024"/>
      <c r="P56" s="681"/>
      <c r="Q56" s="679">
        <v>0</v>
      </c>
    </row>
    <row s="6075" customFormat="1" customHeight="1" ht="6">
      <c r="A57" s="931"/>
      <c r="B57" s="572"/>
      <c r="C57" s="573"/>
      <c r="D57" s="385"/>
      <c r="E57" s="383"/>
      <c r="F57" s="386"/>
      <c r="G57" s="223"/>
      <c r="H57" s="555"/>
      <c r="I57" s="557"/>
      <c r="J57" s="1020"/>
      <c r="Q57" s="576">
        <v>0</v>
      </c>
    </row>
    <row s="7235" customFormat="1" customHeight="1" ht="15">
      <c r="A58" s="932"/>
      <c r="B58" s="559"/>
      <c r="C58" s="676"/>
      <c r="D58" s="677"/>
      <c r="E58" s="537" t="s">
        <v>66</v>
      </c>
      <c r="F58" s="1194" t="s">
        <v>63</v>
      </c>
      <c r="G58" s="678"/>
      <c r="I58" s="680"/>
      <c r="J58" s="1024"/>
      <c r="P58" s="681"/>
      <c r="Q58" s="679">
        <v>0</v>
      </c>
    </row>
    <row s="7235" customFormat="1" customHeight="1" ht="75">
      <c r="A59" s="932"/>
      <c r="B59" s="559"/>
      <c r="C59" s="676"/>
      <c r="D59" s="677"/>
      <c r="E59" s="53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335" t="s">
        <v>63</v>
      </c>
      <c r="G59" s="678"/>
      <c r="I59" s="680"/>
      <c r="J59" s="1024"/>
      <c r="P59" s="681"/>
      <c r="Q59" s="679">
        <v>0</v>
      </c>
    </row>
    <row s="7235" customFormat="1" customHeight="1" ht="15">
      <c r="A60" s="932"/>
      <c r="B60" s="559"/>
      <c r="C60" s="676"/>
      <c r="D60" s="677"/>
      <c r="E60" s="1311" t="s">
        <v>67</v>
      </c>
      <c r="F60" s="7703" t="s">
        <v>68</v>
      </c>
      <c r="G60" s="678"/>
      <c r="I60" s="680"/>
      <c r="J60" s="1024"/>
      <c r="P60" s="681"/>
      <c r="Q60" s="679">
        <v>0</v>
      </c>
    </row>
    <row s="6075" customFormat="1" customHeight="1" ht="6" hidden="1">
      <c r="A61" s="931"/>
      <c r="B61" s="572"/>
      <c r="C61" s="573"/>
      <c r="D61" s="574"/>
      <c r="E61" s="575"/>
      <c r="F61" s="1199"/>
      <c r="G61" s="219"/>
      <c r="H61" s="555"/>
      <c r="I61" s="557"/>
      <c r="J61" s="1022"/>
      <c r="Q61" s="576">
        <v>0</v>
      </c>
    </row>
    <row s="7235" customFormat="1" customHeight="1" ht="33.75" hidden="1">
      <c r="A62" s="931"/>
      <c r="B62" s="244"/>
      <c r="C62" s="554"/>
      <c r="D62" s="556"/>
      <c r="E62" s="1311" t="s">
        <v>69</v>
      </c>
      <c r="F62" s="1816"/>
      <c r="G62" s="219"/>
      <c r="H62" s="919" t="s">
        <v>23</v>
      </c>
      <c r="I62" s="557"/>
      <c r="J62" s="1022"/>
      <c r="Q62" s="555">
        <v>0</v>
      </c>
    </row>
    <row s="6075" customFormat="1" customHeight="1" ht="6.3">
      <c r="A63" s="931"/>
      <c r="B63" s="378"/>
      <c r="C63" s="379"/>
      <c r="D63" s="385"/>
      <c r="E63" s="383"/>
      <c r="F63" s="386"/>
      <c r="G63" s="223"/>
      <c r="H63" s="555"/>
      <c r="I63" s="557"/>
      <c r="J63" s="1020"/>
      <c r="Q63" s="382">
        <v>6</v>
      </c>
    </row>
    <row customHeight="1" ht="21">
      <c r="A64" s="933"/>
      <c r="B64" s="245"/>
      <c r="D64" s="228"/>
      <c r="E64" s="537" t="s">
        <v>70</v>
      </c>
      <c r="F64" s="362" t="s">
        <v>71</v>
      </c>
      <c r="G64" s="223"/>
      <c r="Q64" s="220">
        <v>20</v>
      </c>
    </row>
    <row customHeight="1" ht="21">
      <c r="A65" s="933"/>
      <c r="B65" s="245"/>
      <c r="D65" s="228"/>
      <c r="E65" s="537" t="s">
        <v>72</v>
      </c>
      <c r="F65" s="362" t="s">
        <v>73</v>
      </c>
      <c r="G65" s="223"/>
      <c r="Q65" s="220">
        <v>20</v>
      </c>
    </row>
    <row customHeight="1" ht="36.75">
      <c r="D66" s="221"/>
      <c r="E66" s="539" t="s">
        <v>74</v>
      </c>
      <c r="F66" s="1200"/>
      <c r="G66" s="219"/>
      <c r="Q66" s="220">
        <v>35</v>
      </c>
    </row>
    <row customHeight="1" ht="21">
      <c r="A67" s="933"/>
      <c r="D67" s="556"/>
      <c r="E67" s="537" t="s">
        <v>75</v>
      </c>
      <c r="F67" s="417" t="s">
        <v>76</v>
      </c>
      <c r="G67" s="223"/>
      <c r="Q67" s="220">
        <v>20</v>
      </c>
    </row>
    <row customHeight="1" ht="21">
      <c r="A68" s="933"/>
      <c r="B68" s="245"/>
      <c r="D68" s="228"/>
      <c r="E68" s="537" t="s">
        <v>77</v>
      </c>
      <c r="F68" s="417" t="s">
        <v>78</v>
      </c>
      <c r="G68" s="223"/>
      <c r="Q68" s="220">
        <v>20</v>
      </c>
    </row>
    <row customHeight="1" ht="21">
      <c r="A69" s="933"/>
      <c r="B69" s="245"/>
      <c r="D69" s="228"/>
      <c r="E69" s="537" t="s">
        <v>79</v>
      </c>
      <c r="F69" s="417" t="s">
        <v>80</v>
      </c>
      <c r="G69" s="223"/>
      <c r="Q69" s="220">
        <v>20</v>
      </c>
    </row>
    <row customHeight="1" ht="21">
      <c r="D70" s="556"/>
      <c r="E70" s="537" t="s">
        <v>81</v>
      </c>
      <c r="F70" s="417" t="s">
        <v>82</v>
      </c>
      <c r="G70" s="219"/>
      <c r="Q70" s="220">
        <v>20</v>
      </c>
    </row>
    <row customHeight="1" ht="21">
      <c r="A71" s="933"/>
      <c r="D71" s="219"/>
      <c r="F71" s="279"/>
      <c r="G71" s="223"/>
      <c r="Q71" s="220">
        <v>20</v>
      </c>
    </row>
    <row customHeight="1" ht="21">
      <c r="A72" s="933"/>
      <c r="B72" s="245"/>
      <c r="D72" s="228"/>
      <c r="E72" s="227"/>
      <c r="F72" s="1179" t="s">
        <v>13</v>
      </c>
      <c r="G72" s="223"/>
      <c r="Q72" s="220">
        <v>20</v>
      </c>
    </row>
    <row customHeight="1" ht="21">
      <c r="A73" s="933"/>
      <c r="B73" s="245"/>
      <c r="D73" s="228"/>
      <c r="E73" s="227"/>
      <c r="F73" s="280"/>
      <c r="G73" s="223"/>
      <c r="Q73" s="220">
        <v>20</v>
      </c>
    </row>
    <row customHeight="1" ht="21">
      <c r="A74" s="933"/>
      <c r="B74" s="245"/>
      <c r="D74" s="228"/>
      <c r="E74" s="232"/>
      <c r="F74" s="280"/>
      <c r="G74" s="223"/>
      <c r="Q74" s="220">
        <v>20</v>
      </c>
    </row>
    <row customHeight="1" ht="21">
      <c r="A75" s="933"/>
      <c r="B75" s="245"/>
      <c r="D75" s="228"/>
      <c r="E75" s="227"/>
      <c r="F75" s="280"/>
      <c r="G75" s="223"/>
      <c r="Q75" s="220">
        <v>20</v>
      </c>
    </row>
    <row customHeight="1" ht="11.549999999999999">
      <c r="Q76" s="220">
        <v>11</v>
      </c>
    </row>
    <row customHeight="1" ht="11.549999999999999">
      <c r="Q77" s="220">
        <v>11</v>
      </c>
    </row>
    <row customHeight="1" ht="11.549999999999999">
      <c r="E78" s="536"/>
      <c r="F78" s="536"/>
      <c r="G78" s="536"/>
      <c r="H78" s="536"/>
      <c r="I78" s="536"/>
      <c r="Q78" s="220">
        <v>11</v>
      </c>
    </row>
    <row customHeight="1" ht="11.25" hidden="1">
      <c r="A79" s="930" t="s">
        <v>83</v>
      </c>
      <c r="B79" s="244">
        <v>0</v>
      </c>
      <c r="C79" s="218">
        <v>3</v>
      </c>
      <c r="D79" s="220">
        <v>1</v>
      </c>
      <c r="E79" s="220">
        <v>55</v>
      </c>
      <c r="F79" s="220">
        <v>54</v>
      </c>
      <c r="G79" s="917">
        <v>1</v>
      </c>
      <c r="H79" s="555">
        <v>0</v>
      </c>
      <c r="I79" s="557">
        <v>59</v>
      </c>
      <c r="J79" s="1022">
        <v>0</v>
      </c>
      <c r="K79" s="220">
        <v>8</v>
      </c>
      <c r="L79" s="220">
        <v>77</v>
      </c>
      <c r="M79" s="220">
        <v>8</v>
      </c>
      <c r="N79" s="220">
        <v>8</v>
      </c>
      <c r="O79" s="220">
        <v>8</v>
      </c>
      <c r="P79" s="220">
        <v>8</v>
      </c>
      <c r="Q79" s="220">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BDD47DDF-6774-256E-D316-0.75D3A896}"/>
    <hyperlink ref="H17" location="Титульный!H9" display="Как заполнить?" tooltip="Помощь по работе с полями отчётной формы" xr:uid="{9539B46E-BF96-DF1C-5B52-0.24410887}"/>
    <hyperlink ref="H39" location="Титульный!H9" display="Как заполнить?" tooltip="Помощь по работе с полями отчётной формы" xr:uid="{280F97FD-7B7A-ABE4-B508-0.685AA4C8}"/>
    <hyperlink ref="H62" location="Титульный!H9" display="Как заполнить?" tooltip="Помощь по работе с полями отчётной формы" xr:uid="{3346F4DB-E51C-0765-E0BF-0.4BE4EDBB}"/>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5947E4-8F3A-FBBD-7DB3-0.EFC4E2BA}"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6396" width="3.00390625" customWidth="1"/>
    <col min="17" max="17" style="6462" width="3.00390625" customWidth="1"/>
    <col min="18" max="18" style="7205" width="3.00390625" customWidth="1"/>
    <col min="19" max="19" style="7910" width="12.00390625" customWidth="1"/>
    <col min="20" max="20" style="7235" width="31.00390625" customWidth="1"/>
    <col min="21" max="21" style="7235" width="0.140625" customWidth="1"/>
    <col min="22" max="23" style="7235" width="21.7109375" hidden="1" customWidth="1"/>
    <col min="24" max="24" style="7235" width="11.7109375" hidden="1" customWidth="1"/>
    <col min="25" max="25" style="7235" width="3.7109375" hidden="1" customWidth="1"/>
    <col min="26" max="26" style="7235" width="11.7109375" hidden="1" customWidth="1"/>
    <col min="27" max="27" style="7235" width="8.57421875" hidden="1" customWidth="1"/>
    <col min="28" max="28" style="7235" width="5.421875" customWidth="1"/>
    <col min="29" max="30" style="7235" width="3.00390625" customWidth="1"/>
    <col min="31" max="31" style="7235" width="24.00390625" customWidth="1"/>
    <col min="32" max="32" style="7235" width="3.7109375" customWidth="1"/>
    <col min="33" max="34" style="7235" width="3.00390625" customWidth="1"/>
    <col min="35" max="35" style="7235" width="24.00390625" customWidth="1"/>
    <col min="36" max="36" style="7235" width="3.7109375" customWidth="1"/>
    <col min="37" max="38" style="7235" width="3.00390625" customWidth="1"/>
    <col min="39" max="39" style="7235" width="18.00390625" customWidth="1"/>
    <col min="40" max="41" style="7235" width="21.00390625" customWidth="1"/>
    <col min="42" max="42" style="7235" width="11.00390625" customWidth="1"/>
    <col min="43" max="43" style="7235" width="3.7109375" customWidth="1"/>
    <col min="44" max="44" style="7235" width="11.00390625" customWidth="1"/>
    <col min="45" max="45" style="7235" width="8.57421875" hidden="1" customWidth="1"/>
    <col min="46" max="46" style="7235" width="4.00390625" customWidth="1"/>
    <col min="47" max="47" style="7235" width="115.00390625" customWidth="1"/>
    <col min="48" max="52" style="6720" width="10.00390625" customWidth="1"/>
    <col min="53" max="53" style="7235" width="10.57421875" hidden="1"/>
  </cols>
  <sheetData>
    <row customHeight="1" ht="22.5" hidden="1">
      <c r="W1" s="473"/>
      <c r="X1" s="473"/>
      <c r="AO1" s="473"/>
      <c r="AP1" s="473"/>
      <c r="BA1" s="1301" t="s">
        <v>14</v>
      </c>
    </row>
    <row customHeight="1" ht="21" hidden="1">
      <c r="A2" s="1509"/>
      <c r="B2" s="1509"/>
      <c r="C2" s="1509"/>
      <c r="D2" s="1509"/>
      <c r="E2" s="2417">
        <v>1</v>
      </c>
      <c r="F2" s="1509"/>
      <c r="G2" s="1509"/>
      <c r="H2" s="1509"/>
      <c r="I2" s="1509"/>
      <c r="J2" s="1509"/>
      <c r="K2" s="1509"/>
      <c r="L2" s="1510"/>
      <c r="M2" s="1511"/>
      <c r="N2" s="1511"/>
      <c r="O2" s="1511"/>
      <c r="P2" s="1555"/>
      <c r="Q2" s="1019"/>
      <c r="R2" s="501"/>
      <c r="S2" s="1482">
        <f>INDEX(PT_DIFFERENTIATION_NUM_NTAR,MATCH(A2,PT_DIFFERENTIATION_NTAR_ID,0))</f>
      </c>
      <c r="T2" s="444" t="s">
        <v>147</v>
      </c>
      <c r="U2" s="446"/>
      <c r="V2" s="2402"/>
      <c r="W2" s="2402"/>
      <c r="X2" s="2402"/>
      <c r="Y2" s="2402"/>
      <c r="Z2" s="2402"/>
      <c r="AA2" s="2403"/>
      <c r="AB2" s="2401">
        <f>INDEX(PT_DIFFERENTIATION_NTAR,MATCH(A2,PT_DIFFERENTIATION_NTAR_ID,0))</f>
      </c>
      <c r="AC2" s="2402"/>
      <c r="AD2" s="2402"/>
      <c r="AE2" s="2402"/>
      <c r="AF2" s="2402"/>
      <c r="AG2" s="2402"/>
      <c r="AH2" s="2402"/>
      <c r="AI2" s="2402"/>
      <c r="AJ2" s="2402"/>
      <c r="AK2" s="2402"/>
      <c r="AL2" s="2402"/>
      <c r="AM2" s="2402"/>
      <c r="AN2" s="2402"/>
      <c r="AO2" s="2402"/>
      <c r="AP2" s="2402"/>
      <c r="AQ2" s="2402"/>
      <c r="AR2" s="2402"/>
      <c r="AS2" s="2402"/>
      <c r="AT2" s="2403"/>
      <c r="AU2" s="1404" t="s">
        <v>418</v>
      </c>
      <c r="AW2" s="646"/>
      <c r="AX2" s="646" t="str">
        <f>IF(T2="","",T2)</f>
        <v>Наименование тарифа</v>
      </c>
      <c r="AY2" s="646"/>
      <c r="AZ2" s="646"/>
      <c r="BA2" s="1301">
        <v>0</v>
      </c>
    </row>
    <row customHeight="1" ht="21" hidden="1">
      <c r="A3" s="1509"/>
      <c r="B3" s="1509"/>
      <c r="C3" s="1509"/>
      <c r="D3" s="1509"/>
      <c r="E3" s="2418"/>
      <c r="F3" s="2417">
        <v>1</v>
      </c>
      <c r="G3" s="1509"/>
      <c r="H3" s="1509"/>
      <c r="I3" s="1509"/>
      <c r="J3" s="1509"/>
      <c r="K3" s="1509"/>
      <c r="L3" s="1510"/>
      <c r="M3" s="1511"/>
      <c r="N3" s="1511"/>
      <c r="O3" s="1511"/>
      <c r="P3" s="1556"/>
      <c r="Q3" s="1557"/>
      <c r="R3" s="499"/>
      <c r="S3" s="1482">
        <f>INDEX(PT_DIFFERENTIATION_NUM_TER,MATCH(B3,PT_DIFFERENTIATION_TER_ID,0))</f>
      </c>
      <c r="T3" s="454" t="s">
        <v>419</v>
      </c>
      <c r="U3" s="446"/>
      <c r="V3" s="2402"/>
      <c r="W3" s="2402"/>
      <c r="X3" s="2402"/>
      <c r="Y3" s="2402"/>
      <c r="Z3" s="2402"/>
      <c r="AA3" s="2403"/>
      <c r="AB3" s="2401">
        <f>INDEX(PT_DIFFERENTIATION_TER,MATCH(B3,PT_DIFFERENTIATION_TER_ID,0))</f>
      </c>
      <c r="AC3" s="2402"/>
      <c r="AD3" s="2402"/>
      <c r="AE3" s="2402"/>
      <c r="AF3" s="2402"/>
      <c r="AG3" s="2402"/>
      <c r="AH3" s="2402"/>
      <c r="AI3" s="2402"/>
      <c r="AJ3" s="2402"/>
      <c r="AK3" s="2402"/>
      <c r="AL3" s="2402"/>
      <c r="AM3" s="2402"/>
      <c r="AN3" s="2402"/>
      <c r="AO3" s="2402"/>
      <c r="AP3" s="2402"/>
      <c r="AQ3" s="2402"/>
      <c r="AR3" s="2402"/>
      <c r="AS3" s="2402"/>
      <c r="AT3" s="2403"/>
      <c r="AU3" s="1404" t="s">
        <v>420</v>
      </c>
      <c r="AW3" s="646"/>
      <c r="AX3" s="646" t="str">
        <f>IF(T3="","",T3)</f>
        <v>Территория действия тарифа</v>
      </c>
      <c r="AY3" s="646"/>
      <c r="AZ3" s="646"/>
      <c r="BA3" s="1301">
        <v>0</v>
      </c>
    </row>
    <row customHeight="1" ht="22.5" hidden="1">
      <c r="A4" s="1509"/>
      <c r="B4" s="1509"/>
      <c r="C4" s="1509"/>
      <c r="D4" s="1509"/>
      <c r="E4" s="2418"/>
      <c r="F4" s="2418"/>
      <c r="G4" s="2417">
        <v>1</v>
      </c>
      <c r="H4" s="1509"/>
      <c r="I4" s="1509"/>
      <c r="J4" s="1509"/>
      <c r="K4" s="1509"/>
      <c r="L4" s="1510"/>
      <c r="M4" s="1511"/>
      <c r="N4" s="1511"/>
      <c r="O4" s="1511"/>
      <c r="P4" s="1558"/>
      <c r="Q4" s="1557"/>
      <c r="R4" s="499"/>
      <c r="S4" s="1482">
        <f>INDEX(PT_DIFFERENTIATION_NUM_CS,MATCH(C4,PT_DIFFERENTIATION_CS_ID,0))</f>
      </c>
      <c r="T4" s="455" t="s">
        <v>421</v>
      </c>
      <c r="U4" s="446"/>
      <c r="V4" s="2402"/>
      <c r="W4" s="2402"/>
      <c r="X4" s="2402"/>
      <c r="Y4" s="2402"/>
      <c r="Z4" s="2402"/>
      <c r="AA4" s="2403"/>
      <c r="AB4" s="2401">
        <f>INDEX(PT_DIFFERENTIATION_CS,MATCH(C4,PT_DIFFERENTIATION_CS_ID,0))</f>
      </c>
      <c r="AC4" s="2402"/>
      <c r="AD4" s="2402"/>
      <c r="AE4" s="2402"/>
      <c r="AF4" s="2402"/>
      <c r="AG4" s="2402"/>
      <c r="AH4" s="2402"/>
      <c r="AI4" s="2402"/>
      <c r="AJ4" s="2402"/>
      <c r="AK4" s="2402"/>
      <c r="AL4" s="2402"/>
      <c r="AM4" s="2402"/>
      <c r="AN4" s="2402"/>
      <c r="AO4" s="2402"/>
      <c r="AP4" s="2402"/>
      <c r="AQ4" s="2402"/>
      <c r="AR4" s="2402"/>
      <c r="AS4" s="2402"/>
      <c r="AT4" s="2403"/>
      <c r="AU4" s="1404" t="s">
        <v>422</v>
      </c>
      <c r="AW4" s="646"/>
      <c r="AX4" s="646" t="str">
        <f>IF(T4="","",T4)</f>
        <v>Наименование системы теплоснабжения </v>
      </c>
      <c r="AY4" s="646"/>
      <c r="AZ4" s="646"/>
      <c r="BA4" s="1301">
        <v>0</v>
      </c>
    </row>
    <row customHeight="1" ht="21" hidden="1">
      <c r="A5" s="1509"/>
      <c r="B5" s="1509"/>
      <c r="C5" s="1509"/>
      <c r="D5" s="1509"/>
      <c r="E5" s="2418"/>
      <c r="F5" s="2418"/>
      <c r="G5" s="2418"/>
      <c r="H5" s="2417">
        <v>1</v>
      </c>
      <c r="I5" s="1509"/>
      <c r="J5" s="1509"/>
      <c r="K5" s="1509"/>
      <c r="L5" s="1510"/>
      <c r="M5" s="1511"/>
      <c r="N5" s="1511"/>
      <c r="O5" s="1511"/>
      <c r="P5" s="1558"/>
      <c r="Q5" s="1557"/>
      <c r="R5" s="499"/>
      <c r="S5" s="1482">
        <f>INDEX(PT_DIFFERENTIATION_NUM_IST_TE,MATCH(D5,PT_DIFFERENTIATION_IST_TE_ID,0))</f>
      </c>
      <c r="T5" s="456" t="s">
        <v>423</v>
      </c>
      <c r="U5" s="446"/>
      <c r="V5" s="2402"/>
      <c r="W5" s="2402"/>
      <c r="X5" s="2402"/>
      <c r="Y5" s="2402"/>
      <c r="Z5" s="2402"/>
      <c r="AA5" s="2403"/>
      <c r="AB5" s="2401">
        <f>INDEX(PT_DIFFERENTIATION_IST_TE,MATCH(D5,PT_DIFFERENTIATION_IST_TE_ID,0))</f>
      </c>
      <c r="AC5" s="2402"/>
      <c r="AD5" s="2402"/>
      <c r="AE5" s="2402"/>
      <c r="AF5" s="2402"/>
      <c r="AG5" s="2402"/>
      <c r="AH5" s="2402"/>
      <c r="AI5" s="2402"/>
      <c r="AJ5" s="2402"/>
      <c r="AK5" s="2402"/>
      <c r="AL5" s="2402"/>
      <c r="AM5" s="2402"/>
      <c r="AN5" s="2402"/>
      <c r="AO5" s="2402"/>
      <c r="AP5" s="2402"/>
      <c r="AQ5" s="2402"/>
      <c r="AR5" s="2402"/>
      <c r="AS5" s="2402"/>
      <c r="AT5" s="2403"/>
      <c r="AU5" s="1404" t="s">
        <v>424</v>
      </c>
      <c r="AW5" s="646"/>
      <c r="AX5" s="646" t="str">
        <f>IF(T5="","",T5)</f>
        <v>Источник тепловой энергии  </v>
      </c>
      <c r="AY5" s="646"/>
      <c r="AZ5" s="646"/>
      <c r="BA5" s="1301">
        <v>0</v>
      </c>
    </row>
    <row s="6720" customFormat="1" customHeight="1" ht="0.75" hidden="1">
      <c r="A6" s="1489"/>
      <c r="B6" s="1489"/>
      <c r="C6" s="1489"/>
      <c r="D6" s="1489"/>
      <c r="E6" s="2418"/>
      <c r="F6" s="2418"/>
      <c r="G6" s="2418"/>
      <c r="H6" s="2418"/>
      <c r="I6" s="2415">
        <f>S5&amp;".1"</f>
      </c>
      <c r="J6" s="1489"/>
      <c r="K6" s="1489"/>
      <c r="L6" s="1492" t="s">
        <v>425</v>
      </c>
      <c r="M6" s="656"/>
      <c r="N6" s="656"/>
      <c r="O6" s="656"/>
      <c r="P6" s="2416">
        <v>1</v>
      </c>
      <c r="Q6" s="1477"/>
      <c r="R6" s="502"/>
      <c r="S6" s="1188"/>
      <c r="T6" s="1529"/>
      <c r="U6" s="1530"/>
      <c r="V6" s="2456"/>
      <c r="W6" s="2456"/>
      <c r="X6" s="2456"/>
      <c r="Y6" s="2456"/>
      <c r="Z6" s="2456"/>
      <c r="AA6" s="2457"/>
      <c r="AB6" s="2455"/>
      <c r="AC6" s="2456"/>
      <c r="AD6" s="2456"/>
      <c r="AE6" s="2456"/>
      <c r="AF6" s="2456"/>
      <c r="AG6" s="2456"/>
      <c r="AH6" s="2456"/>
      <c r="AI6" s="2456"/>
      <c r="AJ6" s="2456"/>
      <c r="AK6" s="2456"/>
      <c r="AL6" s="2456"/>
      <c r="AM6" s="2456"/>
      <c r="AN6" s="2456"/>
      <c r="AO6" s="2456"/>
      <c r="AP6" s="2456"/>
      <c r="AQ6" s="2456"/>
      <c r="AR6" s="2456"/>
      <c r="AS6" s="2456"/>
      <c r="AT6" s="2457"/>
      <c r="AU6" s="1531"/>
      <c r="AW6" s="646"/>
      <c r="AX6" s="646" t="str">
        <f>IF(T6="","",T6)</f>
        <v/>
      </c>
      <c r="AY6" s="646"/>
      <c r="AZ6" s="646"/>
      <c r="BA6" s="657">
        <v>0</v>
      </c>
    </row>
    <row s="6720" customFormat="1" customHeight="1" ht="0.75" hidden="1">
      <c r="A7" s="1489"/>
      <c r="B7" s="1489"/>
      <c r="C7" s="1489"/>
      <c r="D7" s="1489"/>
      <c r="E7" s="2418"/>
      <c r="F7" s="2418"/>
      <c r="G7" s="2418"/>
      <c r="H7" s="2418"/>
      <c r="I7" s="2445"/>
      <c r="J7" s="2415">
        <f>S5&amp;".1"</f>
      </c>
      <c r="K7" s="1489"/>
      <c r="L7" s="1492"/>
      <c r="M7" s="656"/>
      <c r="N7" s="656"/>
      <c r="O7" s="656"/>
      <c r="P7" s="2416"/>
      <c r="Q7" s="2416">
        <v>1</v>
      </c>
      <c r="R7" s="503"/>
      <c r="S7" s="1188"/>
      <c r="T7" s="1545"/>
      <c r="U7" s="1530"/>
      <c r="V7" s="2456"/>
      <c r="W7" s="2456"/>
      <c r="X7" s="2456"/>
      <c r="Y7" s="2456"/>
      <c r="Z7" s="2456"/>
      <c r="AA7" s="2457"/>
      <c r="AB7" s="2455"/>
      <c r="AC7" s="2456"/>
      <c r="AD7" s="2456"/>
      <c r="AE7" s="2456"/>
      <c r="AF7" s="2456"/>
      <c r="AG7" s="2456"/>
      <c r="AH7" s="2456"/>
      <c r="AI7" s="2456"/>
      <c r="AJ7" s="2456"/>
      <c r="AK7" s="2456"/>
      <c r="AL7" s="2456"/>
      <c r="AM7" s="2456"/>
      <c r="AN7" s="2456"/>
      <c r="AO7" s="2456"/>
      <c r="AP7" s="2456"/>
      <c r="AQ7" s="2456"/>
      <c r="AR7" s="2456"/>
      <c r="AS7" s="2456"/>
      <c r="AT7" s="2457"/>
      <c r="AU7" s="1531"/>
      <c r="AW7" s="646"/>
      <c r="AX7" s="646" t="str">
        <f>IF(T7="","",T7)</f>
        <v/>
      </c>
      <c r="AY7" s="646"/>
      <c r="AZ7" s="646"/>
      <c r="BA7" s="657">
        <v>0</v>
      </c>
    </row>
    <row customHeight="1" ht="21" hidden="1">
      <c r="A8" s="1509"/>
      <c r="B8" s="1509"/>
      <c r="C8" s="1509"/>
      <c r="D8" s="1509"/>
      <c r="E8" s="2418"/>
      <c r="F8" s="2418"/>
      <c r="G8" s="2418"/>
      <c r="H8" s="2418"/>
      <c r="I8" s="2445"/>
      <c r="J8" s="2445"/>
      <c r="K8" s="2415">
        <f>S5&amp;".1"</f>
      </c>
      <c r="L8" s="1510"/>
      <c r="P8" s="2416"/>
      <c r="Q8" s="2416"/>
      <c r="R8" s="2506">
        <v>1</v>
      </c>
      <c r="S8" s="2500">
        <f>$K8</f>
      </c>
      <c r="T8" s="2503"/>
      <c r="U8" s="446"/>
      <c r="V8" s="897"/>
      <c r="W8" s="1403"/>
      <c r="X8" s="2424"/>
      <c r="Y8" s="2266" t="s">
        <v>63</v>
      </c>
      <c r="Z8" s="2424"/>
      <c r="AA8" s="2266" t="s">
        <v>63</v>
      </c>
      <c r="AB8" s="2266" t="s">
        <v>19</v>
      </c>
      <c r="AC8" s="2485"/>
      <c r="AD8" s="2364">
        <v>1</v>
      </c>
      <c r="AE8" s="2486"/>
      <c r="AF8" s="2266" t="s">
        <v>19</v>
      </c>
      <c r="AG8" s="2485"/>
      <c r="AH8" s="2364">
        <v>1</v>
      </c>
      <c r="AI8" s="2486"/>
      <c r="AJ8" s="2266" t="s">
        <v>19</v>
      </c>
      <c r="AK8" s="457"/>
      <c r="AL8" s="1483">
        <v>1</v>
      </c>
      <c r="AM8" s="1544"/>
      <c r="AN8" s="897"/>
      <c r="AO8" s="1403"/>
      <c r="AP8" s="1879"/>
      <c r="AQ8" s="1605" t="s">
        <v>63</v>
      </c>
      <c r="AR8" s="1879"/>
      <c r="AS8" s="1605" t="s">
        <v>63</v>
      </c>
      <c r="AT8" s="1494"/>
      <c r="AU8" s="2412" t="s">
        <v>486</v>
      </c>
      <c r="AV8" s="657">
        <f>STRCHECKDATE(V11:AT11)</f>
      </c>
      <c r="AW8" s="646"/>
      <c r="AX8" s="646" t="str">
        <f>IF(T8="","",T8)</f>
        <v/>
      </c>
      <c r="AY8" s="646"/>
      <c r="AZ8" s="646"/>
      <c r="BA8" s="1301">
        <v>0</v>
      </c>
    </row>
    <row customHeight="1" ht="11.25" hidden="1">
      <c r="A9" s="1509"/>
      <c r="B9" s="1509"/>
      <c r="C9" s="1509"/>
      <c r="D9" s="1509"/>
      <c r="E9" s="2418"/>
      <c r="F9" s="2418"/>
      <c r="G9" s="2418"/>
      <c r="H9" s="2418"/>
      <c r="I9" s="2445"/>
      <c r="J9" s="2445"/>
      <c r="K9" s="2415"/>
      <c r="L9" s="1510"/>
      <c r="P9" s="2416"/>
      <c r="Q9" s="2416"/>
      <c r="R9" s="2506"/>
      <c r="S9" s="2501"/>
      <c r="T9" s="2504"/>
      <c r="U9" s="446"/>
      <c r="V9" s="1539"/>
      <c r="W9" s="1543"/>
      <c r="X9" s="2424"/>
      <c r="Y9" s="2266"/>
      <c r="Z9" s="2424"/>
      <c r="AA9" s="2266"/>
      <c r="AB9" s="2266"/>
      <c r="AC9" s="2485"/>
      <c r="AD9" s="2364"/>
      <c r="AE9" s="2486"/>
      <c r="AF9" s="2266"/>
      <c r="AG9" s="2485"/>
      <c r="AH9" s="2364"/>
      <c r="AI9" s="2486"/>
      <c r="AJ9" s="2266"/>
      <c r="AK9" s="462"/>
      <c r="AL9" s="562"/>
      <c r="AM9" s="561" t="s">
        <v>487</v>
      </c>
      <c r="AN9" s="1539"/>
      <c r="AO9" s="1642"/>
      <c r="AP9" s="1539"/>
      <c r="AQ9" s="1539"/>
      <c r="AR9" s="1539"/>
      <c r="AS9" s="1539"/>
      <c r="AT9" s="1536"/>
      <c r="AU9" s="2413"/>
      <c r="AW9" s="646"/>
      <c r="AX9" s="646"/>
      <c r="AY9" s="646"/>
      <c r="AZ9" s="646"/>
      <c r="BA9" s="1301">
        <v>0</v>
      </c>
    </row>
    <row customHeight="1" ht="11.25" hidden="1">
      <c r="A10" s="1509"/>
      <c r="B10" s="1509"/>
      <c r="C10" s="1509"/>
      <c r="D10" s="1509"/>
      <c r="E10" s="2418"/>
      <c r="F10" s="2418"/>
      <c r="G10" s="2418"/>
      <c r="H10" s="2418"/>
      <c r="I10" s="2445"/>
      <c r="J10" s="2445"/>
      <c r="K10" s="2415"/>
      <c r="L10" s="1510"/>
      <c r="P10" s="2416"/>
      <c r="Q10" s="2416"/>
      <c r="R10" s="2506"/>
      <c r="S10" s="2501"/>
      <c r="T10" s="2504"/>
      <c r="U10" s="446"/>
      <c r="V10" s="1539"/>
      <c r="W10" s="1543"/>
      <c r="X10" s="2424"/>
      <c r="Y10" s="2266"/>
      <c r="Z10" s="2424"/>
      <c r="AA10" s="2266"/>
      <c r="AB10" s="2266"/>
      <c r="AC10" s="2485"/>
      <c r="AD10" s="2364"/>
      <c r="AE10" s="2486"/>
      <c r="AF10" s="2266"/>
      <c r="AG10" s="440"/>
      <c r="AH10" s="561"/>
      <c r="AI10" s="561" t="s">
        <v>488</v>
      </c>
      <c r="AJ10" s="1539"/>
      <c r="AK10" s="1539"/>
      <c r="AL10" s="1539"/>
      <c r="AM10" s="1539"/>
      <c r="AN10" s="1539"/>
      <c r="AO10" s="1642"/>
      <c r="AP10" s="1539"/>
      <c r="AQ10" s="1539"/>
      <c r="AR10" s="1539"/>
      <c r="AS10" s="1539"/>
      <c r="AT10" s="1536"/>
      <c r="AU10" s="2413"/>
      <c r="AW10" s="646"/>
      <c r="AX10" s="646"/>
      <c r="AY10" s="646"/>
      <c r="AZ10" s="646"/>
      <c r="BA10" s="1301">
        <v>0</v>
      </c>
    </row>
    <row customHeight="1" ht="11.25" hidden="1">
      <c r="A11" s="1509"/>
      <c r="B11" s="1509"/>
      <c r="C11" s="1509"/>
      <c r="D11" s="1509"/>
      <c r="E11" s="2418"/>
      <c r="F11" s="2418"/>
      <c r="G11" s="2418"/>
      <c r="H11" s="2418"/>
      <c r="I11" s="2445"/>
      <c r="J11" s="2445"/>
      <c r="K11" s="2415"/>
      <c r="L11" s="1510"/>
      <c r="P11" s="2416"/>
      <c r="Q11" s="2416"/>
      <c r="R11" s="2506"/>
      <c r="S11" s="2502"/>
      <c r="T11" s="2505"/>
      <c r="U11" s="446"/>
      <c r="V11" s="1539"/>
      <c r="W11" s="1542" t="str">
        <f>X8&amp;"-"&amp;Z8</f>
        <v>-</v>
      </c>
      <c r="X11" s="2425"/>
      <c r="Y11" s="2266"/>
      <c r="Z11" s="2425"/>
      <c r="AA11" s="2266"/>
      <c r="AB11" s="2266"/>
      <c r="AC11" s="458"/>
      <c r="AD11" s="460"/>
      <c r="AE11" s="561" t="s">
        <v>489</v>
      </c>
      <c r="AF11" s="1539"/>
      <c r="AG11" s="1539"/>
      <c r="AH11" s="1539"/>
      <c r="AI11" s="1539"/>
      <c r="AJ11" s="1539"/>
      <c r="AK11" s="1539"/>
      <c r="AL11" s="1539"/>
      <c r="AM11" s="1539"/>
      <c r="AN11" s="1539"/>
      <c r="AO11" s="1540" t="str">
        <f>AP8&amp;"-"&amp;AR8</f>
        <v>-</v>
      </c>
      <c r="AP11" s="1539"/>
      <c r="AQ11" s="1539"/>
      <c r="AR11" s="1539"/>
      <c r="AS11" s="1539"/>
      <c r="AT11" s="1495"/>
      <c r="AU11" s="2413"/>
      <c r="AW11" s="646"/>
      <c r="AX11" s="646" t="str">
        <f>IF(T11="","",T11)</f>
        <v/>
      </c>
      <c r="AY11" s="646"/>
      <c r="AZ11" s="646"/>
      <c r="BA11" s="1301">
        <v>0</v>
      </c>
    </row>
    <row customHeight="1" ht="11.25" hidden="1">
      <c r="A12" s="1509"/>
      <c r="B12" s="1509"/>
      <c r="C12" s="1509"/>
      <c r="D12" s="1509"/>
      <c r="E12" s="2418"/>
      <c r="F12" s="2418"/>
      <c r="G12" s="2418"/>
      <c r="H12" s="2418"/>
      <c r="I12" s="2445"/>
      <c r="J12" s="2415"/>
      <c r="K12" s="1509"/>
      <c r="L12" s="1510"/>
      <c r="P12" s="2416"/>
      <c r="Q12" s="2416"/>
      <c r="R12" s="502"/>
      <c r="S12" s="1424"/>
      <c r="T12" s="433" t="s">
        <v>490</v>
      </c>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470"/>
      <c r="AU12" s="2414"/>
      <c r="AW12" s="646"/>
      <c r="AX12" s="646" t="str">
        <f>IF(T12="","",T12)</f>
        <v>Добавить строку</v>
      </c>
      <c r="AY12" s="646"/>
      <c r="AZ12" s="646"/>
      <c r="BA12" s="1301">
        <v>0</v>
      </c>
    </row>
    <row s="6720" customFormat="1" customHeight="1" ht="0.75" hidden="1">
      <c r="A13" s="1489"/>
      <c r="B13" s="1489"/>
      <c r="C13" s="1489"/>
      <c r="D13" s="1489"/>
      <c r="E13" s="2418"/>
      <c r="F13" s="2418"/>
      <c r="G13" s="2418"/>
      <c r="H13" s="2418"/>
      <c r="I13" s="2415"/>
      <c r="J13" s="1489"/>
      <c r="K13" s="1489"/>
      <c r="L13" s="1492"/>
      <c r="M13" s="656"/>
      <c r="N13" s="656"/>
      <c r="O13" s="656"/>
      <c r="P13" s="2416"/>
      <c r="Q13" s="1477"/>
      <c r="R13" s="502"/>
      <c r="S13" s="1532"/>
      <c r="T13" s="1533"/>
      <c r="U13" s="1534"/>
      <c r="V13" s="1534"/>
      <c r="W13" s="1534"/>
      <c r="X13" s="1534"/>
      <c r="Y13" s="1534"/>
      <c r="Z13" s="1534"/>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5"/>
      <c r="AW13" s="646"/>
      <c r="AX13" s="646" t="str">
        <f>IF(T13="","",T13)</f>
        <v/>
      </c>
      <c r="AY13" s="646"/>
      <c r="AZ13" s="646"/>
      <c r="BA13" s="657">
        <v>0</v>
      </c>
    </row>
    <row s="6720" customFormat="1" customHeight="1" ht="0.75" hidden="1">
      <c r="A14" s="1489"/>
      <c r="B14" s="1489"/>
      <c r="C14" s="1489"/>
      <c r="D14" s="1489"/>
      <c r="E14" s="2418"/>
      <c r="F14" s="2418"/>
      <c r="G14" s="2418"/>
      <c r="H14" s="2417"/>
      <c r="I14" s="1489"/>
      <c r="J14" s="1489"/>
      <c r="K14" s="1489"/>
      <c r="L14" s="1492"/>
      <c r="M14" s="1461"/>
      <c r="N14" s="1461"/>
      <c r="O14" s="664"/>
      <c r="P14" s="526"/>
      <c r="Q14" s="1490"/>
      <c r="R14" s="1547"/>
      <c r="S14" s="1532"/>
      <c r="T14" s="1533"/>
      <c r="U14" s="1534"/>
      <c r="V14" s="1534"/>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5"/>
      <c r="AW14" s="646"/>
      <c r="AX14" s="646" t="str">
        <f>IF(T14="","",T14)</f>
        <v/>
      </c>
      <c r="AY14" s="646"/>
      <c r="AZ14" s="646"/>
      <c r="BA14" s="657">
        <v>0</v>
      </c>
    </row>
    <row s="6720" customFormat="1" customHeight="1" ht="0.75" hidden="1">
      <c r="A15" s="1489"/>
      <c r="B15" s="1489"/>
      <c r="C15" s="1489"/>
      <c r="D15" s="1460"/>
      <c r="E15" s="2418"/>
      <c r="F15" s="2418"/>
      <c r="G15" s="2417"/>
      <c r="H15" s="1460"/>
      <c r="I15" s="1460"/>
      <c r="J15" s="1460"/>
      <c r="K15" s="1460"/>
      <c r="L15" s="1485"/>
      <c r="M15" s="1461"/>
      <c r="N15" s="1461"/>
      <c r="P15" s="1462"/>
      <c r="Q15" s="1463"/>
      <c r="R15" s="1462"/>
      <c r="S15" s="1468"/>
      <c r="T15" s="1471" t="s">
        <v>436</v>
      </c>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c r="AT15" s="1470"/>
      <c r="AU15" s="1470"/>
      <c r="AW15" s="935"/>
      <c r="AX15" s="935" t="str">
        <f>IF(T15="","",T15)</f>
        <v>Добавить источник для дифференциации</v>
      </c>
      <c r="AY15" s="935"/>
      <c r="AZ15" s="935"/>
      <c r="BA15" s="664">
        <v>0</v>
      </c>
    </row>
    <row s="6720" customFormat="1" customHeight="1" ht="0.75" hidden="1">
      <c r="A16" s="1489"/>
      <c r="B16" s="1489"/>
      <c r="C16" s="1460"/>
      <c r="D16" s="1460"/>
      <c r="E16" s="2418"/>
      <c r="F16" s="2417"/>
      <c r="G16" s="1460"/>
      <c r="H16" s="1460"/>
      <c r="I16" s="1460"/>
      <c r="J16" s="1460"/>
      <c r="K16" s="1460"/>
      <c r="L16" s="1485"/>
      <c r="M16" s="1467"/>
      <c r="N16" s="1467"/>
      <c r="P16" s="1462"/>
      <c r="Q16" s="1463"/>
      <c r="R16" s="1462"/>
      <c r="S16" s="1468"/>
      <c r="T16" s="1471" t="s">
        <v>437</v>
      </c>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W16" s="935"/>
      <c r="AX16" s="935" t="str">
        <f>IF(T16="","",T16)</f>
        <v>Добавить централизованную систему для дифференциации</v>
      </c>
      <c r="AY16" s="935"/>
      <c r="AZ16" s="935"/>
      <c r="BA16" s="664">
        <v>0</v>
      </c>
    </row>
    <row s="6720" customFormat="1" customHeight="1" ht="0.75" hidden="1">
      <c r="A17" s="1489"/>
      <c r="B17" s="1489"/>
      <c r="C17" s="1489"/>
      <c r="D17" s="1489"/>
      <c r="E17" s="2417"/>
      <c r="F17" s="1489"/>
      <c r="G17" s="1489"/>
      <c r="H17" s="1489"/>
      <c r="I17" s="1489"/>
      <c r="J17" s="1489"/>
      <c r="K17" s="1489"/>
      <c r="L17" s="1492"/>
      <c r="M17" s="1467"/>
      <c r="N17" s="1467"/>
      <c r="O17" s="664"/>
      <c r="P17" s="526"/>
      <c r="Q17" s="1490"/>
      <c r="R17" s="526"/>
      <c r="S17" s="1468"/>
      <c r="T17" s="1471" t="s">
        <v>438</v>
      </c>
      <c r="U17" s="1470"/>
      <c r="V17" s="1470"/>
      <c r="W17" s="1470"/>
      <c r="X17" s="1470"/>
      <c r="Y17" s="1470"/>
      <c r="Z17" s="1470"/>
      <c r="AA17" s="1470"/>
      <c r="AB17" s="1470"/>
      <c r="AC17" s="1470"/>
      <c r="AD17" s="1470"/>
      <c r="AE17" s="1470"/>
      <c r="AF17" s="1470"/>
      <c r="AG17" s="1470"/>
      <c r="AH17" s="1470"/>
      <c r="AI17" s="1470"/>
      <c r="AJ17" s="1470"/>
      <c r="AK17" s="1470"/>
      <c r="AL17" s="1470"/>
      <c r="AM17" s="1470"/>
      <c r="AN17" s="1470"/>
      <c r="AO17" s="1470"/>
      <c r="AP17" s="1470"/>
      <c r="AQ17" s="1470"/>
      <c r="AR17" s="1470"/>
      <c r="AS17" s="1470"/>
      <c r="AT17" s="1470"/>
      <c r="AU17" s="1470"/>
      <c r="AW17" s="646"/>
      <c r="AX17" s="646" t="str">
        <f>IF(T17="","",T17)</f>
        <v>Добавить территорию для дифференциации</v>
      </c>
      <c r="AY17" s="646"/>
      <c r="AZ17" s="646"/>
      <c r="BA17" s="657">
        <v>0</v>
      </c>
    </row>
    <row customHeight="1" ht="14.25" hidden="1">
      <c r="AA18" s="473"/>
      <c r="AS18" s="473"/>
      <c r="BA18" s="1301">
        <v>0</v>
      </c>
    </row>
    <row customHeight="1" ht="14.25" hidden="1">
      <c r="AB19" s="1470" t="s">
        <v>19</v>
      </c>
      <c r="AC19" s="1647"/>
      <c r="AD19" s="694">
        <v>1</v>
      </c>
      <c r="AE19" s="1648"/>
      <c r="AF19" s="1470" t="s">
        <v>19</v>
      </c>
      <c r="AG19" s="1647"/>
      <c r="AH19" s="694">
        <v>1</v>
      </c>
      <c r="AI19" s="1648"/>
      <c r="AJ19" s="1470" t="s">
        <v>19</v>
      </c>
      <c r="AK19" s="1649"/>
      <c r="AL19" s="694">
        <v>1</v>
      </c>
      <c r="AM19" s="1652"/>
      <c r="AN19" s="1549"/>
      <c r="AO19" s="1550"/>
      <c r="AP19" s="1881"/>
      <c r="AQ19" s="1606" t="s">
        <v>63</v>
      </c>
      <c r="AR19" s="1881"/>
      <c r="AS19" s="1606" t="s">
        <v>63</v>
      </c>
      <c r="BA19" s="1301">
        <v>0</v>
      </c>
    </row>
    <row customHeight="1" ht="14.25" hidden="1">
      <c r="AV20" s="642"/>
      <c r="AW20" s="642"/>
      <c r="AX20" s="642"/>
      <c r="AY20" s="642"/>
      <c r="AZ20" s="642"/>
      <c r="BA20" s="1301">
        <v>0</v>
      </c>
    </row>
    <row customHeight="1" ht="14.25" hidden="1">
      <c r="O21" s="1513" t="s">
        <v>439</v>
      </c>
      <c r="X21" s="1491"/>
      <c r="Z21" s="1491"/>
      <c r="AA21" s="473"/>
      <c r="AP21" s="1491"/>
      <c r="AR21" s="1491"/>
      <c r="AS21" s="473"/>
      <c r="AV21" s="642"/>
      <c r="AW21" s="642"/>
      <c r="AX21" s="642"/>
      <c r="AY21" s="642"/>
      <c r="AZ21" s="642"/>
      <c r="BA21" s="1301">
        <v>0</v>
      </c>
    </row>
    <row customHeight="1" ht="14.25" hidden="1">
      <c r="AA22" s="473"/>
      <c r="AS22" s="473"/>
      <c r="AV22" s="642"/>
      <c r="AW22" s="642"/>
      <c r="AX22" s="642"/>
      <c r="AY22" s="642"/>
      <c r="AZ22" s="642"/>
      <c r="BA22" s="1301">
        <v>0</v>
      </c>
    </row>
    <row s="6437" customFormat="1" customHeight="1" ht="14.25" hidden="1">
      <c r="M23" s="1654"/>
      <c r="N23" s="1654"/>
      <c r="O23" s="1655" t="s">
        <v>440</v>
      </c>
      <c r="P23" s="1654"/>
      <c r="Q23" s="1656"/>
      <c r="R23" s="1656"/>
      <c r="Y23" s="1653" t="s">
        <v>442</v>
      </c>
      <c r="AA23" s="1653" t="s">
        <v>443</v>
      </c>
      <c r="AB23" s="1653" t="s">
        <v>491</v>
      </c>
      <c r="AE23" s="1653" t="s">
        <v>492</v>
      </c>
      <c r="AF23" s="1653" t="s">
        <v>491</v>
      </c>
      <c r="AI23" s="1653" t="s">
        <v>493</v>
      </c>
      <c r="AJ23" s="1653" t="s">
        <v>491</v>
      </c>
      <c r="AM23" s="1653" t="s">
        <v>494</v>
      </c>
      <c r="AQ23" s="1653" t="s">
        <v>442</v>
      </c>
      <c r="AS23" s="1653" t="s">
        <v>443</v>
      </c>
      <c r="AV23" s="1657"/>
      <c r="AW23" s="1657"/>
      <c r="AX23" s="1657"/>
      <c r="AY23" s="1657"/>
      <c r="AZ23" s="1657"/>
      <c r="BA23" s="1653">
        <v>0</v>
      </c>
    </row>
    <row customHeight="1" ht="14.25" hidden="1">
      <c r="O24" s="1510"/>
      <c r="AV24" s="642"/>
      <c r="AW24" s="642"/>
      <c r="AX24" s="642"/>
      <c r="AY24" s="642"/>
      <c r="AZ24" s="642"/>
      <c r="BA24" s="1301">
        <v>0</v>
      </c>
    </row>
    <row customHeight="1" ht="14.25" hidden="1">
      <c r="O25" s="1510"/>
      <c r="AV25" s="642"/>
      <c r="AW25" s="642"/>
      <c r="AX25" s="642"/>
      <c r="AY25" s="642"/>
      <c r="AZ25" s="642"/>
      <c r="BA25" s="1301">
        <v>0</v>
      </c>
    </row>
    <row customHeight="1" ht="14.699999999999998">
      <c r="Q26" s="437"/>
      <c r="R26" s="522"/>
      <c r="S26" s="1421"/>
      <c r="T26" s="509"/>
      <c r="U26" s="509"/>
      <c r="V26" s="655"/>
      <c r="W26" s="655"/>
      <c r="X26" s="655"/>
      <c r="Y26" s="655"/>
      <c r="Z26" s="655"/>
      <c r="AA26" s="655"/>
      <c r="AB26" s="655"/>
      <c r="AC26" s="655"/>
      <c r="AD26" s="655"/>
      <c r="AE26" s="655"/>
      <c r="AF26" s="655"/>
      <c r="AG26" s="655"/>
      <c r="AH26" s="655"/>
      <c r="AI26" s="655"/>
      <c r="AJ26" s="655"/>
      <c r="AK26" s="655"/>
      <c r="AL26" s="655"/>
      <c r="AM26" s="655"/>
      <c r="AN26" s="655"/>
      <c r="AO26" s="655"/>
      <c r="AP26" s="655"/>
      <c r="AQ26" s="655"/>
      <c r="AR26" s="655"/>
      <c r="AS26" s="655"/>
      <c r="BA26" s="1301">
        <v>14</v>
      </c>
    </row>
    <row customHeight="1" ht="27.299999999999997">
      <c r="Q27" s="437"/>
      <c r="R27" s="522"/>
      <c r="S27" s="24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1389"/>
      <c r="BA27" s="1301">
        <v>26</v>
      </c>
    </row>
    <row customHeight="1" ht="14.699999999999998">
      <c r="Q28" s="437"/>
      <c r="R28" s="522"/>
      <c r="S28" s="2408" t="str">
        <f>IF(org=0,"Не определено",org)</f>
        <v>ПАО "ТГК-14"</v>
      </c>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1389"/>
      <c r="BA28" s="1301">
        <v>14</v>
      </c>
    </row>
    <row customHeight="1" ht="14.25" hidden="1">
      <c r="Q29" s="437"/>
      <c r="R29" s="522"/>
      <c r="S29" s="1421"/>
      <c r="T29" s="509"/>
      <c r="U29" s="509"/>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655"/>
      <c r="BA29" s="1301">
        <v>0</v>
      </c>
    </row>
    <row s="7809" customFormat="1" customHeight="1" ht="25.5" hidden="1">
      <c r="A30" s="1514"/>
      <c r="B30" s="1514"/>
      <c r="C30" s="1514"/>
      <c r="D30" s="1514"/>
      <c r="E30" s="1514"/>
      <c r="F30" s="1514"/>
      <c r="G30" s="1514"/>
      <c r="H30" s="1514"/>
      <c r="I30" s="1514"/>
      <c r="J30" s="1514"/>
      <c r="K30" s="1514"/>
      <c r="L30" s="1515"/>
      <c r="M30" s="1514"/>
      <c r="N30" s="1514"/>
      <c r="O30" s="1514"/>
      <c r="P30" s="1514"/>
      <c r="Q30" s="1514"/>
      <c r="S30" s="2409" t="s">
        <v>42</v>
      </c>
      <c r="T30" s="2409"/>
      <c r="U30" s="1518"/>
      <c r="V30" s="2410" t="str">
        <f>IF(TITLE_NAME_OR_PR_CHANGE="",IF(TITLE_NAME_OR_PR="","",TITLE_NAME_OR_PR),TITLE_NAME_OR_PR_CHANGE)</f>
        <v/>
      </c>
      <c r="W30" s="2410"/>
      <c r="X30" s="2410"/>
      <c r="Y30" s="2410"/>
      <c r="Z30" s="2410"/>
      <c r="AA30" s="472"/>
      <c r="AB30" s="2410" t="str">
        <f>IF(TITLE_NAME_OR_PR_CHANGE="",IF(TITLE_NAME_OR_PR="","",TITLE_NAME_OR_PR),TITLE_NAME_OR_PR_CHANGE)</f>
        <v/>
      </c>
      <c r="AC30" s="2410"/>
      <c r="AD30" s="2410"/>
      <c r="AE30" s="2410"/>
      <c r="AF30" s="2410"/>
      <c r="AG30" s="2410"/>
      <c r="AH30" s="2410"/>
      <c r="AI30" s="2410"/>
      <c r="AJ30" s="2410"/>
      <c r="AK30" s="2410"/>
      <c r="AL30" s="2410"/>
      <c r="AM30" s="2410"/>
      <c r="AN30" s="2410"/>
      <c r="AO30" s="2410"/>
      <c r="AP30" s="2410"/>
      <c r="AQ30" s="2410"/>
      <c r="AR30" s="2410"/>
      <c r="AS30" s="472"/>
      <c r="AT30" s="472"/>
      <c r="AU30" s="426"/>
      <c r="AV30" s="514"/>
      <c r="AW30" s="514"/>
      <c r="AX30" s="514"/>
      <c r="AY30" s="514"/>
      <c r="AZ30" s="514"/>
      <c r="BA30" s="564">
        <v>0</v>
      </c>
    </row>
    <row s="7809" customFormat="1" customHeight="1" ht="18.75" hidden="1">
      <c r="A31" s="1514"/>
      <c r="B31" s="1514"/>
      <c r="C31" s="1514"/>
      <c r="D31" s="1514"/>
      <c r="E31" s="1514"/>
      <c r="F31" s="1514"/>
      <c r="G31" s="1514"/>
      <c r="H31" s="1514"/>
      <c r="I31" s="1514"/>
      <c r="J31" s="1514"/>
      <c r="K31" s="1514"/>
      <c r="L31" s="1515"/>
      <c r="M31" s="1514"/>
      <c r="N31" s="1514"/>
      <c r="O31" s="1514"/>
      <c r="P31" s="1514"/>
      <c r="Q31" s="1514"/>
      <c r="S31" s="2409" t="s">
        <v>445</v>
      </c>
      <c r="T31" s="2409"/>
      <c r="U31" s="1518"/>
      <c r="V31" s="2423" t="str">
        <f>IF(TITLE_DATE_PR_CHANGE="",IF(TITLE_DATE_PR="","",TITLE_DATE_PR),TITLE_DATE_PR_CHANGE)</f>
        <v/>
      </c>
      <c r="W31" s="2423"/>
      <c r="X31" s="2423"/>
      <c r="Y31" s="2423"/>
      <c r="Z31" s="2423"/>
      <c r="AA31" s="472"/>
      <c r="AB31" s="2423" t="str">
        <f>IF(TITLE_DATE_PR_CHANGE="",IF(TITLE_DATE_PR="","",TITLE_DATE_PR),TITLE_DATE_PR_CHANGE)</f>
        <v/>
      </c>
      <c r="AC31" s="2423"/>
      <c r="AD31" s="2423"/>
      <c r="AE31" s="2423"/>
      <c r="AF31" s="2423"/>
      <c r="AG31" s="2423"/>
      <c r="AH31" s="2423"/>
      <c r="AI31" s="2423"/>
      <c r="AJ31" s="2423"/>
      <c r="AK31" s="2423"/>
      <c r="AL31" s="2423"/>
      <c r="AM31" s="2423"/>
      <c r="AN31" s="2423"/>
      <c r="AO31" s="2423"/>
      <c r="AP31" s="2423"/>
      <c r="AQ31" s="2423"/>
      <c r="AR31" s="2423"/>
      <c r="AS31" s="472"/>
      <c r="AT31" s="472"/>
      <c r="AU31" s="426"/>
      <c r="AV31" s="514"/>
      <c r="AW31" s="514"/>
      <c r="AX31" s="514"/>
      <c r="AY31" s="514"/>
      <c r="AZ31" s="514"/>
      <c r="BA31" s="564">
        <v>0</v>
      </c>
    </row>
    <row s="7809" customFormat="1" customHeight="1" ht="18.75" hidden="1">
      <c r="A32" s="1514"/>
      <c r="B32" s="1514"/>
      <c r="C32" s="1514"/>
      <c r="D32" s="1514"/>
      <c r="E32" s="1514"/>
      <c r="F32" s="1514"/>
      <c r="G32" s="1514"/>
      <c r="H32" s="1514"/>
      <c r="I32" s="1514"/>
      <c r="J32" s="1514"/>
      <c r="K32" s="1514"/>
      <c r="L32" s="1515"/>
      <c r="M32" s="1514"/>
      <c r="N32" s="1514"/>
      <c r="O32" s="1514"/>
      <c r="P32" s="1514"/>
      <c r="Q32" s="1514"/>
      <c r="S32" s="2409" t="s">
        <v>446</v>
      </c>
      <c r="T32" s="2409"/>
      <c r="U32" s="1518"/>
      <c r="V32" s="2410" t="str">
        <f>IF(TITLE_NUMBER_PR_CHANGE="",IF(TITLE_NUMBER_PR="","",TITLE_NUMBER_PR),TITLE_NUMBER_PR_CHANGE)</f>
        <v/>
      </c>
      <c r="W32" s="2410"/>
      <c r="X32" s="2410"/>
      <c r="Y32" s="2410"/>
      <c r="Z32" s="2410"/>
      <c r="AA32" s="472"/>
      <c r="AB32" s="2410" t="str">
        <f>IF(TITLE_NUMBER_PR_CHANGE="",IF(TITLE_NUMBER_PR="","",TITLE_NUMBER_PR),TITLE_NUMBER_PR_CHANGE)</f>
        <v/>
      </c>
      <c r="AC32" s="2410"/>
      <c r="AD32" s="2410"/>
      <c r="AE32" s="2410"/>
      <c r="AF32" s="2410"/>
      <c r="AG32" s="2410"/>
      <c r="AH32" s="2410"/>
      <c r="AI32" s="2410"/>
      <c r="AJ32" s="2410"/>
      <c r="AK32" s="2410"/>
      <c r="AL32" s="2410"/>
      <c r="AM32" s="2410"/>
      <c r="AN32" s="2410"/>
      <c r="AO32" s="2410"/>
      <c r="AP32" s="2410"/>
      <c r="AQ32" s="2410"/>
      <c r="AR32" s="2410"/>
      <c r="AS32" s="472"/>
      <c r="AT32" s="472"/>
      <c r="AU32" s="426"/>
      <c r="AV32" s="514"/>
      <c r="AW32" s="514"/>
      <c r="AX32" s="514"/>
      <c r="AY32" s="514"/>
      <c r="AZ32" s="514"/>
      <c r="BA32" s="564">
        <v>0</v>
      </c>
    </row>
    <row s="7809" customFormat="1" customHeight="1" ht="18.75" hidden="1">
      <c r="A33" s="1514"/>
      <c r="B33" s="1514"/>
      <c r="C33" s="1514"/>
      <c r="D33" s="1514"/>
      <c r="E33" s="1514"/>
      <c r="F33" s="1514"/>
      <c r="G33" s="1514"/>
      <c r="H33" s="1514"/>
      <c r="I33" s="1514"/>
      <c r="J33" s="1514"/>
      <c r="K33" s="1514"/>
      <c r="L33" s="1515"/>
      <c r="M33" s="1514"/>
      <c r="N33" s="1514"/>
      <c r="O33" s="1514"/>
      <c r="P33" s="1514"/>
      <c r="Q33" s="1514"/>
      <c r="S33" s="2409" t="s">
        <v>43</v>
      </c>
      <c r="T33" s="2409"/>
      <c r="U33" s="1518"/>
      <c r="V33" s="2410" t="str">
        <f>IF(TITLE_IST_PUB_CHANGE="",IF(TITLE_IST_PUB="","",TITLE_IST_PUB),TITLE_IST_PUB_CHANGE)</f>
        <v/>
      </c>
      <c r="W33" s="2410"/>
      <c r="X33" s="2410"/>
      <c r="Y33" s="2410"/>
      <c r="Z33" s="2410"/>
      <c r="AA33" s="472"/>
      <c r="AB33" s="2410" t="str">
        <f>IF(TITLE_IST_PUB_CHANGE="",IF(TITLE_IST_PUB="","",TITLE_IST_PUB),TITLE_IST_PUB_CHANGE)</f>
        <v/>
      </c>
      <c r="AC33" s="2410"/>
      <c r="AD33" s="2410"/>
      <c r="AE33" s="2410"/>
      <c r="AF33" s="2410"/>
      <c r="AG33" s="2410"/>
      <c r="AH33" s="2410"/>
      <c r="AI33" s="2410"/>
      <c r="AJ33" s="2410"/>
      <c r="AK33" s="2410"/>
      <c r="AL33" s="2410"/>
      <c r="AM33" s="2410"/>
      <c r="AN33" s="2410"/>
      <c r="AO33" s="2410"/>
      <c r="AP33" s="2410"/>
      <c r="AQ33" s="2410"/>
      <c r="AR33" s="2410"/>
      <c r="AS33" s="472"/>
      <c r="AT33" s="472"/>
      <c r="AU33" s="426"/>
      <c r="AV33" s="514"/>
      <c r="AW33" s="514"/>
      <c r="AX33" s="514"/>
      <c r="AY33" s="514"/>
      <c r="AZ33" s="514"/>
      <c r="BA33" s="564">
        <v>0</v>
      </c>
    </row>
    <row customHeight="1" ht="14.25" hidden="1">
      <c r="Q34" s="437"/>
      <c r="R34" s="522"/>
      <c r="S34" s="1421"/>
      <c r="T34" s="509"/>
      <c r="U34" s="509"/>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655"/>
      <c r="BA34" s="1301">
        <v>0</v>
      </c>
    </row>
    <row s="7809" customFormat="1" customHeight="1" ht="18.75" hidden="1">
      <c r="A35" s="1514"/>
      <c r="B35" s="1514"/>
      <c r="C35" s="1514"/>
      <c r="D35" s="1514"/>
      <c r="E35" s="1514"/>
      <c r="F35" s="1514"/>
      <c r="G35" s="1514"/>
      <c r="H35" s="1514"/>
      <c r="I35" s="1514"/>
      <c r="J35" s="1514"/>
      <c r="K35" s="1514"/>
      <c r="L35" s="1515"/>
      <c r="M35" s="1514"/>
      <c r="N35" s="1514"/>
      <c r="O35" s="1514"/>
      <c r="P35" s="1514"/>
      <c r="Q35" s="1514"/>
      <c r="S35" s="2409" t="s">
        <v>445</v>
      </c>
      <c r="T35" s="2409"/>
      <c r="U35" s="1518"/>
      <c r="V35" s="2423" t="str">
        <f>IF(TITLE_DATE_PR_CHANGE="",IF(TITLE_DATE_PR="","",TITLE_DATE_PR),TITLE_DATE_PR_CHANGE)</f>
        <v/>
      </c>
      <c r="W35" s="2423"/>
      <c r="X35" s="2423"/>
      <c r="Y35" s="2423"/>
      <c r="Z35" s="2423"/>
      <c r="AA35" s="472"/>
      <c r="AB35" s="2423" t="str">
        <f>IF(TITLE_DATE_PR_CHANGE="",IF(TITLE_DATE_PR="","",TITLE_DATE_PR),TITLE_DATE_PR_CHANGE)</f>
        <v/>
      </c>
      <c r="AC35" s="2423"/>
      <c r="AD35" s="2423"/>
      <c r="AE35" s="2423"/>
      <c r="AF35" s="2423"/>
      <c r="AG35" s="2423"/>
      <c r="AH35" s="2423"/>
      <c r="AI35" s="2423"/>
      <c r="AJ35" s="2423"/>
      <c r="AK35" s="2423"/>
      <c r="AL35" s="2423"/>
      <c r="AM35" s="2423"/>
      <c r="AN35" s="2423"/>
      <c r="AO35" s="2423"/>
      <c r="AP35" s="2423"/>
      <c r="AQ35" s="2423"/>
      <c r="AR35" s="2423"/>
      <c r="AS35" s="472"/>
      <c r="AT35" s="472"/>
      <c r="AU35" s="426"/>
      <c r="AV35" s="514"/>
      <c r="AW35" s="514"/>
      <c r="AX35" s="514"/>
      <c r="AY35" s="514"/>
      <c r="AZ35" s="514"/>
      <c r="BA35" s="564">
        <v>0</v>
      </c>
    </row>
    <row s="7809" customFormat="1" customHeight="1" ht="18" hidden="1">
      <c r="A36" s="1514"/>
      <c r="B36" s="1514"/>
      <c r="C36" s="1514"/>
      <c r="D36" s="1514"/>
      <c r="E36" s="1514"/>
      <c r="F36" s="1514"/>
      <c r="G36" s="1514"/>
      <c r="H36" s="1514"/>
      <c r="I36" s="1514"/>
      <c r="J36" s="1514"/>
      <c r="K36" s="1514"/>
      <c r="L36" s="1515"/>
      <c r="M36" s="1514"/>
      <c r="N36" s="1514"/>
      <c r="O36" s="1514"/>
      <c r="P36" s="1514"/>
      <c r="Q36" s="1514"/>
      <c r="S36" s="2409" t="s">
        <v>446</v>
      </c>
      <c r="T36" s="2409"/>
      <c r="U36" s="1518"/>
      <c r="V36" s="2410" t="str">
        <f>IF(TITLE_NUMBER_PR_CHANGE="",IF(TITLE_NUMBER_PR="","",TITLE_NUMBER_PR),TITLE_NUMBER_PR_CHANGE)</f>
        <v/>
      </c>
      <c r="W36" s="2410"/>
      <c r="X36" s="2410"/>
      <c r="Y36" s="2410"/>
      <c r="Z36" s="2410"/>
      <c r="AA36" s="472"/>
      <c r="AB36" s="2410" t="str">
        <f>IF(TITLE_NUMBER_PR_CHANGE="",IF(TITLE_NUMBER_PR="","",TITLE_NUMBER_PR),TITLE_NUMBER_PR_CHANGE)</f>
        <v/>
      </c>
      <c r="AC36" s="2410"/>
      <c r="AD36" s="2410"/>
      <c r="AE36" s="2410"/>
      <c r="AF36" s="2410"/>
      <c r="AG36" s="2410"/>
      <c r="AH36" s="2410"/>
      <c r="AI36" s="2410"/>
      <c r="AJ36" s="2410"/>
      <c r="AK36" s="2410"/>
      <c r="AL36" s="2410"/>
      <c r="AM36" s="2410"/>
      <c r="AN36" s="2410"/>
      <c r="AO36" s="2410"/>
      <c r="AP36" s="2410"/>
      <c r="AQ36" s="2410"/>
      <c r="AR36" s="2410"/>
      <c r="AS36" s="472"/>
      <c r="AT36" s="472"/>
      <c r="AU36" s="426"/>
      <c r="AV36" s="514"/>
      <c r="AW36" s="514"/>
      <c r="AX36" s="514"/>
      <c r="AY36" s="514"/>
      <c r="AZ36" s="514"/>
      <c r="BA36" s="564">
        <v>0</v>
      </c>
    </row>
    <row s="7809" customFormat="1" customHeight="1" ht="1.05">
      <c r="A37" s="1514"/>
      <c r="B37" s="1514"/>
      <c r="C37" s="1514"/>
      <c r="D37" s="1514"/>
      <c r="E37" s="1514"/>
      <c r="F37" s="1514"/>
      <c r="G37" s="1514"/>
      <c r="H37" s="1514"/>
      <c r="I37" s="1514"/>
      <c r="J37" s="1514"/>
      <c r="K37" s="1514"/>
      <c r="L37" s="1515"/>
      <c r="M37" s="1514"/>
      <c r="N37" s="1514"/>
      <c r="O37" s="1514"/>
      <c r="P37" s="1514"/>
      <c r="Q37" s="1514"/>
      <c r="S37" s="469"/>
      <c r="T37" s="469"/>
      <c r="U37" s="1486"/>
      <c r="V37" s="472"/>
      <c r="W37" s="472"/>
      <c r="X37" s="472"/>
      <c r="Y37" s="472"/>
      <c r="Z37" s="472"/>
      <c r="AA37" s="424" t="s">
        <v>449</v>
      </c>
      <c r="AB37" s="472"/>
      <c r="AC37" s="472"/>
      <c r="AD37" s="472"/>
      <c r="AE37" s="472"/>
      <c r="AF37" s="472"/>
      <c r="AG37" s="472"/>
      <c r="AH37" s="472"/>
      <c r="AI37" s="472"/>
      <c r="AJ37" s="472"/>
      <c r="AK37" s="472"/>
      <c r="AL37" s="472"/>
      <c r="AM37" s="472"/>
      <c r="AN37" s="472"/>
      <c r="AO37" s="472"/>
      <c r="AP37" s="472"/>
      <c r="AQ37" s="472"/>
      <c r="AR37" s="472"/>
      <c r="AS37" s="424" t="s">
        <v>449</v>
      </c>
      <c r="AV37" s="514"/>
      <c r="AW37" s="514"/>
      <c r="AX37" s="514"/>
      <c r="AY37" s="514"/>
      <c r="AZ37" s="514"/>
      <c r="BA37" s="564">
        <v>1</v>
      </c>
    </row>
    <row customHeight="1" ht="14.699999999999998">
      <c r="Q38" s="437"/>
      <c r="R38" s="522"/>
      <c r="S38" s="1421"/>
      <c r="T38" s="509"/>
      <c r="U38" s="1390"/>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2411"/>
      <c r="BA38" s="1301">
        <v>14</v>
      </c>
    </row>
    <row customHeight="1" ht="14.699999999999998">
      <c r="Q39" s="437"/>
      <c r="R39" s="522"/>
      <c r="S39" s="2286" t="s">
        <v>322</v>
      </c>
      <c r="T39" s="2286"/>
      <c r="U39" s="2286"/>
      <c r="V39" s="2286"/>
      <c r="W39" s="2286"/>
      <c r="X39" s="2286"/>
      <c r="Y39" s="2286"/>
      <c r="Z39" s="2286"/>
      <c r="AA39" s="2286"/>
      <c r="AB39" s="2334"/>
      <c r="AC39" s="2334"/>
      <c r="AD39" s="2334"/>
      <c r="AE39" s="2334"/>
      <c r="AF39" s="2286"/>
      <c r="AG39" s="2286"/>
      <c r="AH39" s="2286"/>
      <c r="AI39" s="2286"/>
      <c r="AJ39" s="2286"/>
      <c r="AK39" s="2286"/>
      <c r="AL39" s="2286"/>
      <c r="AM39" s="2286"/>
      <c r="AN39" s="2286"/>
      <c r="AO39" s="2286"/>
      <c r="AP39" s="2286"/>
      <c r="AQ39" s="2286"/>
      <c r="AR39" s="2286"/>
      <c r="AS39" s="2286"/>
      <c r="AT39" s="2286"/>
      <c r="AU39" s="2286" t="s">
        <v>323</v>
      </c>
      <c r="BA39" s="1301">
        <v>14</v>
      </c>
    </row>
    <row customHeight="1" ht="14.699999999999998">
      <c r="Q40" s="437"/>
      <c r="R40" s="522"/>
      <c r="S40" s="2432" t="s">
        <v>89</v>
      </c>
      <c r="T40" s="2368" t="s">
        <v>495</v>
      </c>
      <c r="U40" s="447"/>
      <c r="V40" s="2434"/>
      <c r="W40" s="2434"/>
      <c r="X40" s="2434"/>
      <c r="Y40" s="2434"/>
      <c r="Z40" s="2435"/>
      <c r="AA40" s="2495" t="s">
        <v>452</v>
      </c>
      <c r="AB40" s="2487" t="s">
        <v>496</v>
      </c>
      <c r="AC40" s="2450"/>
      <c r="AD40" s="2450"/>
      <c r="AE40" s="2488"/>
      <c r="AF40" s="2450" t="s">
        <v>497</v>
      </c>
      <c r="AG40" s="2450"/>
      <c r="AH40" s="2450"/>
      <c r="AI40" s="2488"/>
      <c r="AJ40" s="2487" t="s">
        <v>498</v>
      </c>
      <c r="AK40" s="2450"/>
      <c r="AL40" s="2450"/>
      <c r="AM40" s="2488"/>
      <c r="AN40" s="2487" t="s">
        <v>451</v>
      </c>
      <c r="AO40" s="2450"/>
      <c r="AP40" s="2434"/>
      <c r="AQ40" s="2434"/>
      <c r="AR40" s="2435"/>
      <c r="AS40" s="2436" t="s">
        <v>452</v>
      </c>
      <c r="AT40" s="2439" t="s">
        <v>454</v>
      </c>
      <c r="AU40" s="2286"/>
      <c r="BA40" s="1301">
        <v>14</v>
      </c>
    </row>
    <row customHeight="1" ht="35.699999999999996">
      <c r="Q41" s="437"/>
      <c r="R41" s="522"/>
      <c r="S41" s="2432"/>
      <c r="T41" s="2368"/>
      <c r="U41" s="1177"/>
      <c r="V41" s="2286" t="s">
        <v>499</v>
      </c>
      <c r="W41" s="2286"/>
      <c r="X41" s="2453" t="s">
        <v>458</v>
      </c>
      <c r="Y41" s="2472"/>
      <c r="Z41" s="2473"/>
      <c r="AA41" s="2496"/>
      <c r="AB41" s="2489"/>
      <c r="AC41" s="2490"/>
      <c r="AD41" s="2490"/>
      <c r="AE41" s="2491"/>
      <c r="AF41" s="2490"/>
      <c r="AG41" s="2490"/>
      <c r="AH41" s="2490"/>
      <c r="AI41" s="2491"/>
      <c r="AJ41" s="2489"/>
      <c r="AK41" s="2490"/>
      <c r="AL41" s="2490"/>
      <c r="AM41" s="2490"/>
      <c r="AN41" s="2286" t="s">
        <v>499</v>
      </c>
      <c r="AO41" s="2286"/>
      <c r="AP41" s="2472" t="s">
        <v>458</v>
      </c>
      <c r="AQ41" s="2472"/>
      <c r="AR41" s="2473"/>
      <c r="AS41" s="2437"/>
      <c r="AT41" s="2440"/>
      <c r="AU41" s="2286"/>
      <c r="BA41" s="1301">
        <v>34</v>
      </c>
    </row>
    <row customHeight="1" ht="14.699999999999998">
      <c r="Q42" s="437"/>
      <c r="R42" s="522"/>
      <c r="S42" s="2432"/>
      <c r="T42" s="2368"/>
      <c r="U42" s="1177"/>
      <c r="V42" s="2499" t="str">
        <f>IF($AN$42&lt;&gt;"",$AN$42,"")</f>
        <v/>
      </c>
      <c r="W42" s="2499"/>
      <c r="X42" s="2454"/>
      <c r="Y42" s="2474"/>
      <c r="Z42" s="2475"/>
      <c r="AA42" s="2496"/>
      <c r="AB42" s="2489"/>
      <c r="AC42" s="2490"/>
      <c r="AD42" s="2490"/>
      <c r="AE42" s="2491"/>
      <c r="AF42" s="2490"/>
      <c r="AG42" s="2490"/>
      <c r="AH42" s="2490"/>
      <c r="AI42" s="2491"/>
      <c r="AJ42" s="2489"/>
      <c r="AK42" s="2490"/>
      <c r="AL42" s="2490"/>
      <c r="AM42" s="2490"/>
      <c r="AN42" s="2498"/>
      <c r="AO42" s="2498"/>
      <c r="AP42" s="2474"/>
      <c r="AQ42" s="2474"/>
      <c r="AR42" s="2475"/>
      <c r="AS42" s="2437"/>
      <c r="AT42" s="2440"/>
      <c r="AU42" s="2286"/>
      <c r="BA42" s="1301">
        <v>14</v>
      </c>
    </row>
    <row customHeight="1" ht="14.699999999999998">
      <c r="A43" s="1516"/>
      <c r="B43" s="1516" t="s">
        <v>159</v>
      </c>
      <c r="C43" s="1516" t="s">
        <v>160</v>
      </c>
      <c r="D43" s="1516" t="s">
        <v>161</v>
      </c>
      <c r="E43" s="1510" t="s">
        <v>459</v>
      </c>
      <c r="F43" s="1510" t="s">
        <v>460</v>
      </c>
      <c r="G43" s="1510" t="s">
        <v>461</v>
      </c>
      <c r="H43" s="1510" t="s">
        <v>462</v>
      </c>
      <c r="I43" s="1510" t="s">
        <v>463</v>
      </c>
      <c r="J43" s="1510" t="s">
        <v>464</v>
      </c>
      <c r="K43" s="1510" t="s">
        <v>465</v>
      </c>
      <c r="L43" s="1510" t="s">
        <v>440</v>
      </c>
      <c r="Q43" s="437"/>
      <c r="R43" s="522"/>
      <c r="S43" s="2432"/>
      <c r="T43" s="2368"/>
      <c r="U43" s="448"/>
      <c r="V43" s="1476" t="s">
        <v>500</v>
      </c>
      <c r="W43" s="1476" t="s">
        <v>501</v>
      </c>
      <c r="X43" s="1484" t="s">
        <v>468</v>
      </c>
      <c r="Y43" s="2429" t="s">
        <v>469</v>
      </c>
      <c r="Z43" s="2430"/>
      <c r="AA43" s="2497"/>
      <c r="AB43" s="2492"/>
      <c r="AC43" s="2493"/>
      <c r="AD43" s="2493"/>
      <c r="AE43" s="2494"/>
      <c r="AF43" s="2493"/>
      <c r="AG43" s="2493"/>
      <c r="AH43" s="2493"/>
      <c r="AI43" s="2494"/>
      <c r="AJ43" s="2492"/>
      <c r="AK43" s="2493"/>
      <c r="AL43" s="2493"/>
      <c r="AM43" s="2494"/>
      <c r="AN43" s="2003" t="s">
        <v>500</v>
      </c>
      <c r="AO43" s="2003" t="s">
        <v>501</v>
      </c>
      <c r="AP43" s="1484" t="s">
        <v>468</v>
      </c>
      <c r="AQ43" s="2429" t="s">
        <v>469</v>
      </c>
      <c r="AR43" s="2430"/>
      <c r="AS43" s="2438"/>
      <c r="AT43" s="2441"/>
      <c r="AU43" s="2286"/>
      <c r="BA43" s="1301">
        <v>14</v>
      </c>
    </row>
    <row s="6314" customFormat="1" customHeight="1" ht="11.25" hidden="1">
      <c r="A44" s="1516"/>
      <c r="B44" s="1516"/>
      <c r="C44" s="1516"/>
      <c r="D44" s="1516"/>
      <c r="E44" s="1516"/>
      <c r="F44" s="1516"/>
      <c r="G44" s="1516"/>
      <c r="H44" s="1516"/>
      <c r="I44" s="1516"/>
      <c r="J44" s="1516"/>
      <c r="K44" s="1516"/>
      <c r="L44" s="1510"/>
      <c r="M44" s="1508"/>
      <c r="N44" s="1508"/>
      <c r="O44" s="1508"/>
      <c r="P44" s="656"/>
      <c r="Q44" s="1400"/>
      <c r="R44" s="1400">
        <v>1</v>
      </c>
      <c r="S44" s="1423" t="s">
        <v>121</v>
      </c>
      <c r="T44" s="1401" t="s">
        <v>105</v>
      </c>
      <c r="U44" s="1391" t="str">
        <f>OFFSET(U44,0,-1)</f>
        <v>2</v>
      </c>
      <c r="V44" s="1481">
        <f>OFFSET(V44,0,-1)+1</f>
        <v>3</v>
      </c>
      <c r="W44" s="1481">
        <f>OFFSET(W44,0,-1)+1</f>
        <v>4</v>
      </c>
      <c r="X44" s="1481">
        <f>OFFSET(X44,0,-1)+1</f>
        <v>5</v>
      </c>
      <c r="Y44" s="2431">
        <f>OFFSET(Y44,0,-1)+1</f>
        <v>6</v>
      </c>
      <c r="Z44" s="2431"/>
      <c r="AA44" s="1481">
        <f>OFFSET(AA44,0,-2)+1</f>
        <v>7</v>
      </c>
      <c r="AB44" s="1487">
        <f>OFFSET(AB44,0,-1)+1</f>
        <v>8</v>
      </c>
      <c r="AC44" s="1487"/>
      <c r="AD44" s="1487"/>
      <c r="AE44" s="1487"/>
      <c r="AF44" s="1481"/>
      <c r="AG44" s="1481"/>
      <c r="AH44" s="1481"/>
      <c r="AI44" s="1481"/>
      <c r="AJ44" s="1481"/>
      <c r="AK44" s="1481"/>
      <c r="AL44" s="1481"/>
      <c r="AM44" s="1481"/>
      <c r="AN44" s="1481">
        <f>OFFSET(AN44,0,-1)+1</f>
        <v>1</v>
      </c>
      <c r="AO44" s="1481">
        <f>OFFSET(AO44,0,-1)+1</f>
        <v>2</v>
      </c>
      <c r="AP44" s="1481">
        <f>OFFSET(AP44,0,-1)+1</f>
        <v>3</v>
      </c>
      <c r="AQ44" s="2431">
        <f>OFFSET(AQ44,0,-1)+1</f>
        <v>4</v>
      </c>
      <c r="AR44" s="2431"/>
      <c r="AS44" s="1481">
        <f>OFFSET(AS44,0,-2)+1</f>
        <v>5</v>
      </c>
      <c r="AT44" s="1391">
        <f>OFFSET(AT44,0,-1)</f>
        <v>5</v>
      </c>
      <c r="AU44" s="1481">
        <f>OFFSET(AU44,0,-1)+1</f>
        <v>6</v>
      </c>
      <c r="AV44" s="657"/>
      <c r="AW44" s="657"/>
      <c r="AX44" s="657"/>
      <c r="AY44" s="657"/>
      <c r="AZ44" s="657"/>
      <c r="BA44" s="642">
        <v>0</v>
      </c>
    </row>
    <row customHeight="1" ht="107.25">
      <c r="A45" s="1509" t="s">
        <v>222</v>
      </c>
      <c r="B45" s="1509"/>
      <c r="C45" s="1509"/>
      <c r="D45" s="1509"/>
      <c r="E45" s="2417">
        <v>1</v>
      </c>
      <c r="F45" s="1509"/>
      <c r="G45" s="1509"/>
      <c r="H45" s="1509"/>
      <c r="I45" s="1509"/>
      <c r="J45" s="1509"/>
      <c r="K45" s="1509"/>
      <c r="L45" s="1510"/>
      <c r="M45" s="1511"/>
      <c r="N45" s="1511"/>
      <c r="O45" s="1511"/>
      <c r="P45" s="1555"/>
      <c r="Q45" s="1019"/>
      <c r="R45" s="501"/>
      <c r="S45" s="1482">
        <f>INDEX(PT_DIFFERENTIATION_NUM_NTAR,MATCH(A45,PT_DIFFERENTIATION_NTAR_ID,0))</f>
        <v>0</v>
      </c>
      <c r="T45" s="444" t="s">
        <v>147</v>
      </c>
      <c r="U45" s="446"/>
      <c r="V45" s="2402"/>
      <c r="W45" s="2402"/>
      <c r="X45" s="2402"/>
      <c r="Y45" s="2402"/>
      <c r="Z45" s="2402"/>
      <c r="AA45" s="2403"/>
      <c r="AB45" s="2401" t="str">
        <f>INDEX(PT_DIFFERENTIATION_NTAR,MATCH(A45,PT_DIFFERENTIATION_NTAR_ID,0))</f>
        <v/>
      </c>
      <c r="AC45" s="2402"/>
      <c r="AD45" s="2402"/>
      <c r="AE45" s="2402"/>
      <c r="AF45" s="2402"/>
      <c r="AG45" s="2402"/>
      <c r="AH45" s="2402"/>
      <c r="AI45" s="2402"/>
      <c r="AJ45" s="2402"/>
      <c r="AK45" s="2402"/>
      <c r="AL45" s="2402"/>
      <c r="AM45" s="2402"/>
      <c r="AN45" s="2402"/>
      <c r="AO45" s="2402"/>
      <c r="AP45" s="2402"/>
      <c r="AQ45" s="2402"/>
      <c r="AR45" s="2402"/>
      <c r="AS45" s="2402"/>
      <c r="AT45" s="2403"/>
      <c r="AU45" s="140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46"/>
      <c r="AX45" s="646" t="str">
        <f>IF(T45="","",T45)</f>
        <v>Наименование тарифа</v>
      </c>
      <c r="AY45" s="646"/>
      <c r="AZ45" s="646"/>
      <c r="BA45" s="1301">
        <v>102</v>
      </c>
    </row>
    <row customHeight="1" ht="22.049999999999997">
      <c r="A46" s="1509" t="s">
        <v>222</v>
      </c>
      <c r="B46" s="1509" t="s">
        <v>223</v>
      </c>
      <c r="C46" s="1509"/>
      <c r="D46" s="1509"/>
      <c r="E46" s="2418"/>
      <c r="F46" s="2417">
        <v>1</v>
      </c>
      <c r="G46" s="1509"/>
      <c r="H46" s="1509"/>
      <c r="I46" s="1509"/>
      <c r="J46" s="1509"/>
      <c r="K46" s="1509"/>
      <c r="L46" s="1510"/>
      <c r="M46" s="1511"/>
      <c r="N46" s="1511"/>
      <c r="O46" s="1511"/>
      <c r="P46" s="1556"/>
      <c r="Q46" s="1557"/>
      <c r="R46" s="499"/>
      <c r="S46" s="1482" t="str">
        <f>INDEX(PT_DIFFERENTIATION_NUM_TER,MATCH(B46,PT_DIFFERENTIATION_TER_ID,0))</f>
        <v>.</v>
      </c>
      <c r="T46" s="454" t="s">
        <v>419</v>
      </c>
      <c r="U46" s="446"/>
      <c r="V46" s="2402"/>
      <c r="W46" s="2402"/>
      <c r="X46" s="2402"/>
      <c r="Y46" s="2402"/>
      <c r="Z46" s="2402"/>
      <c r="AA46" s="2403"/>
      <c r="AB46" s="2401" t="str">
        <f>INDEX(PT_DIFFERENTIATION_TER,MATCH(B46,PT_DIFFERENTIATION_TER_ID,0))</f>
        <v/>
      </c>
      <c r="AC46" s="2402"/>
      <c r="AD46" s="2402"/>
      <c r="AE46" s="2402"/>
      <c r="AF46" s="2402"/>
      <c r="AG46" s="2402"/>
      <c r="AH46" s="2402"/>
      <c r="AI46" s="2402"/>
      <c r="AJ46" s="2402"/>
      <c r="AK46" s="2402"/>
      <c r="AL46" s="2402"/>
      <c r="AM46" s="2402"/>
      <c r="AN46" s="2402"/>
      <c r="AO46" s="2402"/>
      <c r="AP46" s="2402"/>
      <c r="AQ46" s="2402"/>
      <c r="AR46" s="2402"/>
      <c r="AS46" s="2402"/>
      <c r="AT46" s="2403"/>
      <c r="AU46" s="1404" t="s">
        <v>420</v>
      </c>
      <c r="AW46" s="646"/>
      <c r="AX46" s="646" t="str">
        <f>IF(T46="","",T46)</f>
        <v>Территория действия тарифа</v>
      </c>
      <c r="AY46" s="646"/>
      <c r="AZ46" s="646"/>
      <c r="BA46" s="1301">
        <v>21</v>
      </c>
    </row>
    <row customHeight="1" ht="24">
      <c r="A47" s="1509" t="s">
        <v>222</v>
      </c>
      <c r="B47" s="1509" t="s">
        <v>223</v>
      </c>
      <c r="C47" s="1509" t="s">
        <v>224</v>
      </c>
      <c r="D47" s="1509"/>
      <c r="E47" s="2418"/>
      <c r="F47" s="2418"/>
      <c r="G47" s="2417">
        <v>1</v>
      </c>
      <c r="H47" s="1509"/>
      <c r="I47" s="1509"/>
      <c r="J47" s="1509"/>
      <c r="K47" s="1509"/>
      <c r="L47" s="1510"/>
      <c r="M47" s="1511"/>
      <c r="N47" s="1511"/>
      <c r="O47" s="1511"/>
      <c r="P47" s="1558"/>
      <c r="Q47" s="1557"/>
      <c r="R47" s="499"/>
      <c r="S47" s="1482" t="str">
        <f>INDEX(PT_DIFFERENTIATION_NUM_CS,MATCH(C47,PT_DIFFERENTIATION_CS_ID,0))</f>
        <v>..</v>
      </c>
      <c r="T47" s="455" t="s">
        <v>421</v>
      </c>
      <c r="U47" s="446"/>
      <c r="V47" s="2402"/>
      <c r="W47" s="2402"/>
      <c r="X47" s="2402"/>
      <c r="Y47" s="2402"/>
      <c r="Z47" s="2402"/>
      <c r="AA47" s="2403"/>
      <c r="AB47" s="2401" t="str">
        <f>INDEX(PT_DIFFERENTIATION_CS,MATCH(C47,PT_DIFFERENTIATION_CS_ID,0))</f>
        <v/>
      </c>
      <c r="AC47" s="2402"/>
      <c r="AD47" s="2402"/>
      <c r="AE47" s="2402"/>
      <c r="AF47" s="2402"/>
      <c r="AG47" s="2402"/>
      <c r="AH47" s="2402"/>
      <c r="AI47" s="2402"/>
      <c r="AJ47" s="2402"/>
      <c r="AK47" s="2402"/>
      <c r="AL47" s="2402"/>
      <c r="AM47" s="2402"/>
      <c r="AN47" s="2402"/>
      <c r="AO47" s="2402"/>
      <c r="AP47" s="2402"/>
      <c r="AQ47" s="2402"/>
      <c r="AR47" s="2402"/>
      <c r="AS47" s="2402"/>
      <c r="AT47" s="2403"/>
      <c r="AU47" s="1404" t="s">
        <v>422</v>
      </c>
      <c r="AW47" s="646"/>
      <c r="AX47" s="646" t="str">
        <f>IF(T47="","",T47)</f>
        <v>Наименование системы теплоснабжения </v>
      </c>
      <c r="AY47" s="646"/>
      <c r="AZ47" s="646"/>
      <c r="BA47" s="1301">
        <v>23</v>
      </c>
    </row>
    <row customHeight="1" ht="21">
      <c r="A48" s="1509" t="s">
        <v>222</v>
      </c>
      <c r="B48" s="1509" t="s">
        <v>223</v>
      </c>
      <c r="C48" s="1509" t="s">
        <v>224</v>
      </c>
      <c r="D48" s="1509" t="s">
        <v>225</v>
      </c>
      <c r="E48" s="2418"/>
      <c r="F48" s="2418"/>
      <c r="G48" s="2418"/>
      <c r="H48" s="2417">
        <v>1</v>
      </c>
      <c r="I48" s="1509"/>
      <c r="J48" s="1509"/>
      <c r="K48" s="1509"/>
      <c r="L48" s="1510"/>
      <c r="M48" s="1511"/>
      <c r="N48" s="1511"/>
      <c r="O48" s="1511"/>
      <c r="P48" s="1558"/>
      <c r="Q48" s="1557"/>
      <c r="R48" s="499"/>
      <c r="S48" s="1482" t="str">
        <f>INDEX(PT_DIFFERENTIATION_NUM_IST_TE,MATCH(D48,PT_DIFFERENTIATION_IST_TE_ID,0))</f>
        <v>...</v>
      </c>
      <c r="T48" s="456" t="s">
        <v>423</v>
      </c>
      <c r="U48" s="446"/>
      <c r="V48" s="2402"/>
      <c r="W48" s="2402"/>
      <c r="X48" s="2402"/>
      <c r="Y48" s="2402"/>
      <c r="Z48" s="2402"/>
      <c r="AA48" s="2403"/>
      <c r="AB48" s="2401" t="str">
        <f>INDEX(PT_DIFFERENTIATION_IST_TE,MATCH(D48,PT_DIFFERENTIATION_IST_TE_ID,0))</f>
        <v/>
      </c>
      <c r="AC48" s="2402"/>
      <c r="AD48" s="2402"/>
      <c r="AE48" s="2402"/>
      <c r="AF48" s="2402"/>
      <c r="AG48" s="2402"/>
      <c r="AH48" s="2402"/>
      <c r="AI48" s="2402"/>
      <c r="AJ48" s="2402"/>
      <c r="AK48" s="2402"/>
      <c r="AL48" s="2402"/>
      <c r="AM48" s="2402"/>
      <c r="AN48" s="2402"/>
      <c r="AO48" s="2402"/>
      <c r="AP48" s="2402"/>
      <c r="AQ48" s="2402"/>
      <c r="AR48" s="2402"/>
      <c r="AS48" s="2402"/>
      <c r="AT48" s="2403"/>
      <c r="AU48" s="1404" t="s">
        <v>424</v>
      </c>
      <c r="AW48" s="646"/>
      <c r="AX48" s="646" t="str">
        <f>IF(T48="","",T48)</f>
        <v>Источник тепловой энергии  </v>
      </c>
      <c r="AY48" s="646"/>
      <c r="AZ48" s="646"/>
      <c r="BA48" s="1301">
        <v>20</v>
      </c>
    </row>
    <row s="6720" customFormat="1" customHeight="1" ht="1.05">
      <c r="A49" s="1489" t="s">
        <v>222</v>
      </c>
      <c r="B49" s="1489" t="s">
        <v>223</v>
      </c>
      <c r="C49" s="1489" t="s">
        <v>224</v>
      </c>
      <c r="D49" s="1489" t="s">
        <v>225</v>
      </c>
      <c r="E49" s="2418"/>
      <c r="F49" s="2418"/>
      <c r="G49" s="2418"/>
      <c r="H49" s="2418"/>
      <c r="I49" s="2415" t="str">
        <f>S48&amp;".1"</f>
        <v>....1</v>
      </c>
      <c r="J49" s="1489"/>
      <c r="K49" s="1489"/>
      <c r="L49" s="1492" t="s">
        <v>425</v>
      </c>
      <c r="M49" s="656"/>
      <c r="N49" s="656"/>
      <c r="O49" s="656"/>
      <c r="P49" s="2416">
        <v>1</v>
      </c>
      <c r="Q49" s="1477"/>
      <c r="R49" s="502"/>
      <c r="S49" s="1188"/>
      <c r="T49" s="1529"/>
      <c r="U49" s="1530"/>
      <c r="V49" s="2456"/>
      <c r="W49" s="2456"/>
      <c r="X49" s="2456"/>
      <c r="Y49" s="2456"/>
      <c r="Z49" s="2456"/>
      <c r="AA49" s="2457"/>
      <c r="AB49" s="2455"/>
      <c r="AC49" s="2456"/>
      <c r="AD49" s="2456"/>
      <c r="AE49" s="2456"/>
      <c r="AF49" s="2456"/>
      <c r="AG49" s="2456"/>
      <c r="AH49" s="2456"/>
      <c r="AI49" s="2456"/>
      <c r="AJ49" s="2456"/>
      <c r="AK49" s="2456"/>
      <c r="AL49" s="2456"/>
      <c r="AM49" s="2456"/>
      <c r="AN49" s="2456"/>
      <c r="AO49" s="2456"/>
      <c r="AP49" s="2456"/>
      <c r="AQ49" s="2456"/>
      <c r="AR49" s="2456"/>
      <c r="AS49" s="2456"/>
      <c r="AT49" s="2457"/>
      <c r="AU49" s="1531"/>
      <c r="AW49" s="646"/>
      <c r="AX49" s="646" t="str">
        <f>IF(T49="","",T49)</f>
        <v/>
      </c>
      <c r="AY49" s="646"/>
      <c r="AZ49" s="646"/>
      <c r="BA49" s="657">
        <v>1</v>
      </c>
    </row>
    <row s="6720" customFormat="1" customHeight="1" ht="1.05">
      <c r="A50" s="1489" t="s">
        <v>222</v>
      </c>
      <c r="B50" s="1489" t="s">
        <v>223</v>
      </c>
      <c r="C50" s="1489" t="s">
        <v>224</v>
      </c>
      <c r="D50" s="1489" t="s">
        <v>225</v>
      </c>
      <c r="E50" s="2418"/>
      <c r="F50" s="2418"/>
      <c r="G50" s="2418"/>
      <c r="H50" s="2418"/>
      <c r="I50" s="2445"/>
      <c r="J50" s="2415" t="str">
        <f>S48&amp;".1"</f>
        <v>....1</v>
      </c>
      <c r="K50" s="1489"/>
      <c r="L50" s="1492"/>
      <c r="M50" s="656"/>
      <c r="N50" s="656"/>
      <c r="O50" s="656"/>
      <c r="P50" s="2416"/>
      <c r="Q50" s="2416">
        <v>1</v>
      </c>
      <c r="R50" s="503"/>
      <c r="S50" s="1188"/>
      <c r="T50" s="1545"/>
      <c r="U50" s="1530"/>
      <c r="V50" s="2456"/>
      <c r="W50" s="2456"/>
      <c r="X50" s="2456"/>
      <c r="Y50" s="2456"/>
      <c r="Z50" s="2456"/>
      <c r="AA50" s="2457"/>
      <c r="AB50" s="2455"/>
      <c r="AC50" s="2456"/>
      <c r="AD50" s="2456"/>
      <c r="AE50" s="2456"/>
      <c r="AF50" s="2456"/>
      <c r="AG50" s="2456"/>
      <c r="AH50" s="2456"/>
      <c r="AI50" s="2456"/>
      <c r="AJ50" s="2456"/>
      <c r="AK50" s="2456"/>
      <c r="AL50" s="2456"/>
      <c r="AM50" s="2456"/>
      <c r="AN50" s="2456"/>
      <c r="AO50" s="2456"/>
      <c r="AP50" s="2456"/>
      <c r="AQ50" s="2456"/>
      <c r="AR50" s="2456"/>
      <c r="AS50" s="2456"/>
      <c r="AT50" s="2457"/>
      <c r="AU50" s="1531"/>
      <c r="AW50" s="646"/>
      <c r="AX50" s="646" t="str">
        <f>IF(T50="","",T50)</f>
        <v/>
      </c>
      <c r="AY50" s="646"/>
      <c r="AZ50" s="646"/>
      <c r="BA50" s="657">
        <v>1</v>
      </c>
    </row>
    <row customHeight="1" ht="22.049999999999997">
      <c r="A51" s="1509" t="s">
        <v>222</v>
      </c>
      <c r="B51" s="1509" t="s">
        <v>223</v>
      </c>
      <c r="C51" s="1509" t="s">
        <v>224</v>
      </c>
      <c r="D51" s="1509" t="s">
        <v>225</v>
      </c>
      <c r="E51" s="2418"/>
      <c r="F51" s="2418"/>
      <c r="G51" s="2418"/>
      <c r="H51" s="2418"/>
      <c r="I51" s="2445"/>
      <c r="J51" s="2445"/>
      <c r="K51" s="2415" t="str">
        <f>S48&amp;".1"</f>
        <v>....1</v>
      </c>
      <c r="L51" s="1510"/>
      <c r="P51" s="2416"/>
      <c r="Q51" s="2416"/>
      <c r="R51" s="503">
        <v>1</v>
      </c>
      <c r="S51" s="2500" t="str">
        <f>$K51</f>
        <v>....1</v>
      </c>
      <c r="T51" s="2503"/>
      <c r="U51" s="446"/>
      <c r="V51" s="897"/>
      <c r="W51" s="1403"/>
      <c r="X51" s="1879"/>
      <c r="Y51" s="1605" t="s">
        <v>63</v>
      </c>
      <c r="Z51" s="1879"/>
      <c r="AA51" s="1605" t="s">
        <v>63</v>
      </c>
      <c r="AB51" s="2266" t="s">
        <v>19</v>
      </c>
      <c r="AC51" s="2485"/>
      <c r="AD51" s="2364">
        <v>1</v>
      </c>
      <c r="AE51" s="2507" t="s">
        <v>22</v>
      </c>
      <c r="AF51" s="2266" t="s">
        <v>19</v>
      </c>
      <c r="AG51" s="2485"/>
      <c r="AH51" s="2364">
        <v>1</v>
      </c>
      <c r="AI51" s="2507" t="s">
        <v>22</v>
      </c>
      <c r="AJ51" s="2266" t="s">
        <v>19</v>
      </c>
      <c r="AK51" s="457"/>
      <c r="AL51" s="1483">
        <v>1</v>
      </c>
      <c r="AM51" s="1548"/>
      <c r="AN51" s="897"/>
      <c r="AO51" s="1403"/>
      <c r="AP51" s="1879"/>
      <c r="AQ51" s="1605" t="s">
        <v>63</v>
      </c>
      <c r="AR51" s="1879"/>
      <c r="AS51" s="1605" t="s">
        <v>63</v>
      </c>
      <c r="AT51" s="1494"/>
      <c r="AU51" s="2412" t="s">
        <v>502</v>
      </c>
      <c r="AV51" s="657">
        <f>STRCHECKDATE(V54:AT54)</f>
      </c>
      <c r="AW51" s="646"/>
      <c r="AX51" s="646" t="str">
        <f>IF(T51="","",T51)</f>
        <v/>
      </c>
      <c r="AY51" s="646"/>
      <c r="AZ51" s="646"/>
      <c r="BA51" s="1301">
        <v>21</v>
      </c>
    </row>
    <row customHeight="1" ht="11.549999999999999">
      <c r="A52" s="1509" t="s">
        <v>222</v>
      </c>
      <c r="B52" s="1509"/>
      <c r="C52" s="1509"/>
      <c r="D52" s="1509"/>
      <c r="E52" s="2418"/>
      <c r="F52" s="2418"/>
      <c r="G52" s="2418"/>
      <c r="H52" s="2418"/>
      <c r="I52" s="2445"/>
      <c r="J52" s="2445"/>
      <c r="K52" s="2415"/>
      <c r="L52" s="1510"/>
      <c r="P52" s="2416"/>
      <c r="Q52" s="2416"/>
      <c r="R52" s="503"/>
      <c r="S52" s="2501"/>
      <c r="T52" s="2504"/>
      <c r="U52" s="446"/>
      <c r="V52" s="1539"/>
      <c r="W52" s="1642"/>
      <c r="X52" s="1539"/>
      <c r="Y52" s="1539"/>
      <c r="Z52" s="1539"/>
      <c r="AA52" s="1539"/>
      <c r="AB52" s="2266"/>
      <c r="AC52" s="2485"/>
      <c r="AD52" s="2364"/>
      <c r="AE52" s="2507"/>
      <c r="AF52" s="2266"/>
      <c r="AG52" s="2485"/>
      <c r="AH52" s="2364"/>
      <c r="AI52" s="2507"/>
      <c r="AJ52" s="2266"/>
      <c r="AK52" s="462"/>
      <c r="AL52" s="562"/>
      <c r="AM52" s="561" t="s">
        <v>487</v>
      </c>
      <c r="AN52" s="1539"/>
      <c r="AO52" s="1642"/>
      <c r="AP52" s="1539"/>
      <c r="AQ52" s="1539"/>
      <c r="AR52" s="1539"/>
      <c r="AS52" s="1539"/>
      <c r="AT52" s="1536"/>
      <c r="AU52" s="2413"/>
      <c r="AW52" s="646"/>
      <c r="AX52" s="646"/>
      <c r="AY52" s="646"/>
      <c r="AZ52" s="646"/>
      <c r="BA52" s="1301">
        <v>11</v>
      </c>
    </row>
    <row customHeight="1" ht="11.549999999999999">
      <c r="A53" s="1509" t="s">
        <v>222</v>
      </c>
      <c r="B53" s="1509"/>
      <c r="C53" s="1509"/>
      <c r="D53" s="1509"/>
      <c r="E53" s="2418"/>
      <c r="F53" s="2418"/>
      <c r="G53" s="2418"/>
      <c r="H53" s="2418"/>
      <c r="I53" s="2445"/>
      <c r="J53" s="2445"/>
      <c r="K53" s="2415"/>
      <c r="L53" s="1510"/>
      <c r="P53" s="2416"/>
      <c r="Q53" s="2416"/>
      <c r="R53" s="503"/>
      <c r="S53" s="2501"/>
      <c r="T53" s="2504"/>
      <c r="U53" s="446"/>
      <c r="V53" s="1539"/>
      <c r="W53" s="1642"/>
      <c r="X53" s="1539"/>
      <c r="Y53" s="1539"/>
      <c r="Z53" s="1539"/>
      <c r="AA53" s="1539"/>
      <c r="AB53" s="2266"/>
      <c r="AC53" s="2485"/>
      <c r="AD53" s="2364"/>
      <c r="AE53" s="2507"/>
      <c r="AF53" s="2266"/>
      <c r="AG53" s="440"/>
      <c r="AH53" s="561"/>
      <c r="AI53" s="561" t="s">
        <v>488</v>
      </c>
      <c r="AJ53" s="1539"/>
      <c r="AK53" s="1539"/>
      <c r="AL53" s="1539"/>
      <c r="AM53" s="1539"/>
      <c r="AN53" s="1539"/>
      <c r="AO53" s="1642"/>
      <c r="AP53" s="1539"/>
      <c r="AQ53" s="1539"/>
      <c r="AR53" s="1539"/>
      <c r="AS53" s="1539"/>
      <c r="AT53" s="1536"/>
      <c r="AU53" s="2413"/>
      <c r="AW53" s="646"/>
      <c r="AX53" s="646"/>
      <c r="AY53" s="646"/>
      <c r="AZ53" s="646"/>
      <c r="BA53" s="1301">
        <v>11</v>
      </c>
    </row>
    <row customHeight="1" ht="11.549999999999999">
      <c r="A54" s="1509" t="s">
        <v>222</v>
      </c>
      <c r="B54" s="1509" t="s">
        <v>223</v>
      </c>
      <c r="C54" s="1509" t="s">
        <v>224</v>
      </c>
      <c r="D54" s="1509" t="s">
        <v>225</v>
      </c>
      <c r="E54" s="2418"/>
      <c r="F54" s="2418"/>
      <c r="G54" s="2418"/>
      <c r="H54" s="2418"/>
      <c r="I54" s="2445"/>
      <c r="J54" s="2445"/>
      <c r="K54" s="2415"/>
      <c r="L54" s="1510"/>
      <c r="P54" s="2416"/>
      <c r="Q54" s="2416"/>
      <c r="R54" s="503"/>
      <c r="S54" s="2502"/>
      <c r="T54" s="2505"/>
      <c r="U54" s="446"/>
      <c r="V54" s="1539"/>
      <c r="W54" s="1540" t="str">
        <f>X51&amp;"-"&amp;Z51</f>
        <v>-</v>
      </c>
      <c r="X54" s="1539"/>
      <c r="Y54" s="1539"/>
      <c r="Z54" s="1539"/>
      <c r="AA54" s="1539"/>
      <c r="AB54" s="2266"/>
      <c r="AC54" s="458"/>
      <c r="AD54" s="460"/>
      <c r="AE54" s="561" t="s">
        <v>489</v>
      </c>
      <c r="AF54" s="1539"/>
      <c r="AG54" s="1539"/>
      <c r="AH54" s="1539"/>
      <c r="AI54" s="1539"/>
      <c r="AJ54" s="1539"/>
      <c r="AK54" s="1539"/>
      <c r="AL54" s="1539"/>
      <c r="AM54" s="1539"/>
      <c r="AN54" s="1539"/>
      <c r="AO54" s="1540" t="str">
        <f>AP51&amp;"-"&amp;AR51</f>
        <v>-</v>
      </c>
      <c r="AP54" s="1539"/>
      <c r="AQ54" s="1539"/>
      <c r="AR54" s="1539"/>
      <c r="AS54" s="1539"/>
      <c r="AT54" s="1495"/>
      <c r="AU54" s="2413"/>
      <c r="AW54" s="646"/>
      <c r="AX54" s="646" t="str">
        <f>IF(T54="","",T54)</f>
        <v/>
      </c>
      <c r="AY54" s="646"/>
      <c r="AZ54" s="646"/>
      <c r="BA54" s="1301">
        <v>11</v>
      </c>
    </row>
    <row customHeight="1" ht="11.549999999999999">
      <c r="A55" s="1509" t="s">
        <v>222</v>
      </c>
      <c r="B55" s="1509" t="s">
        <v>223</v>
      </c>
      <c r="C55" s="1509" t="s">
        <v>224</v>
      </c>
      <c r="D55" s="1509" t="s">
        <v>225</v>
      </c>
      <c r="E55" s="2418"/>
      <c r="F55" s="2418"/>
      <c r="G55" s="2418"/>
      <c r="H55" s="2418"/>
      <c r="I55" s="2445"/>
      <c r="J55" s="2415"/>
      <c r="K55" s="1509"/>
      <c r="L55" s="1510"/>
      <c r="P55" s="2416"/>
      <c r="Q55" s="2416"/>
      <c r="R55" s="502"/>
      <c r="S55" s="1424"/>
      <c r="T55" s="433" t="s">
        <v>490</v>
      </c>
      <c r="U55" s="513"/>
      <c r="V55" s="513"/>
      <c r="W55" s="513"/>
      <c r="X55" s="513"/>
      <c r="Y55" s="513"/>
      <c r="Z55" s="513"/>
      <c r="AA55" s="470"/>
      <c r="AB55" s="1651"/>
      <c r="AC55" s="513"/>
      <c r="AD55" s="513"/>
      <c r="AE55" s="513"/>
      <c r="AF55" s="513"/>
      <c r="AG55" s="513"/>
      <c r="AH55" s="513"/>
      <c r="AI55" s="513"/>
      <c r="AJ55" s="513"/>
      <c r="AK55" s="513"/>
      <c r="AL55" s="513"/>
      <c r="AM55" s="513"/>
      <c r="AN55" s="513"/>
      <c r="AO55" s="513"/>
      <c r="AP55" s="513"/>
      <c r="AQ55" s="513"/>
      <c r="AR55" s="513"/>
      <c r="AS55" s="513"/>
      <c r="AT55" s="470"/>
      <c r="AU55" s="2414"/>
      <c r="AW55" s="646"/>
      <c r="AX55" s="646" t="str">
        <f>IF(T55="","",T55)</f>
        <v>Добавить строку</v>
      </c>
      <c r="AY55" s="646"/>
      <c r="AZ55" s="646"/>
      <c r="BA55" s="1301">
        <v>11</v>
      </c>
    </row>
    <row s="6720" customFormat="1" customHeight="1" ht="1.05">
      <c r="A56" s="1489" t="s">
        <v>222</v>
      </c>
      <c r="B56" s="1489" t="s">
        <v>223</v>
      </c>
      <c r="C56" s="1489" t="s">
        <v>224</v>
      </c>
      <c r="D56" s="1489" t="s">
        <v>225</v>
      </c>
      <c r="E56" s="2418"/>
      <c r="F56" s="2418"/>
      <c r="G56" s="2418"/>
      <c r="H56" s="2418"/>
      <c r="I56" s="2415"/>
      <c r="J56" s="1489"/>
      <c r="K56" s="1489"/>
      <c r="L56" s="1492"/>
      <c r="M56" s="656"/>
      <c r="N56" s="656"/>
      <c r="O56" s="656"/>
      <c r="P56" s="2416"/>
      <c r="Q56" s="1477"/>
      <c r="R56" s="502"/>
      <c r="S56" s="1532"/>
      <c r="T56" s="1533" t="s">
        <v>434</v>
      </c>
      <c r="U56" s="1534"/>
      <c r="V56" s="1534"/>
      <c r="W56" s="1534"/>
      <c r="X56" s="1534"/>
      <c r="Y56" s="1534"/>
      <c r="Z56" s="1534"/>
      <c r="AA56" s="1534"/>
      <c r="AB56" s="1534"/>
      <c r="AC56" s="1534"/>
      <c r="AD56" s="1534"/>
      <c r="AE56" s="1534"/>
      <c r="AF56" s="1534"/>
      <c r="AG56" s="1534"/>
      <c r="AH56" s="1534"/>
      <c r="AI56" s="1534"/>
      <c r="AJ56" s="1534"/>
      <c r="AK56" s="1534"/>
      <c r="AL56" s="1534"/>
      <c r="AM56" s="1534"/>
      <c r="AN56" s="1534"/>
      <c r="AO56" s="1534"/>
      <c r="AP56" s="1534"/>
      <c r="AQ56" s="1534"/>
      <c r="AR56" s="1534"/>
      <c r="AS56" s="1534"/>
      <c r="AT56" s="1534"/>
      <c r="AU56" s="1535"/>
      <c r="AW56" s="646"/>
      <c r="AX56" s="646" t="str">
        <f>IF(T56="","",T56)</f>
        <v>Добавить группу потребителей</v>
      </c>
      <c r="AY56" s="646"/>
      <c r="AZ56" s="646"/>
      <c r="BA56" s="657">
        <v>1</v>
      </c>
    </row>
    <row s="6314" customFormat="1" customHeight="1" ht="1.05">
      <c r="A57" s="1489" t="s">
        <v>222</v>
      </c>
      <c r="B57" s="1489" t="s">
        <v>223</v>
      </c>
      <c r="C57" s="1489" t="s">
        <v>224</v>
      </c>
      <c r="D57" s="1489" t="s">
        <v>225</v>
      </c>
      <c r="E57" s="2418"/>
      <c r="F57" s="2418"/>
      <c r="G57" s="2418"/>
      <c r="H57" s="2417"/>
      <c r="I57" s="1489"/>
      <c r="J57" s="1489"/>
      <c r="K57" s="1489"/>
      <c r="L57" s="1492"/>
      <c r="M57" s="1461"/>
      <c r="N57" s="1461"/>
      <c r="O57" s="664"/>
      <c r="P57" s="526"/>
      <c r="Q57" s="1490"/>
      <c r="R57" s="1546"/>
      <c r="S57" s="1532"/>
      <c r="T57" s="1533"/>
      <c r="U57" s="1534"/>
      <c r="V57" s="1534"/>
      <c r="W57" s="1534"/>
      <c r="X57" s="1534"/>
      <c r="Y57" s="1534"/>
      <c r="Z57" s="1534"/>
      <c r="AA57" s="1534"/>
      <c r="AB57" s="1534"/>
      <c r="AC57" s="1534"/>
      <c r="AD57" s="1534"/>
      <c r="AE57" s="1534"/>
      <c r="AF57" s="1534"/>
      <c r="AG57" s="1534"/>
      <c r="AH57" s="1534"/>
      <c r="AI57" s="1534"/>
      <c r="AJ57" s="1534"/>
      <c r="AK57" s="1534"/>
      <c r="AL57" s="1534"/>
      <c r="AM57" s="1534"/>
      <c r="AN57" s="1534"/>
      <c r="AO57" s="1534"/>
      <c r="AP57" s="1534"/>
      <c r="AQ57" s="1534"/>
      <c r="AR57" s="1534"/>
      <c r="AS57" s="1534"/>
      <c r="AT57" s="1534"/>
      <c r="AU57" s="1535"/>
      <c r="AV57" s="657"/>
      <c r="AW57" s="646"/>
      <c r="AX57" s="646" t="str">
        <f>IF(T57="","",T57)</f>
        <v/>
      </c>
      <c r="AY57" s="646"/>
      <c r="AZ57" s="646"/>
      <c r="BA57" s="642">
        <v>1</v>
      </c>
    </row>
    <row s="6720" customFormat="1" customHeight="1" ht="1.05">
      <c r="A58" s="1489" t="s">
        <v>222</v>
      </c>
      <c r="B58" s="1489" t="s">
        <v>223</v>
      </c>
      <c r="C58" s="1489" t="s">
        <v>224</v>
      </c>
      <c r="D58" s="1460"/>
      <c r="E58" s="2418"/>
      <c r="F58" s="2418"/>
      <c r="G58" s="2417"/>
      <c r="H58" s="1460"/>
      <c r="I58" s="1460"/>
      <c r="J58" s="1460"/>
      <c r="K58" s="1460"/>
      <c r="L58" s="1485"/>
      <c r="M58" s="1461"/>
      <c r="N58" s="1461"/>
      <c r="P58" s="1462"/>
      <c r="Q58" s="1463"/>
      <c r="R58" s="1462"/>
      <c r="S58" s="1468"/>
      <c r="T58" s="1471" t="s">
        <v>436</v>
      </c>
      <c r="U58" s="1470"/>
      <c r="V58" s="1470"/>
      <c r="W58" s="1470"/>
      <c r="X58" s="1470"/>
      <c r="Y58" s="1470"/>
      <c r="Z58" s="1470"/>
      <c r="AA58" s="1470"/>
      <c r="AB58" s="1470"/>
      <c r="AC58" s="1470"/>
      <c r="AD58" s="1470"/>
      <c r="AE58" s="1470"/>
      <c r="AF58" s="1470"/>
      <c r="AG58" s="1470"/>
      <c r="AH58" s="1470"/>
      <c r="AI58" s="1470"/>
      <c r="AJ58" s="1470"/>
      <c r="AK58" s="1470"/>
      <c r="AL58" s="1470"/>
      <c r="AM58" s="1470"/>
      <c r="AN58" s="1470"/>
      <c r="AO58" s="1470"/>
      <c r="AP58" s="1470"/>
      <c r="AQ58" s="1470"/>
      <c r="AR58" s="1470"/>
      <c r="AS58" s="1470"/>
      <c r="AT58" s="1470"/>
      <c r="AU58" s="1470"/>
      <c r="AW58" s="935"/>
      <c r="AX58" s="935" t="str">
        <f>IF(T58="","",T58)</f>
        <v>Добавить источник для дифференциации</v>
      </c>
      <c r="AY58" s="935"/>
      <c r="AZ58" s="935"/>
      <c r="BA58" s="664">
        <v>1</v>
      </c>
    </row>
    <row s="6720" customFormat="1" customHeight="1" ht="1.05">
      <c r="A59" s="1489" t="s">
        <v>222</v>
      </c>
      <c r="B59" s="1489" t="s">
        <v>223</v>
      </c>
      <c r="C59" s="1460"/>
      <c r="D59" s="1460"/>
      <c r="E59" s="2418"/>
      <c r="F59" s="2417"/>
      <c r="G59" s="1460"/>
      <c r="H59" s="1460"/>
      <c r="I59" s="1460"/>
      <c r="J59" s="1460"/>
      <c r="K59" s="1460"/>
      <c r="L59" s="1485"/>
      <c r="M59" s="1467"/>
      <c r="N59" s="1467"/>
      <c r="P59" s="1462"/>
      <c r="Q59" s="1463"/>
      <c r="R59" s="1462"/>
      <c r="S59" s="1468"/>
      <c r="T59" s="1471" t="s">
        <v>437</v>
      </c>
      <c r="U59" s="1470"/>
      <c r="V59" s="1470"/>
      <c r="W59" s="1470"/>
      <c r="X59" s="1470"/>
      <c r="Y59" s="1470"/>
      <c r="Z59" s="1470"/>
      <c r="AA59" s="1470"/>
      <c r="AB59" s="1470"/>
      <c r="AC59" s="1470"/>
      <c r="AD59" s="1470"/>
      <c r="AE59" s="1470"/>
      <c r="AF59" s="1470"/>
      <c r="AG59" s="1470"/>
      <c r="AH59" s="1470"/>
      <c r="AI59" s="1470"/>
      <c r="AJ59" s="1470"/>
      <c r="AK59" s="1470"/>
      <c r="AL59" s="1470"/>
      <c r="AM59" s="1470"/>
      <c r="AN59" s="1470"/>
      <c r="AO59" s="1470"/>
      <c r="AP59" s="1470"/>
      <c r="AQ59" s="1470"/>
      <c r="AR59" s="1470"/>
      <c r="AS59" s="1470"/>
      <c r="AT59" s="1470"/>
      <c r="AU59" s="1470"/>
      <c r="AW59" s="935"/>
      <c r="AX59" s="935" t="str">
        <f>IF(T59="","",T59)</f>
        <v>Добавить централизованную систему для дифференциации</v>
      </c>
      <c r="AY59" s="935"/>
      <c r="AZ59" s="935"/>
      <c r="BA59" s="664">
        <v>1</v>
      </c>
    </row>
    <row s="6720" customFormat="1" customHeight="1" ht="1.05">
      <c r="A60" s="1489" t="s">
        <v>222</v>
      </c>
      <c r="B60" s="1489"/>
      <c r="C60" s="1489"/>
      <c r="D60" s="1489"/>
      <c r="E60" s="2418"/>
      <c r="F60" s="1489"/>
      <c r="G60" s="1489"/>
      <c r="H60" s="1489"/>
      <c r="I60" s="1489"/>
      <c r="J60" s="1489"/>
      <c r="K60" s="1489"/>
      <c r="L60" s="1492"/>
      <c r="M60" s="1467"/>
      <c r="N60" s="1467"/>
      <c r="O60" s="664"/>
      <c r="P60" s="526"/>
      <c r="Q60" s="1490"/>
      <c r="R60" s="526"/>
      <c r="S60" s="1468"/>
      <c r="T60" s="1471" t="s">
        <v>438</v>
      </c>
      <c r="U60" s="1470"/>
      <c r="V60" s="1470"/>
      <c r="W60" s="1470"/>
      <c r="X60" s="1470"/>
      <c r="Y60" s="1470"/>
      <c r="Z60" s="1470"/>
      <c r="AA60" s="1470"/>
      <c r="AB60" s="1470"/>
      <c r="AC60" s="1470"/>
      <c r="AD60" s="1470"/>
      <c r="AE60" s="1470"/>
      <c r="AF60" s="1470"/>
      <c r="AG60" s="1470"/>
      <c r="AH60" s="1470"/>
      <c r="AI60" s="1470"/>
      <c r="AJ60" s="1470"/>
      <c r="AK60" s="1470"/>
      <c r="AL60" s="1470"/>
      <c r="AM60" s="1470"/>
      <c r="AN60" s="1470"/>
      <c r="AO60" s="1470"/>
      <c r="AP60" s="1470"/>
      <c r="AQ60" s="1470"/>
      <c r="AR60" s="1470"/>
      <c r="AS60" s="1470"/>
      <c r="AT60" s="1470"/>
      <c r="AU60" s="1470"/>
      <c r="AW60" s="646"/>
      <c r="AX60" s="646" t="str">
        <f>IF(T60="","",T60)</f>
        <v>Добавить территорию для дифференциации</v>
      </c>
      <c r="AY60" s="646"/>
      <c r="AZ60" s="646"/>
      <c r="BA60" s="657">
        <v>1</v>
      </c>
    </row>
    <row s="6720" customFormat="1" customHeight="1" ht="1.05">
      <c r="A61" s="1489" t="s">
        <v>222</v>
      </c>
      <c r="B61" s="1489"/>
      <c r="C61" s="1489"/>
      <c r="D61" s="1489"/>
      <c r="E61" s="2417"/>
      <c r="F61" s="1489"/>
      <c r="G61" s="1489"/>
      <c r="H61" s="1489"/>
      <c r="I61" s="1489"/>
      <c r="J61" s="1489"/>
      <c r="K61" s="1489"/>
      <c r="L61" s="1492"/>
      <c r="M61" s="1467"/>
      <c r="N61" s="1467"/>
      <c r="O61" s="664"/>
      <c r="P61" s="526"/>
      <c r="Q61" s="1490"/>
      <c r="R61" s="526"/>
      <c r="S61" s="1468"/>
      <c r="T61" s="1471" t="s">
        <v>438</v>
      </c>
      <c r="U61" s="1470"/>
      <c r="V61" s="1470"/>
      <c r="W61" s="1470"/>
      <c r="X61" s="1470"/>
      <c r="Y61" s="1470"/>
      <c r="Z61" s="1470"/>
      <c r="AA61" s="1470"/>
      <c r="AB61" s="1470"/>
      <c r="AC61" s="1470"/>
      <c r="AD61" s="1470"/>
      <c r="AE61" s="1470"/>
      <c r="AF61" s="1470"/>
      <c r="AG61" s="1470"/>
      <c r="AH61" s="1470"/>
      <c r="AI61" s="1470"/>
      <c r="AJ61" s="1470"/>
      <c r="AK61" s="1470"/>
      <c r="AL61" s="1470"/>
      <c r="AM61" s="1470"/>
      <c r="AN61" s="1470"/>
      <c r="AO61" s="1470"/>
      <c r="AP61" s="1470"/>
      <c r="AQ61" s="1470"/>
      <c r="AR61" s="1470"/>
      <c r="AS61" s="1470"/>
      <c r="AT61" s="1470"/>
      <c r="AU61" s="1470"/>
      <c r="AW61" s="646"/>
      <c r="AX61" s="646" t="str">
        <f>IF(T61="","",T61)</f>
        <v>Добавить территорию для дифференциации</v>
      </c>
      <c r="AY61" s="646"/>
      <c r="AZ61" s="646"/>
      <c r="BA61" s="657">
        <v>1</v>
      </c>
    </row>
    <row s="6720" customFormat="1" customHeight="1" ht="1.05">
      <c r="A62" s="1460"/>
      <c r="B62" s="1460"/>
      <c r="C62" s="1460"/>
      <c r="D62" s="1460"/>
      <c r="E62" s="1489"/>
      <c r="F62" s="1460"/>
      <c r="G62" s="1460"/>
      <c r="H62" s="1460"/>
      <c r="I62" s="1460"/>
      <c r="J62" s="1460"/>
      <c r="K62" s="1460"/>
      <c r="L62" s="1485"/>
      <c r="M62" s="1467"/>
      <c r="N62" s="1467"/>
      <c r="P62" s="1462"/>
      <c r="Q62" s="1463"/>
      <c r="R62" s="1462"/>
      <c r="S62" s="1468"/>
      <c r="T62" s="1471" t="s">
        <v>470</v>
      </c>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W62" s="935"/>
      <c r="AX62" s="935" t="str">
        <f>IF(T62="","",T62)</f>
        <v>Добавить наименование тарифа</v>
      </c>
      <c r="AY62" s="935"/>
      <c r="AZ62" s="935"/>
      <c r="BA62" s="664">
        <v>1</v>
      </c>
    </row>
    <row customHeight="1" ht="11.549999999999999">
      <c r="M63" s="1306"/>
      <c r="N63" s="1306"/>
      <c r="O63" s="683"/>
      <c r="P63" s="1306"/>
      <c r="Q63" s="1306"/>
      <c r="R63" s="1301"/>
      <c r="S63" s="1301"/>
      <c r="AV63" s="1301"/>
      <c r="AW63" s="1301"/>
      <c r="AX63" s="1301"/>
      <c r="AY63" s="1301"/>
      <c r="AZ63" s="1301"/>
      <c r="BA63" s="1301">
        <v>11</v>
      </c>
    </row>
    <row customHeight="1" ht="19.95">
      <c r="O64" s="683"/>
      <c r="S64" s="1399"/>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BA64" s="1301">
        <v>19</v>
      </c>
    </row>
    <row customHeight="1" ht="21">
      <c r="O65" s="683"/>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c r="AS65" s="2444"/>
      <c r="AT65" s="2444"/>
      <c r="AU65" s="2444"/>
      <c r="BA65" s="1301">
        <v>20</v>
      </c>
    </row>
    <row customHeight="1" ht="14.699999999999998">
      <c r="O66" s="683"/>
      <c r="T66" s="1479"/>
      <c r="U66" s="1479"/>
      <c r="V66" s="1479"/>
      <c r="W66" s="1479"/>
      <c r="X66" s="1479"/>
      <c r="Y66" s="1479"/>
      <c r="Z66" s="1479"/>
      <c r="AA66" s="1479"/>
      <c r="AB66" s="1479"/>
      <c r="AC66" s="1479"/>
      <c r="AD66" s="1479"/>
      <c r="AE66" s="1479"/>
      <c r="AF66" s="1479"/>
      <c r="AG66" s="1479"/>
      <c r="AH66" s="1479"/>
      <c r="AI66" s="1479"/>
      <c r="AJ66" s="1479"/>
      <c r="AK66" s="1479"/>
      <c r="AL66" s="1479"/>
      <c r="AM66" s="1479"/>
      <c r="AN66" s="1479"/>
      <c r="AO66" s="1479"/>
      <c r="AP66" s="1479"/>
      <c r="AQ66" s="1479"/>
      <c r="AR66" s="1479"/>
      <c r="AS66" s="1479"/>
      <c r="AT66" s="1479"/>
      <c r="AU66" s="1479"/>
      <c r="BA66" s="1301">
        <v>14</v>
      </c>
    </row>
    <row customHeight="1" ht="19.95">
      <c r="O67" s="683"/>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c r="AS67" s="2444"/>
      <c r="AT67" s="2444"/>
      <c r="AU67" s="2444"/>
      <c r="BA67" s="1301">
        <v>19</v>
      </c>
    </row>
    <row customHeight="1" ht="16.8">
      <c r="O68" s="683"/>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c r="AS68" s="2444"/>
      <c r="AT68" s="2444"/>
      <c r="AU68" s="2444"/>
      <c r="BA68" s="1301">
        <v>16</v>
      </c>
    </row>
    <row customHeight="1" ht="14.699999999999998">
      <c r="O69" s="683"/>
      <c r="BA69" s="1301">
        <v>14</v>
      </c>
    </row>
    <row customHeight="1" ht="22.5" hidden="1">
      <c r="A70" s="1306" t="s">
        <v>83</v>
      </c>
      <c r="B70" s="1306">
        <v>0</v>
      </c>
      <c r="C70" s="1306">
        <v>0</v>
      </c>
      <c r="D70" s="1306">
        <v>0</v>
      </c>
      <c r="E70" s="1306">
        <v>0</v>
      </c>
      <c r="F70" s="1306">
        <v>0</v>
      </c>
      <c r="G70" s="1306">
        <v>0</v>
      </c>
      <c r="H70" s="1306">
        <v>0</v>
      </c>
      <c r="I70" s="1306">
        <v>0</v>
      </c>
      <c r="J70" s="1306">
        <v>0</v>
      </c>
      <c r="K70" s="1306">
        <v>0</v>
      </c>
      <c r="L70" s="1475">
        <v>0</v>
      </c>
      <c r="M70" s="1508">
        <v>0</v>
      </c>
      <c r="N70" s="1508">
        <v>0</v>
      </c>
      <c r="O70" s="1508">
        <v>0</v>
      </c>
      <c r="P70" s="1508">
        <v>3</v>
      </c>
      <c r="Q70" s="1517">
        <v>3</v>
      </c>
      <c r="R70" s="490">
        <v>3</v>
      </c>
      <c r="S70" s="727">
        <v>12</v>
      </c>
      <c r="T70" s="1301">
        <v>31</v>
      </c>
      <c r="U70" s="1301">
        <v>0</v>
      </c>
      <c r="V70" s="1301">
        <v>0</v>
      </c>
      <c r="W70" s="1301">
        <v>0</v>
      </c>
      <c r="X70" s="1301">
        <v>0</v>
      </c>
      <c r="Y70" s="1301">
        <v>0</v>
      </c>
      <c r="Z70" s="1301">
        <v>0</v>
      </c>
      <c r="AA70" s="1301">
        <v>0</v>
      </c>
      <c r="AB70" s="1301">
        <v>5</v>
      </c>
      <c r="AC70" s="1301">
        <v>3</v>
      </c>
      <c r="AD70" s="1301">
        <v>3</v>
      </c>
      <c r="AE70" s="1301">
        <v>24</v>
      </c>
      <c r="AF70" s="1301">
        <v>3</v>
      </c>
      <c r="AG70" s="1301">
        <v>3</v>
      </c>
      <c r="AH70" s="1301">
        <v>3</v>
      </c>
      <c r="AI70" s="1301">
        <v>24</v>
      </c>
      <c r="AJ70" s="1301">
        <v>3</v>
      </c>
      <c r="AK70" s="1301">
        <v>3</v>
      </c>
      <c r="AL70" s="1301">
        <v>3</v>
      </c>
      <c r="AM70" s="1301">
        <v>18</v>
      </c>
      <c r="AN70" s="1301">
        <v>21</v>
      </c>
      <c r="AO70" s="1301">
        <v>21</v>
      </c>
      <c r="AP70" s="1301">
        <v>11</v>
      </c>
      <c r="AQ70" s="1301">
        <v>3</v>
      </c>
      <c r="AR70" s="1301">
        <v>11</v>
      </c>
      <c r="AS70" s="1301">
        <v>8</v>
      </c>
      <c r="AT70" s="1301">
        <v>4</v>
      </c>
      <c r="AU70" s="1301">
        <v>115</v>
      </c>
      <c r="AV70" s="657">
        <v>10</v>
      </c>
      <c r="AW70" s="657">
        <v>10</v>
      </c>
      <c r="AX70" s="657">
        <v>10</v>
      </c>
      <c r="AY70" s="657">
        <v>10</v>
      </c>
      <c r="AZ70" s="657">
        <v>10</v>
      </c>
      <c r="BA70" s="1301">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C5DE09-7FB3-BD4B-B328-0.4DA7FC1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4" style="7235" width="24.7109375" hidden="1" customWidth="1"/>
    <col min="25" max="25" style="7235" width="11.7109375" hidden="1" customWidth="1"/>
    <col min="26" max="26" style="7235" width="3.7109375" hidden="1" customWidth="1"/>
    <col min="27" max="27" style="7235" width="11.7109375" hidden="1" customWidth="1"/>
    <col min="28" max="28" style="7235" width="8.57421875" hidden="1" customWidth="1"/>
    <col min="29" max="29" style="7235" width="24.7109375" customWidth="1"/>
    <col min="30" max="31" style="7235" width="24.00390625" customWidth="1"/>
    <col min="32" max="32" style="7235" width="11.00390625" customWidth="1"/>
    <col min="33" max="33" style="7235" width="3.7109375" customWidth="1"/>
    <col min="34" max="34" style="7235" width="11.00390625" customWidth="1"/>
    <col min="35" max="35" style="7235" width="8.57421875" hidden="1" customWidth="1"/>
    <col min="36" max="36" style="7235" width="4.00390625" customWidth="1"/>
    <col min="37" max="37" style="7235" width="115.00390625" customWidth="1"/>
    <col min="38" max="42" style="6720" width="10.00390625" customWidth="1"/>
    <col min="43" max="43" style="7235" width="10.57421875" hidden="1"/>
  </cols>
  <sheetData>
    <row customHeight="1" ht="22.5" hidden="1">
      <c r="X1" s="473"/>
      <c r="Y1" s="473"/>
      <c r="AE1" s="473"/>
      <c r="AF1" s="473"/>
      <c r="AQ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571">
        <f>INDEX(PT_DIFFERENTIATION_NUM_NTAR,MATCH(A2,PT_DIFFERENTIATION_NTAR_ID,0))</f>
      </c>
      <c r="T2" s="444" t="s">
        <v>147</v>
      </c>
      <c r="U2" s="446"/>
      <c r="V2" s="2401"/>
      <c r="W2" s="2402"/>
      <c r="X2" s="2402"/>
      <c r="Y2" s="2402"/>
      <c r="Z2" s="2402"/>
      <c r="AA2" s="2402"/>
      <c r="AB2" s="2403"/>
      <c r="AC2" s="2401">
        <f>INDEX(PT_DIFFERENTIATION_NTAR,MATCH(A2,PT_DIFFERENTIATION_NTAR_ID,0))</f>
      </c>
      <c r="AD2" s="2402"/>
      <c r="AE2" s="2402"/>
      <c r="AF2" s="2402"/>
      <c r="AG2" s="2402"/>
      <c r="AH2" s="2402"/>
      <c r="AI2" s="2402"/>
      <c r="AJ2" s="2403"/>
      <c r="AK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46"/>
      <c r="AN2" s="646" t="str">
        <f>IF(T2="","",T2)</f>
        <v>Наименование тарифа</v>
      </c>
      <c r="AO2" s="646"/>
      <c r="AP2" s="646"/>
      <c r="AQ2" s="1301">
        <v>0</v>
      </c>
    </row>
    <row customHeight="1" ht="23.25" hidden="1">
      <c r="A3" s="1509"/>
      <c r="B3" s="1509"/>
      <c r="C3" s="1509"/>
      <c r="D3" s="1509"/>
      <c r="E3" s="2418"/>
      <c r="F3" s="2417">
        <v>1</v>
      </c>
      <c r="G3" s="1509"/>
      <c r="H3" s="1509"/>
      <c r="I3" s="1509"/>
      <c r="J3" s="1509"/>
      <c r="K3" s="1509"/>
      <c r="L3" s="1510"/>
      <c r="M3" s="1511"/>
      <c r="N3" s="1511"/>
      <c r="O3" s="1511"/>
      <c r="P3" s="1569"/>
      <c r="Q3" s="498"/>
      <c r="R3" s="499"/>
      <c r="S3" s="1571">
        <f>INDEX(PT_DIFFERENTIATION_NUM_TER,MATCH(B3,PT_DIFFERENTIATION_TER_ID,0))</f>
      </c>
      <c r="T3" s="454" t="s">
        <v>419</v>
      </c>
      <c r="U3" s="446"/>
      <c r="V3" s="2401"/>
      <c r="W3" s="2402"/>
      <c r="X3" s="2402"/>
      <c r="Y3" s="2402"/>
      <c r="Z3" s="2402"/>
      <c r="AA3" s="2402"/>
      <c r="AB3" s="2403"/>
      <c r="AC3" s="2401">
        <f>INDEX(PT_DIFFERENTIATION_TER,MATCH(B3,PT_DIFFERENTIATION_TER_ID,0))</f>
      </c>
      <c r="AD3" s="2402"/>
      <c r="AE3" s="2402"/>
      <c r="AF3" s="2402"/>
      <c r="AG3" s="2402"/>
      <c r="AH3" s="2402"/>
      <c r="AI3" s="2402"/>
      <c r="AJ3" s="2403"/>
      <c r="AK3" s="1404" t="s">
        <v>420</v>
      </c>
      <c r="AM3" s="646"/>
      <c r="AN3" s="646" t="str">
        <f>IF(T3="","",T3)</f>
        <v>Территория действия тарифа</v>
      </c>
      <c r="AO3" s="646"/>
      <c r="AP3" s="646"/>
      <c r="AQ3" s="1301">
        <v>0</v>
      </c>
    </row>
    <row customHeight="1" ht="23.25" hidden="1">
      <c r="A4" s="1509"/>
      <c r="B4" s="1509"/>
      <c r="C4" s="1509"/>
      <c r="D4" s="1509"/>
      <c r="E4" s="2418"/>
      <c r="F4" s="2418"/>
      <c r="G4" s="2417">
        <v>1</v>
      </c>
      <c r="H4" s="1509"/>
      <c r="I4" s="1509"/>
      <c r="J4" s="1509"/>
      <c r="K4" s="1509"/>
      <c r="L4" s="1510"/>
      <c r="M4" s="1511"/>
      <c r="N4" s="1511"/>
      <c r="O4" s="1511"/>
      <c r="P4" s="500"/>
      <c r="Q4" s="498"/>
      <c r="R4" s="499"/>
      <c r="S4" s="1571">
        <f>INDEX(PT_DIFFERENTIATION_NUM_CS,MATCH(C4,PT_DIFFERENTIATION_CS_ID,0))</f>
      </c>
      <c r="T4" s="455" t="s">
        <v>503</v>
      </c>
      <c r="U4" s="446"/>
      <c r="V4" s="2401"/>
      <c r="W4" s="2402"/>
      <c r="X4" s="2402"/>
      <c r="Y4" s="2402"/>
      <c r="Z4" s="2402"/>
      <c r="AA4" s="2402"/>
      <c r="AB4" s="2403"/>
      <c r="AC4" s="2401">
        <f>INDEX(PT_DIFFERENTIATION_CS,MATCH(C4,PT_DIFFERENTIATION_CS_ID,0))</f>
      </c>
      <c r="AD4" s="2402"/>
      <c r="AE4" s="2402"/>
      <c r="AF4" s="2402"/>
      <c r="AG4" s="2402"/>
      <c r="AH4" s="2402"/>
      <c r="AI4" s="2402"/>
      <c r="AJ4" s="2403"/>
      <c r="AK4" s="1404" t="s">
        <v>504</v>
      </c>
      <c r="AM4" s="646"/>
      <c r="AN4" s="646" t="str">
        <f>IF(T4="","",T4)</f>
        <v>Наименование централизованной системы холодного водоснабжения</v>
      </c>
      <c r="AO4" s="646"/>
      <c r="AP4" s="646"/>
      <c r="AQ4" s="1301">
        <v>0</v>
      </c>
    </row>
    <row customHeight="1" ht="23.25" hidden="1">
      <c r="A5" s="1509"/>
      <c r="B5" s="1509"/>
      <c r="C5" s="1509"/>
      <c r="D5" s="1509"/>
      <c r="E5" s="2418"/>
      <c r="F5" s="2418"/>
      <c r="G5" s="2418"/>
      <c r="H5" s="2418"/>
      <c r="I5" s="2415">
        <f>S4&amp;".1"</f>
      </c>
      <c r="J5" s="1509"/>
      <c r="K5" s="1509"/>
      <c r="L5" s="1510"/>
      <c r="P5" s="2416">
        <v>1</v>
      </c>
      <c r="Q5" s="1568"/>
      <c r="R5" s="502"/>
      <c r="S5" s="1571">
        <f>$I5</f>
      </c>
      <c r="T5" s="431" t="s">
        <v>505</v>
      </c>
      <c r="U5" s="446"/>
      <c r="V5" s="2509"/>
      <c r="W5" s="2510"/>
      <c r="X5" s="2510"/>
      <c r="Y5" s="2510"/>
      <c r="Z5" s="2510"/>
      <c r="AA5" s="2510"/>
      <c r="AB5" s="2511"/>
      <c r="AC5" s="2512"/>
      <c r="AD5" s="2513"/>
      <c r="AE5" s="2513"/>
      <c r="AF5" s="2513"/>
      <c r="AG5" s="2513"/>
      <c r="AH5" s="2513"/>
      <c r="AI5" s="2513"/>
      <c r="AJ5" s="2514"/>
      <c r="AK5" s="1404" t="s">
        <v>506</v>
      </c>
      <c r="AM5" s="646"/>
      <c r="AN5" s="646" t="str">
        <f>IF(T5="","",T5)</f>
        <v>Наименование признака дифференциации</v>
      </c>
      <c r="AO5" s="646"/>
      <c r="AP5" s="646"/>
      <c r="AQ5" s="1301">
        <v>0</v>
      </c>
    </row>
    <row customHeight="1" ht="23.25" hidden="1">
      <c r="A6" s="1509"/>
      <c r="B6" s="1509"/>
      <c r="C6" s="1509"/>
      <c r="D6" s="1509"/>
      <c r="E6" s="2418"/>
      <c r="F6" s="2418"/>
      <c r="G6" s="2418"/>
      <c r="H6" s="2418"/>
      <c r="I6" s="2445"/>
      <c r="J6" s="2415">
        <f>I5&amp;".1"</f>
      </c>
      <c r="K6" s="1509"/>
      <c r="L6" s="1510" t="s">
        <v>428</v>
      </c>
      <c r="P6" s="2416"/>
      <c r="Q6" s="2416">
        <v>1</v>
      </c>
      <c r="R6" s="503"/>
      <c r="S6" s="1571">
        <f>$J6</f>
      </c>
      <c r="T6" s="432" t="s">
        <v>429</v>
      </c>
      <c r="U6" s="446"/>
      <c r="V6" s="2404"/>
      <c r="W6" s="2405"/>
      <c r="X6" s="2405"/>
      <c r="Y6" s="2405"/>
      <c r="Z6" s="2405"/>
      <c r="AA6" s="2405"/>
      <c r="AB6" s="2406"/>
      <c r="AC6" s="2404"/>
      <c r="AD6" s="2405"/>
      <c r="AE6" s="2405"/>
      <c r="AF6" s="2405"/>
      <c r="AG6" s="2405"/>
      <c r="AH6" s="2405"/>
      <c r="AI6" s="2405"/>
      <c r="AJ6" s="2406"/>
      <c r="AK6" s="1453" t="s">
        <v>507</v>
      </c>
      <c r="AM6" s="646"/>
      <c r="AN6" s="646" t="str">
        <f>IF(T6="","",T6)</f>
        <v>Группа потребителей</v>
      </c>
      <c r="AO6" s="646"/>
      <c r="AP6" s="646"/>
      <c r="AQ6" s="1301">
        <v>0</v>
      </c>
    </row>
    <row customHeight="1" ht="23.25" hidden="1">
      <c r="A7" s="1509"/>
      <c r="B7" s="1509"/>
      <c r="C7" s="1509"/>
      <c r="D7" s="1509"/>
      <c r="E7" s="2418"/>
      <c r="F7" s="2418"/>
      <c r="G7" s="2418"/>
      <c r="H7" s="2418"/>
      <c r="I7" s="2445"/>
      <c r="J7" s="2445"/>
      <c r="K7" s="2415">
        <f>J6&amp;".1"</f>
      </c>
      <c r="L7" s="1510"/>
      <c r="P7" s="2416"/>
      <c r="Q7" s="2416"/>
      <c r="R7" s="503">
        <v>1</v>
      </c>
      <c r="S7" s="1571">
        <f>$K7</f>
      </c>
      <c r="T7" s="1583"/>
      <c r="U7" s="446"/>
      <c r="V7" s="897"/>
      <c r="W7" s="897"/>
      <c r="X7" s="1403"/>
      <c r="Y7" s="2424"/>
      <c r="Z7" s="2266" t="s">
        <v>63</v>
      </c>
      <c r="AA7" s="2424"/>
      <c r="AB7" s="2266" t="s">
        <v>63</v>
      </c>
      <c r="AC7" s="897"/>
      <c r="AD7" s="897"/>
      <c r="AE7" s="1403"/>
      <c r="AF7" s="2424"/>
      <c r="AG7" s="2266" t="s">
        <v>63</v>
      </c>
      <c r="AH7" s="2446"/>
      <c r="AI7" s="2266" t="s">
        <v>63</v>
      </c>
      <c r="AJ7" s="1584"/>
      <c r="AK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7">
        <f>STRCHECKDATE(V8:AJ8)</f>
      </c>
      <c r="AM7" s="646"/>
      <c r="AN7" s="646" t="str">
        <f>IF(T7="","",T7)</f>
        <v/>
      </c>
      <c r="AO7" s="646"/>
      <c r="AP7" s="646"/>
      <c r="AQ7" s="1301">
        <v>0</v>
      </c>
    </row>
    <row customHeight="1" ht="14.25" hidden="1">
      <c r="A8" s="1509"/>
      <c r="B8" s="1509"/>
      <c r="C8" s="1509"/>
      <c r="D8" s="1509"/>
      <c r="E8" s="2418"/>
      <c r="F8" s="2418"/>
      <c r="G8" s="2418"/>
      <c r="H8" s="2418"/>
      <c r="I8" s="2445"/>
      <c r="J8" s="2445"/>
      <c r="K8" s="2415"/>
      <c r="L8" s="1510"/>
      <c r="P8" s="2416"/>
      <c r="Q8" s="2416"/>
      <c r="R8" s="503"/>
      <c r="S8" s="1570"/>
      <c r="T8" s="446"/>
      <c r="U8" s="446"/>
      <c r="V8" s="471"/>
      <c r="W8" s="471"/>
      <c r="X8" s="474" t="str">
        <f>Y7&amp;"-"&amp;AA7</f>
        <v>-</v>
      </c>
      <c r="Y8" s="2425"/>
      <c r="Z8" s="2266"/>
      <c r="AA8" s="2425"/>
      <c r="AB8" s="2266"/>
      <c r="AC8" s="471"/>
      <c r="AD8" s="471"/>
      <c r="AE8" s="474" t="str">
        <f>AF7&amp;"-"&amp;AH7</f>
        <v>-</v>
      </c>
      <c r="AF8" s="2425"/>
      <c r="AG8" s="2266"/>
      <c r="AH8" s="2447"/>
      <c r="AI8" s="2266"/>
      <c r="AJ8" s="1585"/>
      <c r="AK8" s="2508"/>
      <c r="AM8" s="646"/>
      <c r="AN8" s="646" t="str">
        <f>IF(T8="","",T8)</f>
        <v/>
      </c>
      <c r="AO8" s="646"/>
      <c r="AP8" s="646"/>
      <c r="AQ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513"/>
      <c r="X9" s="513"/>
      <c r="Y9" s="513"/>
      <c r="Z9" s="513"/>
      <c r="AA9" s="513"/>
      <c r="AB9" s="513"/>
      <c r="AC9" s="513"/>
      <c r="AD9" s="513"/>
      <c r="AE9" s="513"/>
      <c r="AF9" s="513"/>
      <c r="AG9" s="513"/>
      <c r="AH9" s="513"/>
      <c r="AI9" s="513"/>
      <c r="AJ9" s="513"/>
      <c r="AK9" s="1404" t="s">
        <v>509</v>
      </c>
      <c r="AM9" s="646"/>
      <c r="AN9" s="646" t="str">
        <f>IF(T9="","",T9)</f>
        <v>Добавить значение признака дифференциации</v>
      </c>
      <c r="AO9" s="646"/>
      <c r="AP9" s="646"/>
      <c r="AQ9" s="1301">
        <v>0</v>
      </c>
    </row>
    <row customHeight="1" ht="21" hidden="1">
      <c r="A10" s="1509"/>
      <c r="B10" s="1509"/>
      <c r="C10" s="1509"/>
      <c r="D10" s="1509"/>
      <c r="E10" s="2418"/>
      <c r="F10" s="2418"/>
      <c r="G10" s="2418"/>
      <c r="H10" s="2418"/>
      <c r="I10" s="2415"/>
      <c r="J10" s="1509"/>
      <c r="K10" s="1509"/>
      <c r="L10" s="1510"/>
      <c r="P10" s="2416"/>
      <c r="Q10" s="1568"/>
      <c r="R10" s="502"/>
      <c r="S10" s="1424"/>
      <c r="T10" s="511" t="s">
        <v>434</v>
      </c>
      <c r="U10" s="513"/>
      <c r="V10" s="513"/>
      <c r="W10" s="513"/>
      <c r="X10" s="513"/>
      <c r="Y10" s="513"/>
      <c r="Z10" s="513"/>
      <c r="AA10" s="513"/>
      <c r="AB10" s="512"/>
      <c r="AC10" s="513"/>
      <c r="AD10" s="513"/>
      <c r="AE10" s="513"/>
      <c r="AF10" s="513"/>
      <c r="AG10" s="513"/>
      <c r="AH10" s="513"/>
      <c r="AI10" s="512"/>
      <c r="AJ10" s="513"/>
      <c r="AK10" s="1586"/>
      <c r="AM10" s="646"/>
      <c r="AN10" s="646" t="str">
        <f>IF(T10="","",T10)</f>
        <v>Добавить группу потребителей</v>
      </c>
      <c r="AO10" s="646"/>
      <c r="AP10" s="646"/>
      <c r="AQ10" s="1301">
        <v>0</v>
      </c>
    </row>
    <row customHeight="1" ht="14.25"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513"/>
      <c r="X11" s="513"/>
      <c r="Y11" s="513"/>
      <c r="Z11" s="513"/>
      <c r="AA11" s="513"/>
      <c r="AB11" s="512"/>
      <c r="AC11" s="513"/>
      <c r="AD11" s="513"/>
      <c r="AE11" s="513"/>
      <c r="AF11" s="513"/>
      <c r="AG11" s="513"/>
      <c r="AH11" s="513"/>
      <c r="AI11" s="512"/>
      <c r="AJ11" s="513"/>
      <c r="AK11" s="449"/>
      <c r="AM11" s="646"/>
      <c r="AN11" s="646" t="str">
        <f>IF(T11="","",T11)</f>
        <v>Добавить наименование признака дифференциации</v>
      </c>
      <c r="AO11" s="646"/>
      <c r="AP11" s="646"/>
      <c r="AQ11" s="1301">
        <v>0</v>
      </c>
    </row>
    <row s="6720" customFormat="1" customHeight="1" ht="14.25" hidden="1">
      <c r="A12" s="1489"/>
      <c r="B12" s="1489"/>
      <c r="C12" s="1460"/>
      <c r="D12" s="1460"/>
      <c r="E12" s="2418"/>
      <c r="F12" s="2417"/>
      <c r="G12" s="1460"/>
      <c r="H12" s="1460"/>
      <c r="I12" s="1460"/>
      <c r="J12" s="1460"/>
      <c r="K12" s="1460"/>
      <c r="L12" s="1572"/>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M12" s="935"/>
      <c r="AN12" s="935" t="str">
        <f>IF(T12="","",T12)</f>
        <v>Добавить централизованную систему для дифференциации</v>
      </c>
      <c r="AO12" s="935"/>
      <c r="AP12" s="935"/>
      <c r="AQ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M13" s="646"/>
      <c r="AN13" s="646" t="str">
        <f>IF(T13="","",T13)</f>
        <v>Добавить территорию для дифференциации</v>
      </c>
      <c r="AO13" s="646"/>
      <c r="AP13" s="646"/>
      <c r="AQ13" s="657">
        <v>0</v>
      </c>
    </row>
    <row customHeight="1" ht="14.25" hidden="1">
      <c r="AB14" s="473"/>
      <c r="AI14" s="473"/>
      <c r="AQ14" s="1301">
        <v>0</v>
      </c>
    </row>
    <row customHeight="1" ht="14.25" hidden="1">
      <c r="AC15" s="1506"/>
      <c r="AD15" s="1506"/>
      <c r="AE15" s="1507"/>
      <c r="AF15" s="2426"/>
      <c r="AG15" s="2427" t="s">
        <v>63</v>
      </c>
      <c r="AH15" s="2426"/>
      <c r="AI15" s="2427" t="s">
        <v>63</v>
      </c>
      <c r="AQ15" s="1301">
        <v>0</v>
      </c>
    </row>
    <row customHeight="1" ht="14.25" hidden="1">
      <c r="AC16" s="1506"/>
      <c r="AD16" s="1506"/>
      <c r="AE16" s="474" t="str">
        <f>AF15&amp;"-"&amp;AH15</f>
        <v>-</v>
      </c>
      <c r="AF16" s="2427"/>
      <c r="AG16" s="2427"/>
      <c r="AH16" s="2427"/>
      <c r="AI16" s="2427"/>
      <c r="AQ16" s="1301">
        <v>0</v>
      </c>
    </row>
    <row customHeight="1" ht="14.25" hidden="1">
      <c r="AI17" s="473"/>
      <c r="AQ17" s="1301">
        <v>0</v>
      </c>
    </row>
    <row s="7180" customFormat="1" customHeight="1" ht="22.5" hidden="1">
      <c r="L18" s="1567"/>
      <c r="M18" s="1508"/>
      <c r="N18" s="1508"/>
      <c r="O18" s="1513" t="s">
        <v>439</v>
      </c>
      <c r="P18" s="1508"/>
      <c r="Q18" s="1517"/>
      <c r="R18" s="1517"/>
      <c r="S18" s="875"/>
      <c r="Y18" s="1513"/>
      <c r="AA18" s="1513"/>
      <c r="AB18" s="1512"/>
      <c r="AF18" s="1513"/>
      <c r="AH18" s="1513"/>
      <c r="AI18" s="1512"/>
      <c r="AL18" s="657"/>
      <c r="AM18" s="657"/>
      <c r="AN18" s="657"/>
      <c r="AO18" s="657"/>
      <c r="AP18" s="657"/>
      <c r="AQ18" s="1306">
        <v>0</v>
      </c>
    </row>
    <row s="7180" customFormat="1" customHeight="1" ht="14.25" hidden="1">
      <c r="L19" s="1567"/>
      <c r="M19" s="1508"/>
      <c r="N19" s="1508"/>
      <c r="O19" s="1508"/>
      <c r="P19" s="1508"/>
      <c r="Q19" s="1517"/>
      <c r="R19" s="1517"/>
      <c r="S19" s="875"/>
      <c r="AB19" s="1512"/>
      <c r="AI19" s="1512"/>
      <c r="AL19" s="657"/>
      <c r="AM19" s="657"/>
      <c r="AN19" s="657"/>
      <c r="AO19" s="657"/>
      <c r="AP19" s="657"/>
      <c r="AQ19" s="1306">
        <v>0</v>
      </c>
    </row>
    <row s="7180" customFormat="1" customHeight="1" ht="12" hidden="1">
      <c r="L20" s="1567"/>
      <c r="M20" s="1508"/>
      <c r="N20" s="1508"/>
      <c r="O20" s="1510" t="s">
        <v>440</v>
      </c>
      <c r="P20" s="1508"/>
      <c r="Q20" s="1588"/>
      <c r="R20" s="1588"/>
      <c r="S20" s="875"/>
      <c r="T20" s="1306" t="s">
        <v>441</v>
      </c>
      <c r="Z20" s="332" t="s">
        <v>442</v>
      </c>
      <c r="AB20" s="332" t="s">
        <v>443</v>
      </c>
      <c r="AC20" s="1306" t="s">
        <v>441</v>
      </c>
      <c r="AG20" s="332" t="s">
        <v>444</v>
      </c>
      <c r="AI20" s="332" t="s">
        <v>443</v>
      </c>
      <c r="AQ20" s="1306">
        <v>0</v>
      </c>
    </row>
    <row customHeight="1" ht="14.25" hidden="1">
      <c r="O21" s="1510"/>
      <c r="AQ21" s="1301">
        <v>0</v>
      </c>
    </row>
    <row customHeight="1" ht="14.25" hidden="1">
      <c r="O22" s="1510"/>
      <c r="AQ22" s="1301">
        <v>0</v>
      </c>
    </row>
    <row customHeight="1" ht="14.699999999999998">
      <c r="Q23" s="522"/>
      <c r="R23" s="522"/>
      <c r="S23" s="1421"/>
      <c r="T23" s="509"/>
      <c r="U23" s="509"/>
      <c r="V23" s="655"/>
      <c r="W23" s="655"/>
      <c r="X23" s="655"/>
      <c r="Y23" s="655"/>
      <c r="Z23" s="655"/>
      <c r="AA23" s="655"/>
      <c r="AB23" s="655"/>
      <c r="AC23" s="655"/>
      <c r="AD23" s="655"/>
      <c r="AE23" s="655"/>
      <c r="AF23" s="655"/>
      <c r="AG23" s="655"/>
      <c r="AH23" s="655"/>
      <c r="AI23" s="655"/>
      <c r="AQ23" s="1301">
        <v>14</v>
      </c>
    </row>
    <row customHeight="1" ht="14.699999999999998">
      <c r="Q24" s="522"/>
      <c r="R24" s="522"/>
      <c r="S24" s="24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7"/>
      <c r="U24" s="2407"/>
      <c r="V24" s="2407"/>
      <c r="W24" s="2407"/>
      <c r="X24" s="2407"/>
      <c r="Y24" s="2407"/>
      <c r="Z24" s="2407"/>
      <c r="AA24" s="2407"/>
      <c r="AB24" s="2407"/>
      <c r="AC24" s="2407"/>
      <c r="AD24" s="2407"/>
      <c r="AE24" s="2407"/>
      <c r="AF24" s="2407"/>
      <c r="AG24" s="2407"/>
      <c r="AH24" s="2407"/>
      <c r="AI24" s="1389"/>
      <c r="AQ24" s="1301">
        <v>14</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1389"/>
      <c r="AQ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655"/>
      <c r="AQ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472"/>
      <c r="AC27" s="2410" t="str">
        <f>IF(TITLE_NAME_OR_PR_CHANGE="",IF(TITLE_NAME_OR_PR="","",TITLE_NAME_OR_PR),TITLE_NAME_OR_PR_CHANGE)</f>
        <v/>
      </c>
      <c r="AD27" s="2410"/>
      <c r="AE27" s="2410"/>
      <c r="AF27" s="2410"/>
      <c r="AG27" s="2410"/>
      <c r="AH27" s="2410"/>
      <c r="AI27" s="472"/>
      <c r="AJ27" s="472"/>
      <c r="AK27" s="426"/>
      <c r="AL27" s="514"/>
      <c r="AM27" s="514"/>
      <c r="AN27" s="514"/>
      <c r="AO27" s="514"/>
      <c r="AP27" s="514"/>
      <c r="AQ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472"/>
      <c r="AC28" s="2423" t="str">
        <f>IF(TITLE_DATE_PR_CHANGE="",IF(TITLE_DATE_PR="","",TITLE_DATE_PR),TITLE_DATE_PR_CHANGE)</f>
        <v/>
      </c>
      <c r="AD28" s="2423"/>
      <c r="AE28" s="2423"/>
      <c r="AF28" s="2423"/>
      <c r="AG28" s="2423"/>
      <c r="AH28" s="2423"/>
      <c r="AI28" s="472"/>
      <c r="AJ28" s="472"/>
      <c r="AK28" s="426"/>
      <c r="AL28" s="514"/>
      <c r="AM28" s="514"/>
      <c r="AN28" s="514"/>
      <c r="AO28" s="514"/>
      <c r="AP28" s="514"/>
      <c r="AQ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472"/>
      <c r="AC29" s="2410" t="str">
        <f>IF(TITLE_NUMBER_PR_CHANGE="",IF(TITLE_NUMBER_PR="","",TITLE_NUMBER_PR),TITLE_NUMBER_PR_CHANGE)</f>
        <v/>
      </c>
      <c r="AD29" s="2410"/>
      <c r="AE29" s="2410"/>
      <c r="AF29" s="2410"/>
      <c r="AG29" s="2410"/>
      <c r="AH29" s="2410"/>
      <c r="AI29" s="472"/>
      <c r="AJ29" s="472"/>
      <c r="AK29" s="426"/>
      <c r="AL29" s="514"/>
      <c r="AM29" s="514"/>
      <c r="AN29" s="514"/>
      <c r="AO29" s="514"/>
      <c r="AP29" s="514"/>
      <c r="AQ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472"/>
      <c r="AC30" s="2410" t="str">
        <f>IF(TITLE_IST_PUB_CHANGE="",IF(TITLE_IST_PUB="","",TITLE_IST_PUB),TITLE_IST_PUB_CHANGE)</f>
        <v/>
      </c>
      <c r="AD30" s="2410"/>
      <c r="AE30" s="2410"/>
      <c r="AF30" s="2410"/>
      <c r="AG30" s="2410"/>
      <c r="AH30" s="2410"/>
      <c r="AI30" s="472"/>
      <c r="AJ30" s="472"/>
      <c r="AK30" s="426"/>
      <c r="AL30" s="514"/>
      <c r="AM30" s="514"/>
      <c r="AN30" s="514"/>
      <c r="AO30" s="514"/>
      <c r="AP30" s="514"/>
      <c r="AQ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655"/>
      <c r="AQ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472"/>
      <c r="AC32" s="2423" t="str">
        <f>IF(TITLE_DATE_PR_CHANGE="",IF(TITLE_DATE_PR="","",TITLE_DATE_PR),TITLE_DATE_PR_CHANGE)</f>
        <v/>
      </c>
      <c r="AD32" s="2423"/>
      <c r="AE32" s="2423"/>
      <c r="AF32" s="2423"/>
      <c r="AG32" s="2423"/>
      <c r="AH32" s="2423"/>
      <c r="AI32" s="472"/>
      <c r="AJ32" s="472"/>
      <c r="AK32" s="426"/>
      <c r="AL32" s="514"/>
      <c r="AM32" s="514"/>
      <c r="AN32" s="514"/>
      <c r="AO32" s="514"/>
      <c r="AP32" s="514"/>
      <c r="AQ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472"/>
      <c r="AC33" s="2410" t="str">
        <f>IF(TITLE_NUMBER_PR_CHANGE="",IF(TITLE_NUMBER_PR="","",TITLE_NUMBER_PR),TITLE_NUMBER_PR_CHANGE)</f>
        <v/>
      </c>
      <c r="AD33" s="2410"/>
      <c r="AE33" s="2410"/>
      <c r="AF33" s="2410"/>
      <c r="AG33" s="2410"/>
      <c r="AH33" s="2410"/>
      <c r="AI33" s="472"/>
      <c r="AJ33" s="472"/>
      <c r="AK33" s="426"/>
      <c r="AL33" s="514"/>
      <c r="AM33" s="514"/>
      <c r="AN33" s="514"/>
      <c r="AO33" s="514"/>
      <c r="AP33" s="514"/>
      <c r="AQ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501"/>
      <c r="V34" s="472"/>
      <c r="W34" s="472"/>
      <c r="X34" s="472"/>
      <c r="Y34" s="472"/>
      <c r="Z34" s="472"/>
      <c r="AA34" s="472"/>
      <c r="AB34" s="424" t="s">
        <v>449</v>
      </c>
      <c r="AC34" s="472"/>
      <c r="AD34" s="472"/>
      <c r="AE34" s="472"/>
      <c r="AF34" s="472"/>
      <c r="AG34" s="472"/>
      <c r="AH34" s="472"/>
      <c r="AI34" s="424" t="s">
        <v>449</v>
      </c>
      <c r="AL34" s="514"/>
      <c r="AM34" s="514"/>
      <c r="AN34" s="514"/>
      <c r="AO34" s="514"/>
      <c r="AP34" s="514"/>
      <c r="AQ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Q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t="s">
        <v>323</v>
      </c>
      <c r="AQ36" s="1301">
        <v>14</v>
      </c>
    </row>
    <row customHeight="1" ht="14.699999999999998">
      <c r="Q37" s="522"/>
      <c r="R37" s="522"/>
      <c r="S37" s="2432" t="s">
        <v>89</v>
      </c>
      <c r="T37" s="2368" t="s">
        <v>450</v>
      </c>
      <c r="U37" s="447"/>
      <c r="V37" s="2433" t="s">
        <v>451</v>
      </c>
      <c r="W37" s="2434"/>
      <c r="X37" s="2434"/>
      <c r="Y37" s="2434"/>
      <c r="Z37" s="2434"/>
      <c r="AA37" s="2435"/>
      <c r="AB37" s="2436" t="s">
        <v>452</v>
      </c>
      <c r="AC37" s="2433" t="s">
        <v>451</v>
      </c>
      <c r="AD37" s="2434"/>
      <c r="AE37" s="2434"/>
      <c r="AF37" s="2434"/>
      <c r="AG37" s="2434"/>
      <c r="AH37" s="2435"/>
      <c r="AI37" s="2436" t="s">
        <v>453</v>
      </c>
      <c r="AJ37" s="2439" t="s">
        <v>454</v>
      </c>
      <c r="AK37" s="2286"/>
      <c r="AQ37" s="1301">
        <v>14</v>
      </c>
    </row>
    <row customHeight="1" ht="35.699999999999996">
      <c r="Q38" s="522"/>
      <c r="R38" s="522"/>
      <c r="S38" s="2432"/>
      <c r="T38" s="2368"/>
      <c r="U38" s="1177"/>
      <c r="V38" s="1498" t="s">
        <v>511</v>
      </c>
      <c r="W38" s="2421" t="s">
        <v>457</v>
      </c>
      <c r="X38" s="2422"/>
      <c r="Y38" s="2421" t="s">
        <v>458</v>
      </c>
      <c r="Z38" s="2428"/>
      <c r="AA38" s="2422"/>
      <c r="AB38" s="2437"/>
      <c r="AC38" s="1498" t="s">
        <v>511</v>
      </c>
      <c r="AD38" s="2421" t="s">
        <v>457</v>
      </c>
      <c r="AE38" s="2422"/>
      <c r="AF38" s="2421" t="s">
        <v>458</v>
      </c>
      <c r="AG38" s="2428"/>
      <c r="AH38" s="2422"/>
      <c r="AI38" s="2437"/>
      <c r="AJ38" s="2440"/>
      <c r="AK38" s="2286"/>
      <c r="AQ38" s="1301">
        <v>34</v>
      </c>
    </row>
    <row customHeight="1" ht="35.699999999999996">
      <c r="A39" s="1516"/>
      <c r="B39" s="1516" t="s">
        <v>159</v>
      </c>
      <c r="C39" s="1516" t="s">
        <v>160</v>
      </c>
      <c r="D39" s="1516" t="s">
        <v>161</v>
      </c>
      <c r="E39" s="1510" t="s">
        <v>459</v>
      </c>
      <c r="F39" s="1510" t="s">
        <v>460</v>
      </c>
      <c r="G39" s="1510" t="s">
        <v>461</v>
      </c>
      <c r="H39" s="1510"/>
      <c r="I39" s="1510" t="s">
        <v>512</v>
      </c>
      <c r="J39" s="1510" t="s">
        <v>464</v>
      </c>
      <c r="K39" s="1510" t="s">
        <v>513</v>
      </c>
      <c r="L39" s="1510" t="s">
        <v>440</v>
      </c>
      <c r="Q39" s="522"/>
      <c r="R39" s="522"/>
      <c r="S39" s="2432"/>
      <c r="T39" s="2368"/>
      <c r="U39" s="448"/>
      <c r="V39" s="1498" t="s">
        <v>514</v>
      </c>
      <c r="W39" s="1368" t="s">
        <v>515</v>
      </c>
      <c r="X39" s="1368" t="s">
        <v>516</v>
      </c>
      <c r="Y39" s="1503" t="s">
        <v>468</v>
      </c>
      <c r="Z39" s="2429" t="s">
        <v>469</v>
      </c>
      <c r="AA39" s="2430"/>
      <c r="AB39" s="2438"/>
      <c r="AC39" s="1498" t="s">
        <v>514</v>
      </c>
      <c r="AD39" s="1368" t="s">
        <v>515</v>
      </c>
      <c r="AE39" s="1368" t="s">
        <v>516</v>
      </c>
      <c r="AF39" s="1503" t="s">
        <v>468</v>
      </c>
      <c r="AG39" s="2429" t="s">
        <v>469</v>
      </c>
      <c r="AH39" s="2430"/>
      <c r="AI39" s="2438"/>
      <c r="AJ39" s="2441"/>
      <c r="AK39" s="2286"/>
      <c r="AQ39" s="1301">
        <v>34</v>
      </c>
    </row>
    <row s="6314" customFormat="1" customHeight="1" ht="11.25" hidden="1">
      <c r="A40" s="1516"/>
      <c r="B40" s="1516"/>
      <c r="C40" s="1516"/>
      <c r="D40" s="1516"/>
      <c r="E40" s="1516"/>
      <c r="F40" s="1516"/>
      <c r="G40" s="1516"/>
      <c r="H40" s="1516"/>
      <c r="I40" s="1516"/>
      <c r="J40" s="1516"/>
      <c r="K40" s="1516"/>
      <c r="L40" s="1510"/>
      <c r="M40" s="1508"/>
      <c r="N40" s="1508"/>
      <c r="O40" s="1508"/>
      <c r="P40" s="1392"/>
      <c r="Q40" s="1393"/>
      <c r="R40" s="1400">
        <v>1</v>
      </c>
      <c r="S40" s="1423" t="s">
        <v>121</v>
      </c>
      <c r="T40" s="1401" t="s">
        <v>105</v>
      </c>
      <c r="U40" s="1391" t="str">
        <f>OFFSET(U40,0,-1)</f>
        <v>2</v>
      </c>
      <c r="V40" s="1499">
        <f>OFFSET(V40,0,-1)+1</f>
        <v>3</v>
      </c>
      <c r="W40" s="1499">
        <f>OFFSET(W40,0,-1)+1</f>
        <v>4</v>
      </c>
      <c r="X40" s="1499">
        <f>OFFSET(X40,0,-1)+1</f>
        <v>5</v>
      </c>
      <c r="Y40" s="1499">
        <f>OFFSET(Y40,0,-1)+1</f>
        <v>6</v>
      </c>
      <c r="Z40" s="2431">
        <f>OFFSET(Z40,0,-1)+1</f>
        <v>7</v>
      </c>
      <c r="AA40" s="2431"/>
      <c r="AB40" s="1499">
        <f>OFFSET(AB40,0,-2)+1</f>
        <v>8</v>
      </c>
      <c r="AC40" s="1499">
        <f>OFFSET(AC40,0,-1)+1</f>
        <v>9</v>
      </c>
      <c r="AD40" s="1499">
        <f>OFFSET(AD40,0,-1)+1</f>
        <v>10</v>
      </c>
      <c r="AE40" s="1499">
        <f>OFFSET(AE40,0,-1)+1</f>
        <v>11</v>
      </c>
      <c r="AF40" s="1499">
        <f>OFFSET(AF40,0,-1)+1</f>
        <v>12</v>
      </c>
      <c r="AG40" s="2431">
        <f>OFFSET(AG40,0,-1)+1</f>
        <v>13</v>
      </c>
      <c r="AH40" s="2431"/>
      <c r="AI40" s="1499">
        <f>OFFSET(AI40,0,-2)+1</f>
        <v>14</v>
      </c>
      <c r="AJ40" s="1391">
        <f>OFFSET(AJ40,0,-1)</f>
        <v>14</v>
      </c>
      <c r="AK40" s="1499">
        <f>OFFSET(AK40,0,-1)+1</f>
        <v>15</v>
      </c>
      <c r="AL40" s="657"/>
      <c r="AM40" s="657"/>
      <c r="AN40" s="657"/>
      <c r="AO40" s="657"/>
      <c r="AP40" s="657"/>
      <c r="AQ40" s="642">
        <v>0</v>
      </c>
    </row>
    <row customHeight="1" ht="24">
      <c r="A41" s="1509" t="s">
        <v>248</v>
      </c>
      <c r="B41" s="1509"/>
      <c r="C41" s="1509"/>
      <c r="D41" s="1509"/>
      <c r="E41" s="2417">
        <v>1</v>
      </c>
      <c r="F41" s="1509"/>
      <c r="G41" s="1509"/>
      <c r="H41" s="1509"/>
      <c r="I41" s="1509"/>
      <c r="J41" s="1509"/>
      <c r="K41" s="1509"/>
      <c r="L41" s="1510"/>
      <c r="M41" s="1511"/>
      <c r="N41" s="1511"/>
      <c r="O41" s="1511"/>
      <c r="P41" s="507"/>
      <c r="Q41" s="506"/>
      <c r="R41" s="501"/>
      <c r="S41" s="1504">
        <f>INDEX(PT_DIFFERENTIATION_NUM_NTAR,MATCH(A41,PT_DIFFERENTIATION_NTAR_ID,0))</f>
        <v>0</v>
      </c>
      <c r="T41" s="444" t="s">
        <v>147</v>
      </c>
      <c r="U41" s="446"/>
      <c r="V41" s="2401"/>
      <c r="W41" s="2402"/>
      <c r="X41" s="2402"/>
      <c r="Y41" s="2402"/>
      <c r="Z41" s="2402"/>
      <c r="AA41" s="2402"/>
      <c r="AB41" s="2403"/>
      <c r="AC41" s="2401" t="str">
        <f>INDEX(PT_DIFFERENTIATION_NTAR,MATCH(A41,PT_DIFFERENTIATION_NTAR_ID,0))</f>
        <v/>
      </c>
      <c r="AD41" s="2402"/>
      <c r="AE41" s="2402"/>
      <c r="AF41" s="2402"/>
      <c r="AG41" s="2402"/>
      <c r="AH41" s="2402"/>
      <c r="AI41" s="2402"/>
      <c r="AJ41" s="2403"/>
      <c r="AK41"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46"/>
      <c r="AN41" s="646" t="str">
        <f>IF(T41="","",T41)</f>
        <v>Наименование тарифа</v>
      </c>
      <c r="AO41" s="646"/>
      <c r="AP41" s="646"/>
      <c r="AQ41" s="1301">
        <v>23</v>
      </c>
    </row>
    <row customHeight="1" ht="24">
      <c r="A42" s="1509" t="s">
        <v>248</v>
      </c>
      <c r="B42" s="1509" t="s">
        <v>249</v>
      </c>
      <c r="C42" s="1509"/>
      <c r="D42" s="1509"/>
      <c r="E42" s="2418"/>
      <c r="F42" s="2417">
        <v>1</v>
      </c>
      <c r="G42" s="1509"/>
      <c r="H42" s="1509"/>
      <c r="I42" s="1509"/>
      <c r="J42" s="1509"/>
      <c r="K42" s="1509"/>
      <c r="L42" s="1510"/>
      <c r="M42" s="1511"/>
      <c r="N42" s="1511"/>
      <c r="O42" s="1511"/>
      <c r="P42" s="1502"/>
      <c r="Q42" s="498"/>
      <c r="R42" s="499"/>
      <c r="S42" s="1504" t="str">
        <f>INDEX(PT_DIFFERENTIATION_NUM_TER,MATCH(B42,PT_DIFFERENTIATION_TER_ID,0))</f>
        <v>.</v>
      </c>
      <c r="T42" s="454" t="s">
        <v>419</v>
      </c>
      <c r="U42" s="446"/>
      <c r="V42" s="2401"/>
      <c r="W42" s="2402"/>
      <c r="X42" s="2402"/>
      <c r="Y42" s="2402"/>
      <c r="Z42" s="2402"/>
      <c r="AA42" s="2402"/>
      <c r="AB42" s="2403"/>
      <c r="AC42" s="2401" t="str">
        <f>INDEX(PT_DIFFERENTIATION_TER,MATCH(B42,PT_DIFFERENTIATION_TER_ID,0))</f>
        <v/>
      </c>
      <c r="AD42" s="2402"/>
      <c r="AE42" s="2402"/>
      <c r="AF42" s="2402"/>
      <c r="AG42" s="2402"/>
      <c r="AH42" s="2402"/>
      <c r="AI42" s="2402"/>
      <c r="AJ42" s="2403"/>
      <c r="AK42" s="1404" t="s">
        <v>420</v>
      </c>
      <c r="AM42" s="646"/>
      <c r="AN42" s="646" t="str">
        <f>IF(T42="","",T42)</f>
        <v>Территория действия тарифа</v>
      </c>
      <c r="AO42" s="646"/>
      <c r="AP42" s="646"/>
      <c r="AQ42" s="1301">
        <v>23</v>
      </c>
    </row>
    <row customHeight="1" ht="24">
      <c r="A43" s="1509" t="s">
        <v>248</v>
      </c>
      <c r="B43" s="1509" t="s">
        <v>249</v>
      </c>
      <c r="C43" s="1509" t="s">
        <v>250</v>
      </c>
      <c r="D43" s="1509"/>
      <c r="E43" s="2418"/>
      <c r="F43" s="2418"/>
      <c r="G43" s="2417">
        <v>1</v>
      </c>
      <c r="H43" s="1509"/>
      <c r="I43" s="1509"/>
      <c r="J43" s="1509"/>
      <c r="K43" s="1509"/>
      <c r="L43" s="1510"/>
      <c r="M43" s="1511"/>
      <c r="N43" s="1511"/>
      <c r="O43" s="1511"/>
      <c r="P43" s="500"/>
      <c r="Q43" s="498"/>
      <c r="R43" s="499"/>
      <c r="S43" s="1504" t="str">
        <f>INDEX(PT_DIFFERENTIATION_NUM_CS,MATCH(C43,PT_DIFFERENTIATION_CS_ID,0))</f>
        <v>..</v>
      </c>
      <c r="T43" s="455" t="s">
        <v>503</v>
      </c>
      <c r="U43" s="446"/>
      <c r="V43" s="2401"/>
      <c r="W43" s="2402"/>
      <c r="X43" s="2402"/>
      <c r="Y43" s="2402"/>
      <c r="Z43" s="2402"/>
      <c r="AA43" s="2402"/>
      <c r="AB43" s="2403"/>
      <c r="AC43" s="2401" t="str">
        <f>INDEX(PT_DIFFERENTIATION_CS,MATCH(C43,PT_DIFFERENTIATION_CS_ID,0))</f>
        <v/>
      </c>
      <c r="AD43" s="2402"/>
      <c r="AE43" s="2402"/>
      <c r="AF43" s="2402"/>
      <c r="AG43" s="2402"/>
      <c r="AH43" s="2402"/>
      <c r="AI43" s="2402"/>
      <c r="AJ43" s="2403"/>
      <c r="AK43" s="1404" t="s">
        <v>504</v>
      </c>
      <c r="AM43" s="646"/>
      <c r="AN43" s="646" t="str">
        <f>IF(T43="","",T43)</f>
        <v>Наименование централизованной системы холодного водоснабжения</v>
      </c>
      <c r="AO43" s="646"/>
      <c r="AP43" s="646"/>
      <c r="AQ43" s="1301">
        <v>23</v>
      </c>
    </row>
    <row customHeight="1" ht="24">
      <c r="A44" s="1509" t="s">
        <v>248</v>
      </c>
      <c r="B44" s="1509" t="s">
        <v>249</v>
      </c>
      <c r="C44" s="1509" t="s">
        <v>250</v>
      </c>
      <c r="D44" s="1509" t="s">
        <v>517</v>
      </c>
      <c r="E44" s="2418"/>
      <c r="F44" s="2418"/>
      <c r="G44" s="2418"/>
      <c r="H44" s="2418"/>
      <c r="I44" s="2415" t="str">
        <f>S43&amp;".1"</f>
        <v>...1</v>
      </c>
      <c r="J44" s="1509"/>
      <c r="K44" s="1509"/>
      <c r="L44" s="1510"/>
      <c r="P44" s="2416">
        <v>1</v>
      </c>
      <c r="Q44" s="1500"/>
      <c r="R44" s="502"/>
      <c r="S44" s="1504" t="str">
        <f>$I44</f>
        <v>...1</v>
      </c>
      <c r="T44" s="431" t="s">
        <v>505</v>
      </c>
      <c r="U44" s="446"/>
      <c r="V44" s="2509"/>
      <c r="W44" s="2510"/>
      <c r="X44" s="2510"/>
      <c r="Y44" s="2510"/>
      <c r="Z44" s="2510"/>
      <c r="AA44" s="2510"/>
      <c r="AB44" s="2511"/>
      <c r="AC44" s="2512"/>
      <c r="AD44" s="2513"/>
      <c r="AE44" s="2513"/>
      <c r="AF44" s="2513"/>
      <c r="AG44" s="2513"/>
      <c r="AH44" s="2513"/>
      <c r="AI44" s="2513"/>
      <c r="AJ44" s="2514"/>
      <c r="AK44" s="1404" t="s">
        <v>506</v>
      </c>
      <c r="AM44" s="646"/>
      <c r="AN44" s="646" t="str">
        <f>IF(T44="","",T44)</f>
        <v>Наименование признака дифференциации</v>
      </c>
      <c r="AO44" s="646"/>
      <c r="AP44" s="646"/>
      <c r="AQ44" s="1301">
        <v>23</v>
      </c>
    </row>
    <row customHeight="1" ht="24">
      <c r="A45" s="1509" t="s">
        <v>248</v>
      </c>
      <c r="B45" s="1509" t="s">
        <v>249</v>
      </c>
      <c r="C45" s="1509" t="s">
        <v>250</v>
      </c>
      <c r="D45" s="1509" t="s">
        <v>517</v>
      </c>
      <c r="E45" s="2418"/>
      <c r="F45" s="2418"/>
      <c r="G45" s="2418"/>
      <c r="H45" s="2418"/>
      <c r="I45" s="2445"/>
      <c r="J45" s="2415" t="str">
        <f>I44&amp;".1"</f>
        <v>...1.1</v>
      </c>
      <c r="K45" s="1509"/>
      <c r="L45" s="1510" t="s">
        <v>428</v>
      </c>
      <c r="P45" s="2416"/>
      <c r="Q45" s="2416">
        <v>1</v>
      </c>
      <c r="R45" s="503"/>
      <c r="S45" s="1504" t="str">
        <f>$J45</f>
        <v>...1.1</v>
      </c>
      <c r="T45" s="432" t="s">
        <v>429</v>
      </c>
      <c r="U45" s="446"/>
      <c r="V45" s="2404"/>
      <c r="W45" s="2405"/>
      <c r="X45" s="2405"/>
      <c r="Y45" s="2405"/>
      <c r="Z45" s="2405"/>
      <c r="AA45" s="2405"/>
      <c r="AB45" s="2406"/>
      <c r="AC45" s="2404"/>
      <c r="AD45" s="2405"/>
      <c r="AE45" s="2405"/>
      <c r="AF45" s="2405"/>
      <c r="AG45" s="2405"/>
      <c r="AH45" s="2405"/>
      <c r="AI45" s="2405"/>
      <c r="AJ45" s="2406"/>
      <c r="AK45" s="1453" t="s">
        <v>507</v>
      </c>
      <c r="AM45" s="646"/>
      <c r="AN45" s="646" t="str">
        <f>IF(T45="","",T45)</f>
        <v>Группа потребителей</v>
      </c>
      <c r="AO45" s="646"/>
      <c r="AP45" s="646"/>
      <c r="AQ45" s="1301">
        <v>23</v>
      </c>
    </row>
    <row customHeight="1" ht="24">
      <c r="A46" s="1509" t="s">
        <v>248</v>
      </c>
      <c r="B46" s="1509" t="s">
        <v>249</v>
      </c>
      <c r="C46" s="1509" t="s">
        <v>250</v>
      </c>
      <c r="D46" s="1509" t="s">
        <v>517</v>
      </c>
      <c r="E46" s="2418"/>
      <c r="F46" s="2418"/>
      <c r="G46" s="2418"/>
      <c r="H46" s="2418"/>
      <c r="I46" s="2445"/>
      <c r="J46" s="2445"/>
      <c r="K46" s="2415" t="str">
        <f>J45&amp;".1"</f>
        <v>...1.1.1</v>
      </c>
      <c r="L46" s="1510"/>
      <c r="P46" s="2416"/>
      <c r="Q46" s="2416"/>
      <c r="R46" s="503">
        <v>1</v>
      </c>
      <c r="S46" s="1504" t="str">
        <f>$K46</f>
        <v>...1.1.1</v>
      </c>
      <c r="T46" s="1583"/>
      <c r="U46" s="446"/>
      <c r="V46" s="1506"/>
      <c r="W46" s="1506"/>
      <c r="X46" s="1507"/>
      <c r="Y46" s="2426"/>
      <c r="Z46" s="2427" t="s">
        <v>63</v>
      </c>
      <c r="AA46" s="2426"/>
      <c r="AB46" s="2427" t="s">
        <v>63</v>
      </c>
      <c r="AC46" s="897"/>
      <c r="AD46" s="897"/>
      <c r="AE46" s="1403"/>
      <c r="AF46" s="2424"/>
      <c r="AG46" s="2266" t="s">
        <v>63</v>
      </c>
      <c r="AH46" s="2446"/>
      <c r="AI46" s="2266" t="s">
        <v>19</v>
      </c>
      <c r="AJ46" s="1584"/>
      <c r="AK46"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7">
        <f>STRCHECKDATE(V47:AJ47)</f>
      </c>
      <c r="AM46" s="646"/>
      <c r="AN46" s="646" t="str">
        <f>IF(T46="","",T46)</f>
        <v/>
      </c>
      <c r="AO46" s="646"/>
      <c r="AP46" s="646"/>
      <c r="AQ46" s="1301">
        <v>23</v>
      </c>
    </row>
    <row customHeight="1" ht="0">
      <c r="A47" s="1509" t="s">
        <v>248</v>
      </c>
      <c r="B47" s="1509" t="s">
        <v>249</v>
      </c>
      <c r="C47" s="1509" t="s">
        <v>250</v>
      </c>
      <c r="D47" s="1509" t="s">
        <v>517</v>
      </c>
      <c r="E47" s="2418"/>
      <c r="F47" s="2418"/>
      <c r="G47" s="2418"/>
      <c r="H47" s="2418"/>
      <c r="I47" s="2445"/>
      <c r="J47" s="2445"/>
      <c r="K47" s="2415"/>
      <c r="L47" s="1510"/>
      <c r="P47" s="2416"/>
      <c r="Q47" s="2416"/>
      <c r="R47" s="503"/>
      <c r="S47" s="1505"/>
      <c r="T47" s="446"/>
      <c r="U47" s="446"/>
      <c r="V47" s="1506"/>
      <c r="W47" s="1506"/>
      <c r="X47" s="474" t="str">
        <f>Y46&amp;"-"&amp;AA46</f>
        <v>-</v>
      </c>
      <c r="Y47" s="2427"/>
      <c r="Z47" s="2427"/>
      <c r="AA47" s="2427"/>
      <c r="AB47" s="2427"/>
      <c r="AC47" s="471"/>
      <c r="AD47" s="471"/>
      <c r="AE47" s="474" t="str">
        <f>AF46&amp;"-"&amp;AH46</f>
        <v>-</v>
      </c>
      <c r="AF47" s="2425"/>
      <c r="AG47" s="2266"/>
      <c r="AH47" s="2447"/>
      <c r="AI47" s="2266"/>
      <c r="AJ47" s="1585"/>
      <c r="AK47" s="2508"/>
      <c r="AM47" s="646"/>
      <c r="AN47" s="646" t="str">
        <f>IF(T47="","",T47)</f>
        <v/>
      </c>
      <c r="AO47" s="646"/>
      <c r="AP47" s="646"/>
      <c r="AQ47" s="1301">
        <v>0</v>
      </c>
    </row>
    <row customHeight="1" ht="21">
      <c r="A48" s="1509" t="s">
        <v>248</v>
      </c>
      <c r="B48" s="1509" t="s">
        <v>249</v>
      </c>
      <c r="C48" s="1509" t="s">
        <v>250</v>
      </c>
      <c r="D48" s="1509" t="s">
        <v>517</v>
      </c>
      <c r="E48" s="2418"/>
      <c r="F48" s="2418"/>
      <c r="G48" s="2418"/>
      <c r="H48" s="2418"/>
      <c r="I48" s="2445"/>
      <c r="J48" s="2415"/>
      <c r="K48" s="1509"/>
      <c r="L48" s="1510"/>
      <c r="P48" s="2416"/>
      <c r="Q48" s="2416"/>
      <c r="R48" s="502"/>
      <c r="S48" s="1424"/>
      <c r="T48" s="433" t="s">
        <v>508</v>
      </c>
      <c r="U48" s="513"/>
      <c r="V48" s="513"/>
      <c r="W48" s="513"/>
      <c r="X48" s="513"/>
      <c r="Y48" s="513"/>
      <c r="Z48" s="513"/>
      <c r="AA48" s="513"/>
      <c r="AB48" s="513"/>
      <c r="AC48" s="513"/>
      <c r="AD48" s="513"/>
      <c r="AE48" s="513"/>
      <c r="AF48" s="513"/>
      <c r="AG48" s="513"/>
      <c r="AH48" s="513"/>
      <c r="AI48" s="513"/>
      <c r="AJ48" s="513"/>
      <c r="AK48" s="1404" t="s">
        <v>509</v>
      </c>
      <c r="AM48" s="646"/>
      <c r="AN48" s="646" t="str">
        <f>IF(T48="","",T48)</f>
        <v>Добавить значение признака дифференциации</v>
      </c>
      <c r="AO48" s="646"/>
      <c r="AP48" s="646"/>
      <c r="AQ48" s="1301">
        <v>20</v>
      </c>
    </row>
    <row customHeight="1" ht="22.049999999999997">
      <c r="A49" s="1509" t="s">
        <v>248</v>
      </c>
      <c r="B49" s="1509" t="s">
        <v>249</v>
      </c>
      <c r="C49" s="1509" t="s">
        <v>250</v>
      </c>
      <c r="D49" s="1509" t="s">
        <v>517</v>
      </c>
      <c r="E49" s="2418"/>
      <c r="F49" s="2418"/>
      <c r="G49" s="2418"/>
      <c r="H49" s="2418"/>
      <c r="I49" s="2415"/>
      <c r="J49" s="1509"/>
      <c r="K49" s="1509"/>
      <c r="L49" s="1510"/>
      <c r="P49" s="2416"/>
      <c r="Q49" s="1500"/>
      <c r="R49" s="502"/>
      <c r="S49" s="1424"/>
      <c r="T49" s="511" t="s">
        <v>434</v>
      </c>
      <c r="U49" s="513"/>
      <c r="V49" s="513"/>
      <c r="W49" s="513"/>
      <c r="X49" s="513"/>
      <c r="Y49" s="513"/>
      <c r="Z49" s="513"/>
      <c r="AA49" s="513"/>
      <c r="AB49" s="512"/>
      <c r="AC49" s="513"/>
      <c r="AD49" s="513"/>
      <c r="AE49" s="513"/>
      <c r="AF49" s="513"/>
      <c r="AG49" s="513"/>
      <c r="AH49" s="513"/>
      <c r="AI49" s="512"/>
      <c r="AJ49" s="513"/>
      <c r="AK49" s="1586"/>
      <c r="AM49" s="646"/>
      <c r="AN49" s="646" t="str">
        <f>IF(T49="","",T49)</f>
        <v>Добавить группу потребителей</v>
      </c>
      <c r="AO49" s="646"/>
      <c r="AP49" s="646"/>
      <c r="AQ49" s="1301">
        <v>21</v>
      </c>
    </row>
    <row customHeight="1" ht="22.049999999999997">
      <c r="A50" s="1509" t="s">
        <v>248</v>
      </c>
      <c r="B50" s="1509" t="s">
        <v>249</v>
      </c>
      <c r="C50" s="1509" t="s">
        <v>250</v>
      </c>
      <c r="D50" s="1509" t="s">
        <v>517</v>
      </c>
      <c r="E50" s="2418"/>
      <c r="F50" s="2418"/>
      <c r="G50" s="2418"/>
      <c r="H50" s="2417"/>
      <c r="I50" s="1509"/>
      <c r="J50" s="1509"/>
      <c r="K50" s="1509"/>
      <c r="L50" s="1510"/>
      <c r="M50" s="1511"/>
      <c r="N50" s="1511"/>
      <c r="O50" s="683"/>
      <c r="P50" s="506"/>
      <c r="Q50" s="521"/>
      <c r="R50" s="501"/>
      <c r="S50" s="1424"/>
      <c r="T50" s="518" t="s">
        <v>510</v>
      </c>
      <c r="U50" s="513"/>
      <c r="V50" s="513"/>
      <c r="W50" s="513"/>
      <c r="X50" s="513"/>
      <c r="Y50" s="513"/>
      <c r="Z50" s="513"/>
      <c r="AA50" s="513"/>
      <c r="AB50" s="512"/>
      <c r="AC50" s="513"/>
      <c r="AD50" s="513"/>
      <c r="AE50" s="513"/>
      <c r="AF50" s="513"/>
      <c r="AG50" s="513"/>
      <c r="AH50" s="513"/>
      <c r="AI50" s="512"/>
      <c r="AJ50" s="513"/>
      <c r="AK50" s="449"/>
      <c r="AM50" s="646"/>
      <c r="AN50" s="646" t="str">
        <f>IF(T50="","",T50)</f>
        <v>Добавить наименование признака дифференциации</v>
      </c>
      <c r="AO50" s="646"/>
      <c r="AP50" s="646"/>
      <c r="AQ50" s="1301">
        <v>21</v>
      </c>
    </row>
    <row s="6720" customFormat="1" customHeight="1" ht="0">
      <c r="A51" s="1489" t="s">
        <v>248</v>
      </c>
      <c r="B51" s="1489" t="s">
        <v>249</v>
      </c>
      <c r="C51" s="1460"/>
      <c r="D51" s="1460"/>
      <c r="E51" s="2418"/>
      <c r="F51" s="2417"/>
      <c r="G51" s="1460"/>
      <c r="H51" s="1460"/>
      <c r="I51" s="1460"/>
      <c r="J51" s="1460"/>
      <c r="K51" s="1460"/>
      <c r="L51" s="1572"/>
      <c r="M51" s="1467"/>
      <c r="N51" s="1467"/>
      <c r="P51" s="1462"/>
      <c r="Q51" s="1463"/>
      <c r="R51" s="1462"/>
      <c r="S51" s="1468"/>
      <c r="T51" s="1471" t="s">
        <v>437</v>
      </c>
      <c r="U51" s="1470"/>
      <c r="V51" s="1470"/>
      <c r="W51" s="1470"/>
      <c r="X51" s="1470"/>
      <c r="Y51" s="1470"/>
      <c r="Z51" s="1470"/>
      <c r="AA51" s="1470"/>
      <c r="AB51" s="1470"/>
      <c r="AC51" s="1470"/>
      <c r="AD51" s="1470"/>
      <c r="AE51" s="1470"/>
      <c r="AF51" s="1470"/>
      <c r="AG51" s="1470"/>
      <c r="AH51" s="1470"/>
      <c r="AI51" s="1470"/>
      <c r="AJ51" s="1470"/>
      <c r="AK51" s="1470"/>
      <c r="AM51" s="935"/>
      <c r="AN51" s="935" t="str">
        <f>IF(T51="","",T51)</f>
        <v>Добавить централизованную систему для дифференциации</v>
      </c>
      <c r="AO51" s="935"/>
      <c r="AP51" s="935"/>
      <c r="AQ51" s="664">
        <v>0</v>
      </c>
    </row>
    <row s="6720" customFormat="1" customHeight="1" ht="0">
      <c r="A52" s="1489" t="s">
        <v>248</v>
      </c>
      <c r="B52" s="1489"/>
      <c r="C52" s="1489"/>
      <c r="D52" s="1489"/>
      <c r="E52" s="2417"/>
      <c r="F52" s="1489"/>
      <c r="G52" s="1489"/>
      <c r="H52" s="1489"/>
      <c r="I52" s="1489"/>
      <c r="J52" s="1489"/>
      <c r="K52" s="1489"/>
      <c r="L52" s="1492"/>
      <c r="M52" s="1467"/>
      <c r="N52" s="1467"/>
      <c r="O52" s="664"/>
      <c r="P52" s="526"/>
      <c r="Q52" s="1490"/>
      <c r="R52" s="526"/>
      <c r="S52" s="1468"/>
      <c r="T52" s="1471" t="s">
        <v>438</v>
      </c>
      <c r="U52" s="1470"/>
      <c r="V52" s="1470"/>
      <c r="W52" s="1470"/>
      <c r="X52" s="1470"/>
      <c r="Y52" s="1470"/>
      <c r="Z52" s="1470"/>
      <c r="AA52" s="1470"/>
      <c r="AB52" s="1470"/>
      <c r="AC52" s="1470"/>
      <c r="AD52" s="1470"/>
      <c r="AE52" s="1470"/>
      <c r="AF52" s="1470"/>
      <c r="AG52" s="1470"/>
      <c r="AH52" s="1470"/>
      <c r="AI52" s="1470"/>
      <c r="AJ52" s="1470"/>
      <c r="AK52" s="1470"/>
      <c r="AM52" s="646"/>
      <c r="AN52" s="646" t="str">
        <f>IF(T52="","",T52)</f>
        <v>Добавить территорию для дифференциации</v>
      </c>
      <c r="AO52" s="646"/>
      <c r="AP52" s="646"/>
      <c r="AQ52" s="657">
        <v>0</v>
      </c>
    </row>
    <row s="6720" customFormat="1" customHeight="1" ht="0">
      <c r="A53" s="1460"/>
      <c r="B53" s="1460"/>
      <c r="C53" s="1460"/>
      <c r="D53" s="1460"/>
      <c r="E53" s="1489"/>
      <c r="F53" s="1460"/>
      <c r="G53" s="1460"/>
      <c r="H53" s="1460"/>
      <c r="I53" s="1460"/>
      <c r="J53" s="1460"/>
      <c r="K53" s="1460"/>
      <c r="L53" s="1572"/>
      <c r="M53" s="1467"/>
      <c r="N53" s="1467"/>
      <c r="P53" s="1462"/>
      <c r="Q53" s="1463"/>
      <c r="R53" s="1462"/>
      <c r="S53" s="1468"/>
      <c r="T53" s="1471" t="s">
        <v>470</v>
      </c>
      <c r="U53" s="1470"/>
      <c r="V53" s="1470"/>
      <c r="W53" s="1470"/>
      <c r="X53" s="1470"/>
      <c r="Y53" s="1470"/>
      <c r="Z53" s="1470"/>
      <c r="AA53" s="1470"/>
      <c r="AB53" s="1470"/>
      <c r="AC53" s="1470"/>
      <c r="AD53" s="1470"/>
      <c r="AE53" s="1470"/>
      <c r="AF53" s="1470"/>
      <c r="AG53" s="1470"/>
      <c r="AH53" s="1470"/>
      <c r="AI53" s="1470"/>
      <c r="AJ53" s="1470"/>
      <c r="AK53" s="1470"/>
      <c r="AM53" s="935"/>
      <c r="AN53" s="935" t="str">
        <f>IF(T53="","",T53)</f>
        <v>Добавить наименование тарифа</v>
      </c>
      <c r="AO53" s="935"/>
      <c r="AP53" s="935"/>
      <c r="AQ53" s="664">
        <v>0</v>
      </c>
    </row>
    <row customHeight="1" ht="11.549999999999999">
      <c r="M54" s="1306"/>
      <c r="N54" s="1306"/>
      <c r="O54" s="683"/>
      <c r="P54" s="1301"/>
      <c r="Q54" s="1301"/>
      <c r="R54" s="1301"/>
      <c r="S54" s="1301"/>
      <c r="AL54" s="1301"/>
      <c r="AM54" s="1301"/>
      <c r="AN54" s="1301"/>
      <c r="AO54" s="1301"/>
      <c r="AP54" s="1301"/>
      <c r="AQ54" s="1301">
        <v>11</v>
      </c>
    </row>
    <row customHeight="1" ht="14.699999999999998">
      <c r="O55" s="683"/>
      <c r="S55" s="1399"/>
      <c r="T55" s="2444"/>
      <c r="U55" s="2444"/>
      <c r="V55" s="2444"/>
      <c r="W55" s="2444"/>
      <c r="X55" s="2444"/>
      <c r="Y55" s="2444"/>
      <c r="Z55" s="2444"/>
      <c r="AA55" s="2444"/>
      <c r="AB55" s="2444"/>
      <c r="AC55" s="2444"/>
      <c r="AD55" s="2444"/>
      <c r="AE55" s="2444"/>
      <c r="AF55" s="2444"/>
      <c r="AG55" s="2444"/>
      <c r="AH55" s="2444"/>
      <c r="AI55" s="2444"/>
      <c r="AJ55" s="2444"/>
      <c r="AK55" s="2444"/>
      <c r="AQ55" s="1301">
        <v>14</v>
      </c>
    </row>
    <row customHeight="1" ht="14.699999999999998">
      <c r="O56" s="683"/>
      <c r="AQ56" s="1301">
        <v>14</v>
      </c>
    </row>
    <row customHeight="1" ht="14.699999999999998">
      <c r="O57" s="683"/>
      <c r="S57" s="1399"/>
      <c r="T57" s="2444"/>
      <c r="U57" s="2444"/>
      <c r="V57" s="2444"/>
      <c r="W57" s="2444"/>
      <c r="X57" s="2444"/>
      <c r="Y57" s="2444"/>
      <c r="Z57" s="2444"/>
      <c r="AA57" s="2444"/>
      <c r="AB57" s="2444"/>
      <c r="AC57" s="2444"/>
      <c r="AD57" s="2444"/>
      <c r="AE57" s="2444"/>
      <c r="AF57" s="2444"/>
      <c r="AG57" s="2444"/>
      <c r="AH57" s="2444"/>
      <c r="AI57" s="2444"/>
      <c r="AJ57" s="2444"/>
      <c r="AK57" s="2444"/>
      <c r="AQ57" s="1301">
        <v>14</v>
      </c>
    </row>
    <row customHeight="1" ht="22.5" hidden="1">
      <c r="A58" s="1306" t="s">
        <v>83</v>
      </c>
      <c r="B58" s="1306">
        <v>0</v>
      </c>
      <c r="C58" s="1306">
        <v>0</v>
      </c>
      <c r="D58" s="1306">
        <v>0</v>
      </c>
      <c r="E58" s="1306">
        <v>0</v>
      </c>
      <c r="F58" s="1306">
        <v>0</v>
      </c>
      <c r="G58" s="1306">
        <v>0</v>
      </c>
      <c r="H58" s="1306">
        <v>0</v>
      </c>
      <c r="I58" s="1306">
        <v>0</v>
      </c>
      <c r="J58" s="1306">
        <v>0</v>
      </c>
      <c r="K58" s="1306">
        <v>0</v>
      </c>
      <c r="L58" s="1567">
        <v>0</v>
      </c>
      <c r="M58" s="1508">
        <v>0</v>
      </c>
      <c r="N58" s="1508">
        <v>0</v>
      </c>
      <c r="O58" s="1508">
        <v>0</v>
      </c>
      <c r="P58" s="1497">
        <v>3</v>
      </c>
      <c r="Q58" s="490">
        <v>3</v>
      </c>
      <c r="R58" s="490">
        <v>3</v>
      </c>
      <c r="S58" s="727">
        <v>12</v>
      </c>
      <c r="T58" s="1301">
        <v>35</v>
      </c>
      <c r="U58" s="1301">
        <v>0</v>
      </c>
      <c r="V58" s="1301">
        <v>0</v>
      </c>
      <c r="W58" s="1301">
        <v>0</v>
      </c>
      <c r="X58" s="1301">
        <v>0</v>
      </c>
      <c r="Y58" s="1301">
        <v>0</v>
      </c>
      <c r="Z58" s="1301">
        <v>0</v>
      </c>
      <c r="AA58" s="1301">
        <v>0</v>
      </c>
      <c r="AB58" s="1301">
        <v>0</v>
      </c>
      <c r="AC58" s="1301">
        <v>24</v>
      </c>
      <c r="AD58" s="1301">
        <v>24</v>
      </c>
      <c r="AE58" s="1301">
        <v>24</v>
      </c>
      <c r="AF58" s="1301">
        <v>11</v>
      </c>
      <c r="AG58" s="1301">
        <v>3</v>
      </c>
      <c r="AH58" s="1301">
        <v>11</v>
      </c>
      <c r="AI58" s="1301">
        <v>0</v>
      </c>
      <c r="AJ58" s="1301">
        <v>4</v>
      </c>
      <c r="AK58" s="1301">
        <v>115</v>
      </c>
      <c r="AL58" s="657">
        <v>10</v>
      </c>
      <c r="AM58" s="657">
        <v>10</v>
      </c>
      <c r="AN58" s="657">
        <v>10</v>
      </c>
      <c r="AO58" s="657">
        <v>10</v>
      </c>
      <c r="AP58" s="657">
        <v>10</v>
      </c>
      <c r="AQ58" s="130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88B5E7-15A4-E23F-9C51-0.8BE4E11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4" style="7235" width="24.7109375" hidden="1" customWidth="1"/>
    <col min="25" max="25" style="7235" width="11.7109375" hidden="1" customWidth="1"/>
    <col min="26" max="26" style="7235" width="3.7109375" hidden="1" customWidth="1"/>
    <col min="27" max="27" style="7235" width="11.7109375" hidden="1" customWidth="1"/>
    <col min="28" max="28" style="7235" width="8.57421875" hidden="1" customWidth="1"/>
    <col min="29" max="29" style="7235" width="24.7109375" customWidth="1"/>
    <col min="30" max="31" style="7235" width="24.00390625" customWidth="1"/>
    <col min="32" max="32" style="7235" width="11.00390625" customWidth="1"/>
    <col min="33" max="33" style="7235" width="3.7109375" customWidth="1"/>
    <col min="34" max="34" style="7235" width="11.00390625" customWidth="1"/>
    <col min="35" max="35" style="7235" width="8.57421875" hidden="1" customWidth="1"/>
    <col min="36" max="36" style="7235" width="4.00390625" customWidth="1"/>
    <col min="37" max="37" style="7235" width="115.00390625" customWidth="1"/>
    <col min="38" max="42" style="6720" width="10.00390625" customWidth="1"/>
    <col min="43" max="43" style="7235" width="10.57421875" hidden="1"/>
  </cols>
  <sheetData>
    <row customHeight="1" ht="22.5" hidden="1">
      <c r="X1" s="473"/>
      <c r="Y1" s="473"/>
      <c r="AE1" s="473"/>
      <c r="AF1" s="473"/>
      <c r="AQ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603">
        <f>INDEX(PT_DIFFERENTIATION_NUM_NTAR,MATCH(A2,PT_DIFFERENTIATION_NTAR_ID,0))</f>
      </c>
      <c r="T2" s="444" t="s">
        <v>147</v>
      </c>
      <c r="U2" s="446"/>
      <c r="V2" s="2401"/>
      <c r="W2" s="2402"/>
      <c r="X2" s="2402"/>
      <c r="Y2" s="2402"/>
      <c r="Z2" s="2402"/>
      <c r="AA2" s="2402"/>
      <c r="AB2" s="2403"/>
      <c r="AC2" s="2401">
        <f>INDEX(PT_DIFFERENTIATION_NTAR,MATCH(A2,PT_DIFFERENTIATION_NTAR_ID,0))</f>
      </c>
      <c r="AD2" s="2402"/>
      <c r="AE2" s="2402"/>
      <c r="AF2" s="2402"/>
      <c r="AG2" s="2402"/>
      <c r="AH2" s="2402"/>
      <c r="AI2" s="2402"/>
      <c r="AJ2" s="2403"/>
      <c r="AK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46"/>
      <c r="AN2" s="646" t="str">
        <f>IF(T2="","",T2)</f>
        <v>Наименование тарифа</v>
      </c>
      <c r="AO2" s="646"/>
      <c r="AP2" s="646"/>
      <c r="AQ2" s="1301">
        <v>0</v>
      </c>
    </row>
    <row customHeight="1" ht="23.25" hidden="1">
      <c r="A3" s="1509"/>
      <c r="B3" s="1509"/>
      <c r="C3" s="1509"/>
      <c r="D3" s="1509"/>
      <c r="E3" s="2418"/>
      <c r="F3" s="2417">
        <v>1</v>
      </c>
      <c r="G3" s="1509"/>
      <c r="H3" s="1509"/>
      <c r="I3" s="1509"/>
      <c r="J3" s="1509"/>
      <c r="K3" s="1509"/>
      <c r="L3" s="1510"/>
      <c r="M3" s="1511"/>
      <c r="N3" s="1511"/>
      <c r="O3" s="1511"/>
      <c r="P3" s="1599"/>
      <c r="Q3" s="498"/>
      <c r="R3" s="499"/>
      <c r="S3" s="1603">
        <f>INDEX(PT_DIFFERENTIATION_NUM_TER,MATCH(B3,PT_DIFFERENTIATION_TER_ID,0))</f>
      </c>
      <c r="T3" s="454" t="s">
        <v>419</v>
      </c>
      <c r="U3" s="446"/>
      <c r="V3" s="2401"/>
      <c r="W3" s="2402"/>
      <c r="X3" s="2402"/>
      <c r="Y3" s="2402"/>
      <c r="Z3" s="2402"/>
      <c r="AA3" s="2402"/>
      <c r="AB3" s="2403"/>
      <c r="AC3" s="2401">
        <f>INDEX(PT_DIFFERENTIATION_TER,MATCH(B3,PT_DIFFERENTIATION_TER_ID,0))</f>
      </c>
      <c r="AD3" s="2402"/>
      <c r="AE3" s="2402"/>
      <c r="AF3" s="2402"/>
      <c r="AG3" s="2402"/>
      <c r="AH3" s="2402"/>
      <c r="AI3" s="2402"/>
      <c r="AJ3" s="2403"/>
      <c r="AK3" s="1404" t="s">
        <v>420</v>
      </c>
      <c r="AM3" s="646"/>
      <c r="AN3" s="646" t="str">
        <f>IF(T3="","",T3)</f>
        <v>Территория действия тарифа</v>
      </c>
      <c r="AO3" s="646"/>
      <c r="AP3" s="646"/>
      <c r="AQ3" s="1301">
        <v>0</v>
      </c>
    </row>
    <row customHeight="1" ht="23.25" hidden="1">
      <c r="A4" s="1509"/>
      <c r="B4" s="1509"/>
      <c r="C4" s="1509"/>
      <c r="D4" s="1509"/>
      <c r="E4" s="2418"/>
      <c r="F4" s="2418"/>
      <c r="G4" s="2417">
        <v>1</v>
      </c>
      <c r="H4" s="1509"/>
      <c r="I4" s="1509"/>
      <c r="J4" s="1509"/>
      <c r="K4" s="1509"/>
      <c r="L4" s="1510"/>
      <c r="M4" s="1511"/>
      <c r="N4" s="1511"/>
      <c r="O4" s="1511"/>
      <c r="P4" s="500"/>
      <c r="Q4" s="498"/>
      <c r="R4" s="499"/>
      <c r="S4" s="1603">
        <f>INDEX(PT_DIFFERENTIATION_NUM_CS,MATCH(C4,PT_DIFFERENTIATION_CS_ID,0))</f>
      </c>
      <c r="T4" s="455" t="s">
        <v>503</v>
      </c>
      <c r="U4" s="446"/>
      <c r="V4" s="2401"/>
      <c r="W4" s="2402"/>
      <c r="X4" s="2402"/>
      <c r="Y4" s="2402"/>
      <c r="Z4" s="2402"/>
      <c r="AA4" s="2402"/>
      <c r="AB4" s="2403"/>
      <c r="AC4" s="2401">
        <f>INDEX(PT_DIFFERENTIATION_CS,MATCH(C4,PT_DIFFERENTIATION_CS_ID,0))</f>
      </c>
      <c r="AD4" s="2402"/>
      <c r="AE4" s="2402"/>
      <c r="AF4" s="2402"/>
      <c r="AG4" s="2402"/>
      <c r="AH4" s="2402"/>
      <c r="AI4" s="2402"/>
      <c r="AJ4" s="2403"/>
      <c r="AK4" s="1404" t="s">
        <v>504</v>
      </c>
      <c r="AM4" s="646"/>
      <c r="AN4" s="646" t="str">
        <f>IF(T4="","",T4)</f>
        <v>Наименование централизованной системы холодного водоснабжения</v>
      </c>
      <c r="AO4" s="646"/>
      <c r="AP4" s="646"/>
      <c r="AQ4" s="1301">
        <v>0</v>
      </c>
    </row>
    <row customHeight="1" ht="23.25" hidden="1">
      <c r="A5" s="1509"/>
      <c r="B5" s="1509"/>
      <c r="C5" s="1509"/>
      <c r="D5" s="1509"/>
      <c r="E5" s="2418"/>
      <c r="F5" s="2418"/>
      <c r="G5" s="2418"/>
      <c r="H5" s="2418"/>
      <c r="I5" s="2415">
        <f>S4&amp;".1"</f>
      </c>
      <c r="J5" s="1509"/>
      <c r="K5" s="1509"/>
      <c r="L5" s="1510"/>
      <c r="P5" s="2416">
        <v>1</v>
      </c>
      <c r="Q5" s="1596"/>
      <c r="R5" s="502"/>
      <c r="S5" s="1603">
        <f>$I5</f>
      </c>
      <c r="T5" s="431" t="s">
        <v>505</v>
      </c>
      <c r="U5" s="446"/>
      <c r="V5" s="2509"/>
      <c r="W5" s="2510"/>
      <c r="X5" s="2510"/>
      <c r="Y5" s="2510"/>
      <c r="Z5" s="2510"/>
      <c r="AA5" s="2510"/>
      <c r="AB5" s="2511"/>
      <c r="AC5" s="2512"/>
      <c r="AD5" s="2513"/>
      <c r="AE5" s="2513"/>
      <c r="AF5" s="2513"/>
      <c r="AG5" s="2513"/>
      <c r="AH5" s="2513"/>
      <c r="AI5" s="2513"/>
      <c r="AJ5" s="2514"/>
      <c r="AK5" s="1404" t="s">
        <v>506</v>
      </c>
      <c r="AM5" s="646"/>
      <c r="AN5" s="646" t="str">
        <f>IF(T5="","",T5)</f>
        <v>Наименование признака дифференциации</v>
      </c>
      <c r="AO5" s="646"/>
      <c r="AP5" s="646"/>
      <c r="AQ5" s="1301">
        <v>0</v>
      </c>
    </row>
    <row customHeight="1" ht="23.25" hidden="1">
      <c r="A6" s="1509"/>
      <c r="B6" s="1509"/>
      <c r="C6" s="1509"/>
      <c r="D6" s="1509"/>
      <c r="E6" s="2418"/>
      <c r="F6" s="2418"/>
      <c r="G6" s="2418"/>
      <c r="H6" s="2418"/>
      <c r="I6" s="2445"/>
      <c r="J6" s="2415">
        <f>I5&amp;".1"</f>
      </c>
      <c r="K6" s="1509"/>
      <c r="L6" s="1510" t="s">
        <v>428</v>
      </c>
      <c r="P6" s="2416"/>
      <c r="Q6" s="2416">
        <v>1</v>
      </c>
      <c r="R6" s="503"/>
      <c r="S6" s="1603">
        <f>$J6</f>
      </c>
      <c r="T6" s="432" t="s">
        <v>429</v>
      </c>
      <c r="U6" s="446"/>
      <c r="V6" s="2404"/>
      <c r="W6" s="2405"/>
      <c r="X6" s="2405"/>
      <c r="Y6" s="2405"/>
      <c r="Z6" s="2405"/>
      <c r="AA6" s="2405"/>
      <c r="AB6" s="2406"/>
      <c r="AC6" s="2404"/>
      <c r="AD6" s="2405"/>
      <c r="AE6" s="2405"/>
      <c r="AF6" s="2405"/>
      <c r="AG6" s="2405"/>
      <c r="AH6" s="2405"/>
      <c r="AI6" s="2405"/>
      <c r="AJ6" s="2406"/>
      <c r="AK6" s="1453" t="s">
        <v>507</v>
      </c>
      <c r="AM6" s="646"/>
      <c r="AN6" s="646" t="str">
        <f>IF(T6="","",T6)</f>
        <v>Группа потребителей</v>
      </c>
      <c r="AO6" s="646"/>
      <c r="AP6" s="646"/>
      <c r="AQ6" s="1301">
        <v>0</v>
      </c>
    </row>
    <row customHeight="1" ht="23.25" hidden="1">
      <c r="A7" s="1509"/>
      <c r="B7" s="1509"/>
      <c r="C7" s="1509"/>
      <c r="D7" s="1509"/>
      <c r="E7" s="2418"/>
      <c r="F7" s="2418"/>
      <c r="G7" s="2418"/>
      <c r="H7" s="2418"/>
      <c r="I7" s="2445"/>
      <c r="J7" s="2445"/>
      <c r="K7" s="2415">
        <f>J6&amp;".1"</f>
      </c>
      <c r="L7" s="1510"/>
      <c r="P7" s="2416"/>
      <c r="Q7" s="2416"/>
      <c r="R7" s="503">
        <v>1</v>
      </c>
      <c r="S7" s="1603">
        <f>$K7</f>
      </c>
      <c r="T7" s="1583"/>
      <c r="U7" s="446"/>
      <c r="V7" s="897"/>
      <c r="W7" s="897"/>
      <c r="X7" s="1403"/>
      <c r="Y7" s="2424"/>
      <c r="Z7" s="2266" t="s">
        <v>63</v>
      </c>
      <c r="AA7" s="2424"/>
      <c r="AB7" s="2266" t="s">
        <v>63</v>
      </c>
      <c r="AC7" s="897"/>
      <c r="AD7" s="897"/>
      <c r="AE7" s="1403"/>
      <c r="AF7" s="2424"/>
      <c r="AG7" s="2266" t="s">
        <v>63</v>
      </c>
      <c r="AH7" s="2446"/>
      <c r="AI7" s="2266" t="s">
        <v>63</v>
      </c>
      <c r="AJ7" s="1584"/>
      <c r="AK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7">
        <f>STRCHECKDATE(V8:AJ8)</f>
      </c>
      <c r="AM7" s="646"/>
      <c r="AN7" s="646" t="str">
        <f>IF(T7="","",T7)</f>
        <v/>
      </c>
      <c r="AO7" s="646"/>
      <c r="AP7" s="646"/>
      <c r="AQ7" s="1301">
        <v>0</v>
      </c>
    </row>
    <row customHeight="1" ht="14.25" hidden="1">
      <c r="A8" s="1509"/>
      <c r="B8" s="1509"/>
      <c r="C8" s="1509"/>
      <c r="D8" s="1509"/>
      <c r="E8" s="2418"/>
      <c r="F8" s="2418"/>
      <c r="G8" s="2418"/>
      <c r="H8" s="2418"/>
      <c r="I8" s="2445"/>
      <c r="J8" s="2445"/>
      <c r="K8" s="2415"/>
      <c r="L8" s="1510"/>
      <c r="P8" s="2416"/>
      <c r="Q8" s="2416"/>
      <c r="R8" s="503"/>
      <c r="S8" s="1602"/>
      <c r="T8" s="446"/>
      <c r="U8" s="446"/>
      <c r="V8" s="471"/>
      <c r="W8" s="471"/>
      <c r="X8" s="474" t="str">
        <f>Y7&amp;"-"&amp;AA7</f>
        <v>-</v>
      </c>
      <c r="Y8" s="2425"/>
      <c r="Z8" s="2266"/>
      <c r="AA8" s="2425"/>
      <c r="AB8" s="2266"/>
      <c r="AC8" s="471"/>
      <c r="AD8" s="471"/>
      <c r="AE8" s="474" t="str">
        <f>AF7&amp;"-"&amp;AH7</f>
        <v>-</v>
      </c>
      <c r="AF8" s="2425"/>
      <c r="AG8" s="2266"/>
      <c r="AH8" s="2447"/>
      <c r="AI8" s="2266"/>
      <c r="AJ8" s="1585"/>
      <c r="AK8" s="2508"/>
      <c r="AM8" s="646"/>
      <c r="AN8" s="646" t="str">
        <f>IF(T8="","",T8)</f>
        <v/>
      </c>
      <c r="AO8" s="646"/>
      <c r="AP8" s="646"/>
      <c r="AQ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513"/>
      <c r="X9" s="513"/>
      <c r="Y9" s="513"/>
      <c r="Z9" s="513"/>
      <c r="AA9" s="513"/>
      <c r="AB9" s="513"/>
      <c r="AC9" s="513"/>
      <c r="AD9" s="513"/>
      <c r="AE9" s="513"/>
      <c r="AF9" s="513"/>
      <c r="AG9" s="513"/>
      <c r="AH9" s="513"/>
      <c r="AI9" s="513"/>
      <c r="AJ9" s="513"/>
      <c r="AK9" s="1404" t="s">
        <v>509</v>
      </c>
      <c r="AM9" s="646"/>
      <c r="AN9" s="646" t="str">
        <f>IF(T9="","",T9)</f>
        <v>Добавить значение признака дифференциации</v>
      </c>
      <c r="AO9" s="646"/>
      <c r="AP9" s="646"/>
      <c r="AQ9" s="1301">
        <v>0</v>
      </c>
    </row>
    <row customHeight="1" ht="21" hidden="1">
      <c r="A10" s="1509"/>
      <c r="B10" s="1509"/>
      <c r="C10" s="1509"/>
      <c r="D10" s="1509"/>
      <c r="E10" s="2418"/>
      <c r="F10" s="2418"/>
      <c r="G10" s="2418"/>
      <c r="H10" s="2418"/>
      <c r="I10" s="2415"/>
      <c r="J10" s="1509"/>
      <c r="K10" s="1509"/>
      <c r="L10" s="1510"/>
      <c r="P10" s="2416"/>
      <c r="Q10" s="1596"/>
      <c r="R10" s="502"/>
      <c r="S10" s="1424"/>
      <c r="T10" s="511" t="s">
        <v>434</v>
      </c>
      <c r="U10" s="513"/>
      <c r="V10" s="513"/>
      <c r="W10" s="513"/>
      <c r="X10" s="513"/>
      <c r="Y10" s="513"/>
      <c r="Z10" s="513"/>
      <c r="AA10" s="513"/>
      <c r="AB10" s="512"/>
      <c r="AC10" s="513"/>
      <c r="AD10" s="513"/>
      <c r="AE10" s="513"/>
      <c r="AF10" s="513"/>
      <c r="AG10" s="513"/>
      <c r="AH10" s="513"/>
      <c r="AI10" s="512"/>
      <c r="AJ10" s="513"/>
      <c r="AK10" s="1586"/>
      <c r="AM10" s="646"/>
      <c r="AN10" s="646" t="str">
        <f>IF(T10="","",T10)</f>
        <v>Добавить группу потребителей</v>
      </c>
      <c r="AO10" s="646"/>
      <c r="AP10" s="646"/>
      <c r="AQ10" s="1301">
        <v>0</v>
      </c>
    </row>
    <row customHeight="1" ht="21"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513"/>
      <c r="X11" s="513"/>
      <c r="Y11" s="513"/>
      <c r="Z11" s="513"/>
      <c r="AA11" s="513"/>
      <c r="AB11" s="512"/>
      <c r="AC11" s="513"/>
      <c r="AD11" s="513"/>
      <c r="AE11" s="513"/>
      <c r="AF11" s="513"/>
      <c r="AG11" s="513"/>
      <c r="AH11" s="513"/>
      <c r="AI11" s="512"/>
      <c r="AJ11" s="513"/>
      <c r="AK11" s="449"/>
      <c r="AM11" s="646"/>
      <c r="AN11" s="646" t="str">
        <f>IF(T11="","",T11)</f>
        <v>Добавить наименование признака дифференциации</v>
      </c>
      <c r="AO11" s="646"/>
      <c r="AP11" s="646"/>
      <c r="AQ11" s="1301">
        <v>0</v>
      </c>
    </row>
    <row s="6720" customFormat="1" customHeight="1" ht="14.25" hidden="1">
      <c r="A12" s="1489"/>
      <c r="B12" s="1489"/>
      <c r="C12" s="1460"/>
      <c r="D12" s="1460"/>
      <c r="E12" s="2418"/>
      <c r="F12" s="2417"/>
      <c r="G12" s="1460"/>
      <c r="H12" s="1460"/>
      <c r="I12" s="1460"/>
      <c r="J12" s="1460"/>
      <c r="K12" s="1460"/>
      <c r="L12" s="1604"/>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M12" s="935"/>
      <c r="AN12" s="935" t="str">
        <f>IF(T12="","",T12)</f>
        <v>Добавить централизованную систему для дифференциации</v>
      </c>
      <c r="AO12" s="935"/>
      <c r="AP12" s="935"/>
      <c r="AQ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M13" s="646"/>
      <c r="AN13" s="646" t="str">
        <f>IF(T13="","",T13)</f>
        <v>Добавить территорию для дифференциации</v>
      </c>
      <c r="AO13" s="646"/>
      <c r="AP13" s="646"/>
      <c r="AQ13" s="657">
        <v>0</v>
      </c>
    </row>
    <row customHeight="1" ht="14.25" hidden="1">
      <c r="AB14" s="473"/>
      <c r="AI14" s="473"/>
      <c r="AQ14" s="1301">
        <v>0</v>
      </c>
    </row>
    <row customHeight="1" ht="14.25" hidden="1">
      <c r="AC15" s="1506"/>
      <c r="AD15" s="1506"/>
      <c r="AE15" s="1507"/>
      <c r="AF15" s="2426"/>
      <c r="AG15" s="2427" t="s">
        <v>63</v>
      </c>
      <c r="AH15" s="2426"/>
      <c r="AI15" s="2427" t="s">
        <v>63</v>
      </c>
      <c r="AQ15" s="1301">
        <v>0</v>
      </c>
    </row>
    <row customHeight="1" ht="14.25" hidden="1">
      <c r="AC16" s="1506"/>
      <c r="AD16" s="1506"/>
      <c r="AE16" s="474" t="str">
        <f>AF15&amp;"-"&amp;AH15</f>
        <v>-</v>
      </c>
      <c r="AF16" s="2427"/>
      <c r="AG16" s="2427"/>
      <c r="AH16" s="2427"/>
      <c r="AI16" s="2427"/>
      <c r="AQ16" s="1301">
        <v>0</v>
      </c>
    </row>
    <row customHeight="1" ht="14.25" hidden="1">
      <c r="AI17" s="473"/>
      <c r="AQ17" s="1301">
        <v>0</v>
      </c>
    </row>
    <row s="7180" customFormat="1" customHeight="1" ht="22.5" hidden="1">
      <c r="L18" s="1593"/>
      <c r="M18" s="1508"/>
      <c r="N18" s="1508"/>
      <c r="O18" s="1513" t="s">
        <v>439</v>
      </c>
      <c r="P18" s="1508"/>
      <c r="Q18" s="1517"/>
      <c r="R18" s="1517"/>
      <c r="S18" s="875"/>
      <c r="Y18" s="1513"/>
      <c r="AA18" s="1513"/>
      <c r="AB18" s="1512"/>
      <c r="AF18" s="1513"/>
      <c r="AH18" s="1513"/>
      <c r="AI18" s="1512"/>
      <c r="AL18" s="657"/>
      <c r="AM18" s="657"/>
      <c r="AN18" s="657"/>
      <c r="AO18" s="657"/>
      <c r="AP18" s="657"/>
      <c r="AQ18" s="1306">
        <v>0</v>
      </c>
    </row>
    <row s="7180" customFormat="1" customHeight="1" ht="14.25" hidden="1">
      <c r="L19" s="1593"/>
      <c r="M19" s="1508"/>
      <c r="N19" s="1508"/>
      <c r="O19" s="1508"/>
      <c r="P19" s="1508"/>
      <c r="Q19" s="1517"/>
      <c r="R19" s="1517"/>
      <c r="S19" s="875"/>
      <c r="AB19" s="1512"/>
      <c r="AI19" s="1512"/>
      <c r="AL19" s="657"/>
      <c r="AM19" s="657"/>
      <c r="AN19" s="657"/>
      <c r="AO19" s="657"/>
      <c r="AP19" s="657"/>
      <c r="AQ19" s="1306">
        <v>0</v>
      </c>
    </row>
    <row s="7180" customFormat="1" customHeight="1" ht="12" hidden="1">
      <c r="L20" s="1593"/>
      <c r="M20" s="1508"/>
      <c r="N20" s="1508"/>
      <c r="O20" s="1510" t="s">
        <v>440</v>
      </c>
      <c r="P20" s="1508"/>
      <c r="Q20" s="1588"/>
      <c r="R20" s="1588"/>
      <c r="S20" s="875"/>
      <c r="T20" s="1306" t="s">
        <v>441</v>
      </c>
      <c r="Z20" s="332" t="s">
        <v>442</v>
      </c>
      <c r="AB20" s="332" t="s">
        <v>443</v>
      </c>
      <c r="AC20" s="1306" t="s">
        <v>441</v>
      </c>
      <c r="AG20" s="332" t="s">
        <v>444</v>
      </c>
      <c r="AI20" s="332" t="s">
        <v>443</v>
      </c>
      <c r="AQ20" s="1306">
        <v>0</v>
      </c>
    </row>
    <row customHeight="1" ht="14.25" hidden="1">
      <c r="O21" s="1510"/>
      <c r="AQ21" s="1301">
        <v>0</v>
      </c>
    </row>
    <row customHeight="1" ht="14.25" hidden="1">
      <c r="O22" s="1510"/>
      <c r="AQ22" s="1301">
        <v>0</v>
      </c>
    </row>
    <row customHeight="1" ht="14.699999999999998">
      <c r="Q23" s="522"/>
      <c r="R23" s="522"/>
      <c r="S23" s="1421"/>
      <c r="T23" s="509"/>
      <c r="U23" s="509"/>
      <c r="V23" s="655"/>
      <c r="W23" s="655"/>
      <c r="X23" s="655"/>
      <c r="Y23" s="655"/>
      <c r="Z23" s="655"/>
      <c r="AA23" s="655"/>
      <c r="AB23" s="655"/>
      <c r="AC23" s="655"/>
      <c r="AD23" s="655"/>
      <c r="AE23" s="655"/>
      <c r="AF23" s="655"/>
      <c r="AG23" s="655"/>
      <c r="AH23" s="655"/>
      <c r="AI23" s="655"/>
      <c r="AQ23" s="1301">
        <v>14</v>
      </c>
    </row>
    <row customHeight="1" ht="14.699999999999998">
      <c r="Q24" s="522"/>
      <c r="R24" s="522"/>
      <c r="S24" s="24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7"/>
      <c r="U24" s="2407"/>
      <c r="V24" s="2407"/>
      <c r="W24" s="2407"/>
      <c r="X24" s="2407"/>
      <c r="Y24" s="2407"/>
      <c r="Z24" s="2407"/>
      <c r="AA24" s="2407"/>
      <c r="AB24" s="2407"/>
      <c r="AC24" s="2407"/>
      <c r="AD24" s="2407"/>
      <c r="AE24" s="2407"/>
      <c r="AF24" s="2407"/>
      <c r="AG24" s="2407"/>
      <c r="AH24" s="2407"/>
      <c r="AI24" s="1389"/>
      <c r="AQ24" s="1301">
        <v>14</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1389"/>
      <c r="AQ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655"/>
      <c r="AQ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472"/>
      <c r="AC27" s="2410" t="str">
        <f>IF(TITLE_NAME_OR_PR_CHANGE="",IF(TITLE_NAME_OR_PR="","",TITLE_NAME_OR_PR),TITLE_NAME_OR_PR_CHANGE)</f>
        <v/>
      </c>
      <c r="AD27" s="2410"/>
      <c r="AE27" s="2410"/>
      <c r="AF27" s="2410"/>
      <c r="AG27" s="2410"/>
      <c r="AH27" s="2410"/>
      <c r="AI27" s="472"/>
      <c r="AJ27" s="472"/>
      <c r="AK27" s="426"/>
      <c r="AL27" s="514"/>
      <c r="AM27" s="514"/>
      <c r="AN27" s="514"/>
      <c r="AO27" s="514"/>
      <c r="AP27" s="514"/>
      <c r="AQ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472"/>
      <c r="AC28" s="2423" t="str">
        <f>IF(TITLE_DATE_PR_CHANGE="",IF(TITLE_DATE_PR="","",TITLE_DATE_PR),TITLE_DATE_PR_CHANGE)</f>
        <v/>
      </c>
      <c r="AD28" s="2423"/>
      <c r="AE28" s="2423"/>
      <c r="AF28" s="2423"/>
      <c r="AG28" s="2423"/>
      <c r="AH28" s="2423"/>
      <c r="AI28" s="472"/>
      <c r="AJ28" s="472"/>
      <c r="AK28" s="426"/>
      <c r="AL28" s="514"/>
      <c r="AM28" s="514"/>
      <c r="AN28" s="514"/>
      <c r="AO28" s="514"/>
      <c r="AP28" s="514"/>
      <c r="AQ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472"/>
      <c r="AC29" s="2410" t="str">
        <f>IF(TITLE_NUMBER_PR_CHANGE="",IF(TITLE_NUMBER_PR="","",TITLE_NUMBER_PR),TITLE_NUMBER_PR_CHANGE)</f>
        <v/>
      </c>
      <c r="AD29" s="2410"/>
      <c r="AE29" s="2410"/>
      <c r="AF29" s="2410"/>
      <c r="AG29" s="2410"/>
      <c r="AH29" s="2410"/>
      <c r="AI29" s="472"/>
      <c r="AJ29" s="472"/>
      <c r="AK29" s="426"/>
      <c r="AL29" s="514"/>
      <c r="AM29" s="514"/>
      <c r="AN29" s="514"/>
      <c r="AO29" s="514"/>
      <c r="AP29" s="514"/>
      <c r="AQ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472"/>
      <c r="AC30" s="2410" t="str">
        <f>IF(TITLE_IST_PUB_CHANGE="",IF(TITLE_IST_PUB="","",TITLE_IST_PUB),TITLE_IST_PUB_CHANGE)</f>
        <v/>
      </c>
      <c r="AD30" s="2410"/>
      <c r="AE30" s="2410"/>
      <c r="AF30" s="2410"/>
      <c r="AG30" s="2410"/>
      <c r="AH30" s="2410"/>
      <c r="AI30" s="472"/>
      <c r="AJ30" s="472"/>
      <c r="AK30" s="426"/>
      <c r="AL30" s="514"/>
      <c r="AM30" s="514"/>
      <c r="AN30" s="514"/>
      <c r="AO30" s="514"/>
      <c r="AP30" s="514"/>
      <c r="AQ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655"/>
      <c r="AQ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472"/>
      <c r="AC32" s="2423" t="str">
        <f>IF(TITLE_DATE_PR_CHANGE="",IF(TITLE_DATE_PR="","",TITLE_DATE_PR),TITLE_DATE_PR_CHANGE)</f>
        <v/>
      </c>
      <c r="AD32" s="2423"/>
      <c r="AE32" s="2423"/>
      <c r="AF32" s="2423"/>
      <c r="AG32" s="2423"/>
      <c r="AH32" s="2423"/>
      <c r="AI32" s="472"/>
      <c r="AJ32" s="472"/>
      <c r="AK32" s="426"/>
      <c r="AL32" s="514"/>
      <c r="AM32" s="514"/>
      <c r="AN32" s="514"/>
      <c r="AO32" s="514"/>
      <c r="AP32" s="514"/>
      <c r="AQ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472"/>
      <c r="AC33" s="2410" t="str">
        <f>IF(TITLE_NUMBER_PR_CHANGE="",IF(TITLE_NUMBER_PR="","",TITLE_NUMBER_PR),TITLE_NUMBER_PR_CHANGE)</f>
        <v/>
      </c>
      <c r="AD33" s="2410"/>
      <c r="AE33" s="2410"/>
      <c r="AF33" s="2410"/>
      <c r="AG33" s="2410"/>
      <c r="AH33" s="2410"/>
      <c r="AI33" s="472"/>
      <c r="AJ33" s="472"/>
      <c r="AK33" s="426"/>
      <c r="AL33" s="514"/>
      <c r="AM33" s="514"/>
      <c r="AN33" s="514"/>
      <c r="AO33" s="514"/>
      <c r="AP33" s="514"/>
      <c r="AQ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600"/>
      <c r="V34" s="472"/>
      <c r="W34" s="472"/>
      <c r="X34" s="472"/>
      <c r="Y34" s="472"/>
      <c r="Z34" s="472"/>
      <c r="AA34" s="472"/>
      <c r="AB34" s="424" t="s">
        <v>449</v>
      </c>
      <c r="AC34" s="472"/>
      <c r="AD34" s="472"/>
      <c r="AE34" s="472"/>
      <c r="AF34" s="472"/>
      <c r="AG34" s="472"/>
      <c r="AH34" s="472"/>
      <c r="AI34" s="424" t="s">
        <v>449</v>
      </c>
      <c r="AL34" s="514"/>
      <c r="AM34" s="514"/>
      <c r="AN34" s="514"/>
      <c r="AO34" s="514"/>
      <c r="AP34" s="514"/>
      <c r="AQ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Q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t="s">
        <v>323</v>
      </c>
      <c r="AQ36" s="1301">
        <v>14</v>
      </c>
    </row>
    <row customHeight="1" ht="14.699999999999998">
      <c r="Q37" s="522"/>
      <c r="R37" s="522"/>
      <c r="S37" s="2432" t="s">
        <v>89</v>
      </c>
      <c r="T37" s="2368" t="s">
        <v>450</v>
      </c>
      <c r="U37" s="447"/>
      <c r="V37" s="2433" t="s">
        <v>451</v>
      </c>
      <c r="W37" s="2434"/>
      <c r="X37" s="2434"/>
      <c r="Y37" s="2434"/>
      <c r="Z37" s="2434"/>
      <c r="AA37" s="2435"/>
      <c r="AB37" s="2436" t="s">
        <v>452</v>
      </c>
      <c r="AC37" s="2433" t="s">
        <v>451</v>
      </c>
      <c r="AD37" s="2434"/>
      <c r="AE37" s="2434"/>
      <c r="AF37" s="2434"/>
      <c r="AG37" s="2434"/>
      <c r="AH37" s="2435"/>
      <c r="AI37" s="2436" t="s">
        <v>453</v>
      </c>
      <c r="AJ37" s="2439" t="s">
        <v>454</v>
      </c>
      <c r="AK37" s="2286"/>
      <c r="AQ37" s="1301">
        <v>14</v>
      </c>
    </row>
    <row customHeight="1" ht="35.699999999999996">
      <c r="Q38" s="522"/>
      <c r="R38" s="522"/>
      <c r="S38" s="2432"/>
      <c r="T38" s="2368"/>
      <c r="U38" s="1177"/>
      <c r="V38" s="1598" t="s">
        <v>511</v>
      </c>
      <c r="W38" s="2421" t="s">
        <v>457</v>
      </c>
      <c r="X38" s="2422"/>
      <c r="Y38" s="2421" t="s">
        <v>458</v>
      </c>
      <c r="Z38" s="2428"/>
      <c r="AA38" s="2422"/>
      <c r="AB38" s="2437"/>
      <c r="AC38" s="1598" t="s">
        <v>511</v>
      </c>
      <c r="AD38" s="2421" t="s">
        <v>457</v>
      </c>
      <c r="AE38" s="2422"/>
      <c r="AF38" s="2421" t="s">
        <v>458</v>
      </c>
      <c r="AG38" s="2428"/>
      <c r="AH38" s="2422"/>
      <c r="AI38" s="2437"/>
      <c r="AJ38" s="2440"/>
      <c r="AK38" s="2286"/>
      <c r="AQ38" s="1301">
        <v>34</v>
      </c>
    </row>
    <row customHeight="1" ht="35.699999999999996">
      <c r="A39" s="1516"/>
      <c r="B39" s="1516" t="s">
        <v>159</v>
      </c>
      <c r="C39" s="1516" t="s">
        <v>160</v>
      </c>
      <c r="D39" s="1516" t="s">
        <v>161</v>
      </c>
      <c r="E39" s="1510" t="s">
        <v>459</v>
      </c>
      <c r="F39" s="1510" t="s">
        <v>460</v>
      </c>
      <c r="G39" s="1510" t="s">
        <v>461</v>
      </c>
      <c r="H39" s="1510"/>
      <c r="I39" s="1510" t="s">
        <v>512</v>
      </c>
      <c r="J39" s="1510" t="s">
        <v>464</v>
      </c>
      <c r="K39" s="1510" t="s">
        <v>513</v>
      </c>
      <c r="L39" s="1510" t="s">
        <v>440</v>
      </c>
      <c r="Q39" s="522"/>
      <c r="R39" s="522"/>
      <c r="S39" s="2432"/>
      <c r="T39" s="2368"/>
      <c r="U39" s="448"/>
      <c r="V39" s="1598" t="s">
        <v>514</v>
      </c>
      <c r="W39" s="1368" t="s">
        <v>515</v>
      </c>
      <c r="X39" s="1368" t="s">
        <v>516</v>
      </c>
      <c r="Y39" s="1601" t="s">
        <v>468</v>
      </c>
      <c r="Z39" s="2429" t="s">
        <v>469</v>
      </c>
      <c r="AA39" s="2430"/>
      <c r="AB39" s="2438"/>
      <c r="AC39" s="1598" t="s">
        <v>514</v>
      </c>
      <c r="AD39" s="1368" t="s">
        <v>515</v>
      </c>
      <c r="AE39" s="1368" t="s">
        <v>516</v>
      </c>
      <c r="AF39" s="1601" t="s">
        <v>468</v>
      </c>
      <c r="AG39" s="2429" t="s">
        <v>469</v>
      </c>
      <c r="AH39" s="2430"/>
      <c r="AI39" s="2438"/>
      <c r="AJ39" s="2441"/>
      <c r="AK39" s="2286"/>
      <c r="AQ39" s="1301">
        <v>34</v>
      </c>
    </row>
    <row s="6314" customFormat="1" customHeight="1" ht="0">
      <c r="A40" s="1516"/>
      <c r="B40" s="1516"/>
      <c r="C40" s="1516"/>
      <c r="D40" s="1516"/>
      <c r="E40" s="1516"/>
      <c r="F40" s="1516"/>
      <c r="G40" s="1516"/>
      <c r="H40" s="1516"/>
      <c r="I40" s="1516"/>
      <c r="J40" s="1516"/>
      <c r="K40" s="1516"/>
      <c r="L40" s="1510"/>
      <c r="M40" s="1508"/>
      <c r="N40" s="1508"/>
      <c r="O40" s="1508"/>
      <c r="P40" s="1392"/>
      <c r="Q40" s="1393"/>
      <c r="R40" s="1400">
        <v>1</v>
      </c>
      <c r="S40" s="1423" t="s">
        <v>121</v>
      </c>
      <c r="T40" s="1401" t="s">
        <v>105</v>
      </c>
      <c r="U40" s="1391" t="str">
        <f>OFFSET(U40,0,-1)</f>
        <v>2</v>
      </c>
      <c r="V40" s="1597">
        <f>OFFSET(V40,0,-1)+1</f>
        <v>3</v>
      </c>
      <c r="W40" s="1597">
        <f>OFFSET(W40,0,-1)+1</f>
        <v>4</v>
      </c>
      <c r="X40" s="1597">
        <f>OFFSET(X40,0,-1)+1</f>
        <v>5</v>
      </c>
      <c r="Y40" s="1597">
        <f>OFFSET(Y40,0,-1)+1</f>
        <v>6</v>
      </c>
      <c r="Z40" s="2431">
        <f>OFFSET(Z40,0,-1)+1</f>
        <v>7</v>
      </c>
      <c r="AA40" s="2431"/>
      <c r="AB40" s="1597">
        <f>OFFSET(AB40,0,-2)+1</f>
        <v>8</v>
      </c>
      <c r="AC40" s="1597">
        <f>OFFSET(AC40,0,-1)+1</f>
        <v>9</v>
      </c>
      <c r="AD40" s="1597">
        <f>OFFSET(AD40,0,-1)+1</f>
        <v>10</v>
      </c>
      <c r="AE40" s="1597">
        <f>OFFSET(AE40,0,-1)+1</f>
        <v>11</v>
      </c>
      <c r="AF40" s="1597">
        <f>OFFSET(AF40,0,-1)+1</f>
        <v>12</v>
      </c>
      <c r="AG40" s="2431">
        <f>OFFSET(AG40,0,-1)+1</f>
        <v>13</v>
      </c>
      <c r="AH40" s="2431"/>
      <c r="AI40" s="1597">
        <f>OFFSET(AI40,0,-2)+1</f>
        <v>14</v>
      </c>
      <c r="AJ40" s="1391">
        <f>OFFSET(AJ40,0,-1)</f>
        <v>14</v>
      </c>
      <c r="AK40" s="1597">
        <f>OFFSET(AK40,0,-1)+1</f>
        <v>15</v>
      </c>
      <c r="AL40" s="657"/>
      <c r="AM40" s="657"/>
      <c r="AN40" s="657"/>
      <c r="AO40" s="657"/>
      <c r="AP40" s="657"/>
      <c r="AQ40" s="642">
        <v>0</v>
      </c>
    </row>
    <row customHeight="1" ht="24">
      <c r="A41" s="1509" t="s">
        <v>253</v>
      </c>
      <c r="B41" s="1509"/>
      <c r="C41" s="1509"/>
      <c r="D41" s="1509"/>
      <c r="E41" s="2417">
        <v>1</v>
      </c>
      <c r="F41" s="1509"/>
      <c r="G41" s="1509"/>
      <c r="H41" s="1509"/>
      <c r="I41" s="1509"/>
      <c r="J41" s="1509"/>
      <c r="K41" s="1509"/>
      <c r="L41" s="1510"/>
      <c r="M41" s="1511"/>
      <c r="N41" s="1511"/>
      <c r="O41" s="1511"/>
      <c r="P41" s="507"/>
      <c r="Q41" s="506"/>
      <c r="R41" s="501"/>
      <c r="S41" s="1603">
        <f>INDEX(PT_DIFFERENTIATION_NUM_NTAR,MATCH(A41,PT_DIFFERENTIATION_NTAR_ID,0))</f>
        <v>0</v>
      </c>
      <c r="T41" s="444" t="s">
        <v>147</v>
      </c>
      <c r="U41" s="446"/>
      <c r="V41" s="2401"/>
      <c r="W41" s="2402"/>
      <c r="X41" s="2402"/>
      <c r="Y41" s="2402"/>
      <c r="Z41" s="2402"/>
      <c r="AA41" s="2402"/>
      <c r="AB41" s="2403"/>
      <c r="AC41" s="2401" t="str">
        <f>INDEX(PT_DIFFERENTIATION_NTAR,MATCH(A41,PT_DIFFERENTIATION_NTAR_ID,0))</f>
        <v/>
      </c>
      <c r="AD41" s="2402"/>
      <c r="AE41" s="2402"/>
      <c r="AF41" s="2402"/>
      <c r="AG41" s="2402"/>
      <c r="AH41" s="2402"/>
      <c r="AI41" s="2402"/>
      <c r="AJ41" s="2403"/>
      <c r="AK41"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46"/>
      <c r="AN41" s="646" t="str">
        <f>IF(T41="","",T41)</f>
        <v>Наименование тарифа</v>
      </c>
      <c r="AO41" s="646"/>
      <c r="AP41" s="646"/>
      <c r="AQ41" s="1301">
        <v>23</v>
      </c>
    </row>
    <row customHeight="1" ht="24">
      <c r="A42" s="1509" t="s">
        <v>253</v>
      </c>
      <c r="B42" s="1509" t="s">
        <v>254</v>
      </c>
      <c r="C42" s="1509"/>
      <c r="D42" s="1509"/>
      <c r="E42" s="2418"/>
      <c r="F42" s="2417">
        <v>1</v>
      </c>
      <c r="G42" s="1509"/>
      <c r="H42" s="1509"/>
      <c r="I42" s="1509"/>
      <c r="J42" s="1509"/>
      <c r="K42" s="1509"/>
      <c r="L42" s="1510"/>
      <c r="M42" s="1511"/>
      <c r="N42" s="1511"/>
      <c r="O42" s="1511"/>
      <c r="P42" s="1599"/>
      <c r="Q42" s="498"/>
      <c r="R42" s="499"/>
      <c r="S42" s="1603" t="str">
        <f>INDEX(PT_DIFFERENTIATION_NUM_TER,MATCH(B42,PT_DIFFERENTIATION_TER_ID,0))</f>
        <v>.</v>
      </c>
      <c r="T42" s="454" t="s">
        <v>419</v>
      </c>
      <c r="U42" s="446"/>
      <c r="V42" s="2401"/>
      <c r="W42" s="2402"/>
      <c r="X42" s="2402"/>
      <c r="Y42" s="2402"/>
      <c r="Z42" s="2402"/>
      <c r="AA42" s="2402"/>
      <c r="AB42" s="2403"/>
      <c r="AC42" s="2401" t="str">
        <f>INDEX(PT_DIFFERENTIATION_TER,MATCH(B42,PT_DIFFERENTIATION_TER_ID,0))</f>
        <v/>
      </c>
      <c r="AD42" s="2402"/>
      <c r="AE42" s="2402"/>
      <c r="AF42" s="2402"/>
      <c r="AG42" s="2402"/>
      <c r="AH42" s="2402"/>
      <c r="AI42" s="2402"/>
      <c r="AJ42" s="2403"/>
      <c r="AK42" s="1404" t="s">
        <v>420</v>
      </c>
      <c r="AM42" s="646"/>
      <c r="AN42" s="646" t="str">
        <f>IF(T42="","",T42)</f>
        <v>Территория действия тарифа</v>
      </c>
      <c r="AO42" s="646"/>
      <c r="AP42" s="646"/>
      <c r="AQ42" s="1301">
        <v>23</v>
      </c>
    </row>
    <row customHeight="1" ht="24">
      <c r="A43" s="1509" t="s">
        <v>253</v>
      </c>
      <c r="B43" s="1509" t="s">
        <v>254</v>
      </c>
      <c r="C43" s="1509" t="s">
        <v>255</v>
      </c>
      <c r="D43" s="1509"/>
      <c r="E43" s="2418"/>
      <c r="F43" s="2418"/>
      <c r="G43" s="2417">
        <v>1</v>
      </c>
      <c r="H43" s="1509"/>
      <c r="I43" s="1509"/>
      <c r="J43" s="1509"/>
      <c r="K43" s="1509"/>
      <c r="L43" s="1510"/>
      <c r="M43" s="1511"/>
      <c r="N43" s="1511"/>
      <c r="O43" s="1511"/>
      <c r="P43" s="500"/>
      <c r="Q43" s="498"/>
      <c r="R43" s="499"/>
      <c r="S43" s="1603" t="str">
        <f>INDEX(PT_DIFFERENTIATION_NUM_CS,MATCH(C43,PT_DIFFERENTIATION_CS_ID,0))</f>
        <v>..</v>
      </c>
      <c r="T43" s="455" t="s">
        <v>503</v>
      </c>
      <c r="U43" s="446"/>
      <c r="V43" s="2401"/>
      <c r="W43" s="2402"/>
      <c r="X43" s="2402"/>
      <c r="Y43" s="2402"/>
      <c r="Z43" s="2402"/>
      <c r="AA43" s="2402"/>
      <c r="AB43" s="2403"/>
      <c r="AC43" s="2401" t="str">
        <f>INDEX(PT_DIFFERENTIATION_CS,MATCH(C43,PT_DIFFERENTIATION_CS_ID,0))</f>
        <v/>
      </c>
      <c r="AD43" s="2402"/>
      <c r="AE43" s="2402"/>
      <c r="AF43" s="2402"/>
      <c r="AG43" s="2402"/>
      <c r="AH43" s="2402"/>
      <c r="AI43" s="2402"/>
      <c r="AJ43" s="2403"/>
      <c r="AK43" s="1404" t="s">
        <v>504</v>
      </c>
      <c r="AM43" s="646"/>
      <c r="AN43" s="646" t="str">
        <f>IF(T43="","",T43)</f>
        <v>Наименование централизованной системы холодного водоснабжения</v>
      </c>
      <c r="AO43" s="646"/>
      <c r="AP43" s="646"/>
      <c r="AQ43" s="1301">
        <v>23</v>
      </c>
    </row>
    <row customHeight="1" ht="24">
      <c r="A44" s="1509" t="s">
        <v>253</v>
      </c>
      <c r="B44" s="1509" t="s">
        <v>254</v>
      </c>
      <c r="C44" s="1509" t="s">
        <v>255</v>
      </c>
      <c r="D44" s="1509" t="s">
        <v>518</v>
      </c>
      <c r="E44" s="2418"/>
      <c r="F44" s="2418"/>
      <c r="G44" s="2418"/>
      <c r="H44" s="2418"/>
      <c r="I44" s="2415" t="str">
        <f>S43&amp;".1"</f>
        <v>...1</v>
      </c>
      <c r="J44" s="1509"/>
      <c r="K44" s="1509"/>
      <c r="L44" s="1510"/>
      <c r="P44" s="2416">
        <v>1</v>
      </c>
      <c r="Q44" s="1596"/>
      <c r="R44" s="502"/>
      <c r="S44" s="1603" t="str">
        <f>$I44</f>
        <v>...1</v>
      </c>
      <c r="T44" s="431" t="s">
        <v>505</v>
      </c>
      <c r="U44" s="446"/>
      <c r="V44" s="2509"/>
      <c r="W44" s="2510"/>
      <c r="X44" s="2510"/>
      <c r="Y44" s="2510"/>
      <c r="Z44" s="2510"/>
      <c r="AA44" s="2510"/>
      <c r="AB44" s="2511"/>
      <c r="AC44" s="2512"/>
      <c r="AD44" s="2513"/>
      <c r="AE44" s="2513"/>
      <c r="AF44" s="2513"/>
      <c r="AG44" s="2513"/>
      <c r="AH44" s="2513"/>
      <c r="AI44" s="2513"/>
      <c r="AJ44" s="2514"/>
      <c r="AK44" s="1404" t="s">
        <v>506</v>
      </c>
      <c r="AM44" s="646"/>
      <c r="AN44" s="646" t="str">
        <f>IF(T44="","",T44)</f>
        <v>Наименование признака дифференциации</v>
      </c>
      <c r="AO44" s="646"/>
      <c r="AP44" s="646"/>
      <c r="AQ44" s="1301">
        <v>23</v>
      </c>
    </row>
    <row customHeight="1" ht="24">
      <c r="A45" s="1509" t="s">
        <v>253</v>
      </c>
      <c r="B45" s="1509" t="s">
        <v>254</v>
      </c>
      <c r="C45" s="1509" t="s">
        <v>255</v>
      </c>
      <c r="D45" s="1509" t="s">
        <v>518</v>
      </c>
      <c r="E45" s="2418"/>
      <c r="F45" s="2418"/>
      <c r="G45" s="2418"/>
      <c r="H45" s="2418"/>
      <c r="I45" s="2445"/>
      <c r="J45" s="2415" t="str">
        <f>I44&amp;".1"</f>
        <v>...1.1</v>
      </c>
      <c r="K45" s="1509"/>
      <c r="L45" s="1510" t="s">
        <v>428</v>
      </c>
      <c r="P45" s="2416"/>
      <c r="Q45" s="2416">
        <v>1</v>
      </c>
      <c r="R45" s="503"/>
      <c r="S45" s="1603" t="str">
        <f>$J45</f>
        <v>...1.1</v>
      </c>
      <c r="T45" s="432" t="s">
        <v>429</v>
      </c>
      <c r="U45" s="446"/>
      <c r="V45" s="2404"/>
      <c r="W45" s="2405"/>
      <c r="X45" s="2405"/>
      <c r="Y45" s="2405"/>
      <c r="Z45" s="2405"/>
      <c r="AA45" s="2405"/>
      <c r="AB45" s="2406"/>
      <c r="AC45" s="2404"/>
      <c r="AD45" s="2405"/>
      <c r="AE45" s="2405"/>
      <c r="AF45" s="2405"/>
      <c r="AG45" s="2405"/>
      <c r="AH45" s="2405"/>
      <c r="AI45" s="2405"/>
      <c r="AJ45" s="2406"/>
      <c r="AK45" s="1453" t="s">
        <v>507</v>
      </c>
      <c r="AM45" s="646"/>
      <c r="AN45" s="646" t="str">
        <f>IF(T45="","",T45)</f>
        <v>Группа потребителей</v>
      </c>
      <c r="AO45" s="646"/>
      <c r="AP45" s="646"/>
      <c r="AQ45" s="1301">
        <v>23</v>
      </c>
    </row>
    <row customHeight="1" ht="24">
      <c r="A46" s="1509" t="s">
        <v>253</v>
      </c>
      <c r="B46" s="1509" t="s">
        <v>254</v>
      </c>
      <c r="C46" s="1509" t="s">
        <v>255</v>
      </c>
      <c r="D46" s="1509" t="s">
        <v>518</v>
      </c>
      <c r="E46" s="2418"/>
      <c r="F46" s="2418"/>
      <c r="G46" s="2418"/>
      <c r="H46" s="2418"/>
      <c r="I46" s="2445"/>
      <c r="J46" s="2445"/>
      <c r="K46" s="2415" t="str">
        <f>J45&amp;".1"</f>
        <v>...1.1.1</v>
      </c>
      <c r="L46" s="1510"/>
      <c r="P46" s="2416"/>
      <c r="Q46" s="2416"/>
      <c r="R46" s="503">
        <v>1</v>
      </c>
      <c r="S46" s="1603" t="str">
        <f>$K46</f>
        <v>...1.1.1</v>
      </c>
      <c r="T46" s="1583"/>
      <c r="U46" s="446"/>
      <c r="V46" s="897"/>
      <c r="W46" s="897"/>
      <c r="X46" s="1403"/>
      <c r="Y46" s="2424"/>
      <c r="Z46" s="2266" t="s">
        <v>63</v>
      </c>
      <c r="AA46" s="2424"/>
      <c r="AB46" s="2266" t="s">
        <v>63</v>
      </c>
      <c r="AC46" s="897"/>
      <c r="AD46" s="897"/>
      <c r="AE46" s="1403"/>
      <c r="AF46" s="2424"/>
      <c r="AG46" s="2266" t="s">
        <v>63</v>
      </c>
      <c r="AH46" s="2446"/>
      <c r="AI46" s="2266" t="s">
        <v>63</v>
      </c>
      <c r="AJ46" s="1584"/>
      <c r="AK46"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7">
        <f>STRCHECKDATE(V47:AJ47)</f>
      </c>
      <c r="AM46" s="646"/>
      <c r="AN46" s="646" t="str">
        <f>IF(T46="","",T46)</f>
        <v/>
      </c>
      <c r="AO46" s="646"/>
      <c r="AP46" s="646"/>
      <c r="AQ46" s="1301">
        <v>23</v>
      </c>
    </row>
    <row customHeight="1" ht="0">
      <c r="A47" s="1509" t="s">
        <v>253</v>
      </c>
      <c r="B47" s="1509" t="s">
        <v>254</v>
      </c>
      <c r="C47" s="1509" t="s">
        <v>255</v>
      </c>
      <c r="D47" s="1509" t="s">
        <v>518</v>
      </c>
      <c r="E47" s="2418"/>
      <c r="F47" s="2418"/>
      <c r="G47" s="2418"/>
      <c r="H47" s="2418"/>
      <c r="I47" s="2445"/>
      <c r="J47" s="2445"/>
      <c r="K47" s="2415"/>
      <c r="L47" s="1510"/>
      <c r="P47" s="2416"/>
      <c r="Q47" s="2416"/>
      <c r="R47" s="503"/>
      <c r="S47" s="1602"/>
      <c r="T47" s="446"/>
      <c r="U47" s="446"/>
      <c r="V47" s="471"/>
      <c r="W47" s="471"/>
      <c r="X47" s="474" t="str">
        <f>Y46&amp;"-"&amp;AA46</f>
        <v>-</v>
      </c>
      <c r="Y47" s="2425"/>
      <c r="Z47" s="2266"/>
      <c r="AA47" s="2425"/>
      <c r="AB47" s="2266"/>
      <c r="AC47" s="471"/>
      <c r="AD47" s="471"/>
      <c r="AE47" s="474" t="str">
        <f>AF46&amp;"-"&amp;AH46</f>
        <v>-</v>
      </c>
      <c r="AF47" s="2425"/>
      <c r="AG47" s="2266"/>
      <c r="AH47" s="2447"/>
      <c r="AI47" s="2266"/>
      <c r="AJ47" s="1585"/>
      <c r="AK47" s="2508"/>
      <c r="AM47" s="646"/>
      <c r="AN47" s="646" t="str">
        <f>IF(T47="","",T47)</f>
        <v/>
      </c>
      <c r="AO47" s="646"/>
      <c r="AP47" s="646"/>
      <c r="AQ47" s="1301">
        <v>0</v>
      </c>
    </row>
    <row customHeight="1" ht="21">
      <c r="A48" s="1509" t="s">
        <v>253</v>
      </c>
      <c r="B48" s="1509" t="s">
        <v>254</v>
      </c>
      <c r="C48" s="1509" t="s">
        <v>255</v>
      </c>
      <c r="D48" s="1509" t="s">
        <v>518</v>
      </c>
      <c r="E48" s="2418"/>
      <c r="F48" s="2418"/>
      <c r="G48" s="2418"/>
      <c r="H48" s="2418"/>
      <c r="I48" s="2445"/>
      <c r="J48" s="2415"/>
      <c r="K48" s="1509"/>
      <c r="L48" s="1510"/>
      <c r="P48" s="2416"/>
      <c r="Q48" s="2416"/>
      <c r="R48" s="502"/>
      <c r="S48" s="1424"/>
      <c r="T48" s="433" t="s">
        <v>508</v>
      </c>
      <c r="U48" s="513"/>
      <c r="V48" s="513"/>
      <c r="W48" s="513"/>
      <c r="X48" s="513"/>
      <c r="Y48" s="513"/>
      <c r="Z48" s="513"/>
      <c r="AA48" s="513"/>
      <c r="AB48" s="513"/>
      <c r="AC48" s="513"/>
      <c r="AD48" s="513"/>
      <c r="AE48" s="513"/>
      <c r="AF48" s="513"/>
      <c r="AG48" s="513"/>
      <c r="AH48" s="513"/>
      <c r="AI48" s="513"/>
      <c r="AJ48" s="513"/>
      <c r="AK48" s="1404" t="s">
        <v>509</v>
      </c>
      <c r="AM48" s="646"/>
      <c r="AN48" s="646" t="str">
        <f>IF(T48="","",T48)</f>
        <v>Добавить значение признака дифференциации</v>
      </c>
      <c r="AO48" s="646"/>
      <c r="AP48" s="646"/>
      <c r="AQ48" s="1301">
        <v>20</v>
      </c>
    </row>
    <row customHeight="1" ht="22.049999999999997">
      <c r="A49" s="1509" t="s">
        <v>253</v>
      </c>
      <c r="B49" s="1509" t="s">
        <v>254</v>
      </c>
      <c r="C49" s="1509" t="s">
        <v>255</v>
      </c>
      <c r="D49" s="1509" t="s">
        <v>518</v>
      </c>
      <c r="E49" s="2418"/>
      <c r="F49" s="2418"/>
      <c r="G49" s="2418"/>
      <c r="H49" s="2418"/>
      <c r="I49" s="2415"/>
      <c r="J49" s="1509"/>
      <c r="K49" s="1509"/>
      <c r="L49" s="1510"/>
      <c r="P49" s="2416"/>
      <c r="Q49" s="1596"/>
      <c r="R49" s="502"/>
      <c r="S49" s="1424"/>
      <c r="T49" s="511" t="s">
        <v>434</v>
      </c>
      <c r="U49" s="513"/>
      <c r="V49" s="513"/>
      <c r="W49" s="513"/>
      <c r="X49" s="513"/>
      <c r="Y49" s="513"/>
      <c r="Z49" s="513"/>
      <c r="AA49" s="513"/>
      <c r="AB49" s="512"/>
      <c r="AC49" s="513"/>
      <c r="AD49" s="513"/>
      <c r="AE49" s="513"/>
      <c r="AF49" s="513"/>
      <c r="AG49" s="513"/>
      <c r="AH49" s="513"/>
      <c r="AI49" s="512"/>
      <c r="AJ49" s="513"/>
      <c r="AK49" s="1586"/>
      <c r="AM49" s="646"/>
      <c r="AN49" s="646" t="str">
        <f>IF(T49="","",T49)</f>
        <v>Добавить группу потребителей</v>
      </c>
      <c r="AO49" s="646"/>
      <c r="AP49" s="646"/>
      <c r="AQ49" s="1301">
        <v>21</v>
      </c>
    </row>
    <row customHeight="1" ht="22.049999999999997">
      <c r="A50" s="1509" t="s">
        <v>253</v>
      </c>
      <c r="B50" s="1509" t="s">
        <v>254</v>
      </c>
      <c r="C50" s="1509" t="s">
        <v>255</v>
      </c>
      <c r="D50" s="1509" t="s">
        <v>518</v>
      </c>
      <c r="E50" s="2418"/>
      <c r="F50" s="2418"/>
      <c r="G50" s="2418"/>
      <c r="H50" s="2417"/>
      <c r="I50" s="1509"/>
      <c r="J50" s="1509"/>
      <c r="K50" s="1509"/>
      <c r="L50" s="1510"/>
      <c r="M50" s="1511"/>
      <c r="N50" s="1511"/>
      <c r="O50" s="683"/>
      <c r="P50" s="506"/>
      <c r="Q50" s="521"/>
      <c r="R50" s="501"/>
      <c r="S50" s="1424"/>
      <c r="T50" s="518" t="s">
        <v>510</v>
      </c>
      <c r="U50" s="513"/>
      <c r="V50" s="513"/>
      <c r="W50" s="513"/>
      <c r="X50" s="513"/>
      <c r="Y50" s="513"/>
      <c r="Z50" s="513"/>
      <c r="AA50" s="513"/>
      <c r="AB50" s="512"/>
      <c r="AC50" s="513"/>
      <c r="AD50" s="513"/>
      <c r="AE50" s="513"/>
      <c r="AF50" s="513"/>
      <c r="AG50" s="513"/>
      <c r="AH50" s="513"/>
      <c r="AI50" s="512"/>
      <c r="AJ50" s="513"/>
      <c r="AK50" s="449"/>
      <c r="AM50" s="646"/>
      <c r="AN50" s="646" t="str">
        <f>IF(T50="","",T50)</f>
        <v>Добавить наименование признака дифференциации</v>
      </c>
      <c r="AO50" s="646"/>
      <c r="AP50" s="646"/>
      <c r="AQ50" s="1301">
        <v>21</v>
      </c>
    </row>
    <row s="6720" customFormat="1" customHeight="1" ht="0">
      <c r="A51" s="1489" t="s">
        <v>253</v>
      </c>
      <c r="B51" s="1489" t="s">
        <v>254</v>
      </c>
      <c r="C51" s="1460"/>
      <c r="D51" s="1460"/>
      <c r="E51" s="2418"/>
      <c r="F51" s="2417"/>
      <c r="G51" s="1460"/>
      <c r="H51" s="1460"/>
      <c r="I51" s="1460"/>
      <c r="J51" s="1460"/>
      <c r="K51" s="1460"/>
      <c r="L51" s="1604"/>
      <c r="M51" s="1467"/>
      <c r="N51" s="1467"/>
      <c r="P51" s="1462"/>
      <c r="Q51" s="1463"/>
      <c r="R51" s="1462"/>
      <c r="S51" s="1468"/>
      <c r="T51" s="1471" t="s">
        <v>437</v>
      </c>
      <c r="U51" s="1470"/>
      <c r="V51" s="1470"/>
      <c r="W51" s="1470"/>
      <c r="X51" s="1470"/>
      <c r="Y51" s="1470"/>
      <c r="Z51" s="1470"/>
      <c r="AA51" s="1470"/>
      <c r="AB51" s="1470"/>
      <c r="AC51" s="1470"/>
      <c r="AD51" s="1470"/>
      <c r="AE51" s="1470"/>
      <c r="AF51" s="1470"/>
      <c r="AG51" s="1470"/>
      <c r="AH51" s="1470"/>
      <c r="AI51" s="1470"/>
      <c r="AJ51" s="1470"/>
      <c r="AK51" s="1470"/>
      <c r="AM51" s="935"/>
      <c r="AN51" s="935" t="str">
        <f>IF(T51="","",T51)</f>
        <v>Добавить централизованную систему для дифференциации</v>
      </c>
      <c r="AO51" s="935"/>
      <c r="AP51" s="935"/>
      <c r="AQ51" s="664">
        <v>0</v>
      </c>
    </row>
    <row s="6720" customFormat="1" customHeight="1" ht="0">
      <c r="A52" s="1489" t="s">
        <v>253</v>
      </c>
      <c r="B52" s="1489"/>
      <c r="C52" s="1489"/>
      <c r="D52" s="1489"/>
      <c r="E52" s="2417"/>
      <c r="F52" s="1489"/>
      <c r="G52" s="1489"/>
      <c r="H52" s="1489"/>
      <c r="I52" s="1489"/>
      <c r="J52" s="1489"/>
      <c r="K52" s="1489"/>
      <c r="L52" s="1492"/>
      <c r="M52" s="1467"/>
      <c r="N52" s="1467"/>
      <c r="O52" s="664"/>
      <c r="P52" s="526"/>
      <c r="Q52" s="1490"/>
      <c r="R52" s="526"/>
      <c r="S52" s="1468"/>
      <c r="T52" s="1471" t="s">
        <v>438</v>
      </c>
      <c r="U52" s="1470"/>
      <c r="V52" s="1470"/>
      <c r="W52" s="1470"/>
      <c r="X52" s="1470"/>
      <c r="Y52" s="1470"/>
      <c r="Z52" s="1470"/>
      <c r="AA52" s="1470"/>
      <c r="AB52" s="1470"/>
      <c r="AC52" s="1470"/>
      <c r="AD52" s="1470"/>
      <c r="AE52" s="1470"/>
      <c r="AF52" s="1470"/>
      <c r="AG52" s="1470"/>
      <c r="AH52" s="1470"/>
      <c r="AI52" s="1470"/>
      <c r="AJ52" s="1470"/>
      <c r="AK52" s="1470"/>
      <c r="AM52" s="646"/>
      <c r="AN52" s="646" t="str">
        <f>IF(T52="","",T52)</f>
        <v>Добавить территорию для дифференциации</v>
      </c>
      <c r="AO52" s="646"/>
      <c r="AP52" s="646"/>
      <c r="AQ52" s="657">
        <v>0</v>
      </c>
    </row>
    <row s="6720" customFormat="1" customHeight="1" ht="0">
      <c r="A53" s="1460"/>
      <c r="B53" s="1460"/>
      <c r="C53" s="1460"/>
      <c r="D53" s="1460"/>
      <c r="E53" s="1489"/>
      <c r="F53" s="1460"/>
      <c r="G53" s="1460"/>
      <c r="H53" s="1460"/>
      <c r="I53" s="1460"/>
      <c r="J53" s="1460"/>
      <c r="K53" s="1460"/>
      <c r="L53" s="1604"/>
      <c r="M53" s="1467"/>
      <c r="N53" s="1467"/>
      <c r="P53" s="1462"/>
      <c r="Q53" s="1463"/>
      <c r="R53" s="1462"/>
      <c r="S53" s="1468"/>
      <c r="T53" s="1471" t="s">
        <v>470</v>
      </c>
      <c r="U53" s="1470"/>
      <c r="V53" s="1470"/>
      <c r="W53" s="1470"/>
      <c r="X53" s="1470"/>
      <c r="Y53" s="1470"/>
      <c r="Z53" s="1470"/>
      <c r="AA53" s="1470"/>
      <c r="AB53" s="1470"/>
      <c r="AC53" s="1470"/>
      <c r="AD53" s="1470"/>
      <c r="AE53" s="1470"/>
      <c r="AF53" s="1470"/>
      <c r="AG53" s="1470"/>
      <c r="AH53" s="1470"/>
      <c r="AI53" s="1470"/>
      <c r="AJ53" s="1470"/>
      <c r="AK53" s="1470"/>
      <c r="AM53" s="935"/>
      <c r="AN53" s="935" t="str">
        <f>IF(T53="","",T53)</f>
        <v>Добавить наименование тарифа</v>
      </c>
      <c r="AO53" s="935"/>
      <c r="AP53" s="935"/>
      <c r="AQ53" s="664">
        <v>0</v>
      </c>
    </row>
    <row customHeight="1" ht="11.549999999999999">
      <c r="M54" s="1306"/>
      <c r="N54" s="1306"/>
      <c r="O54" s="683"/>
      <c r="P54" s="1301"/>
      <c r="Q54" s="1301"/>
      <c r="R54" s="1301"/>
      <c r="S54" s="1301"/>
      <c r="AL54" s="1301"/>
      <c r="AM54" s="1301"/>
      <c r="AN54" s="1301"/>
      <c r="AO54" s="1301"/>
      <c r="AP54" s="1301"/>
      <c r="AQ54" s="1301">
        <v>11</v>
      </c>
    </row>
    <row customHeight="1" ht="14.699999999999998">
      <c r="O55" s="683"/>
      <c r="S55" s="1399"/>
      <c r="T55" s="2444"/>
      <c r="U55" s="2444"/>
      <c r="V55" s="2444"/>
      <c r="W55" s="2444"/>
      <c r="X55" s="2444"/>
      <c r="Y55" s="2444"/>
      <c r="Z55" s="2444"/>
      <c r="AA55" s="2444"/>
      <c r="AB55" s="2444"/>
      <c r="AC55" s="2444"/>
      <c r="AD55" s="2444"/>
      <c r="AE55" s="2444"/>
      <c r="AF55" s="2444"/>
      <c r="AG55" s="2444"/>
      <c r="AH55" s="2444"/>
      <c r="AI55" s="2444"/>
      <c r="AJ55" s="2444"/>
      <c r="AK55" s="2444"/>
      <c r="AQ55" s="1301">
        <v>14</v>
      </c>
    </row>
    <row customHeight="1" ht="14.699999999999998">
      <c r="O56" s="683"/>
      <c r="AQ56" s="1301">
        <v>14</v>
      </c>
    </row>
    <row customHeight="1" ht="14.699999999999998">
      <c r="O57" s="683"/>
      <c r="S57" s="1399"/>
      <c r="T57" s="2444"/>
      <c r="U57" s="2444"/>
      <c r="V57" s="2444"/>
      <c r="W57" s="2444"/>
      <c r="X57" s="2444"/>
      <c r="Y57" s="2444"/>
      <c r="Z57" s="2444"/>
      <c r="AA57" s="2444"/>
      <c r="AB57" s="2444"/>
      <c r="AC57" s="2444"/>
      <c r="AD57" s="2444"/>
      <c r="AE57" s="2444"/>
      <c r="AF57" s="2444"/>
      <c r="AG57" s="2444"/>
      <c r="AH57" s="2444"/>
      <c r="AI57" s="2444"/>
      <c r="AJ57" s="2444"/>
      <c r="AK57" s="2444"/>
      <c r="AQ57" s="1301">
        <v>14</v>
      </c>
    </row>
    <row customHeight="1" ht="22.5" hidden="1">
      <c r="A58" s="1306" t="s">
        <v>83</v>
      </c>
      <c r="B58" s="1306">
        <v>0</v>
      </c>
      <c r="C58" s="1306">
        <v>0</v>
      </c>
      <c r="D58" s="1306">
        <v>0</v>
      </c>
      <c r="E58" s="1306">
        <v>0</v>
      </c>
      <c r="F58" s="1306">
        <v>0</v>
      </c>
      <c r="G58" s="1306">
        <v>0</v>
      </c>
      <c r="H58" s="1306">
        <v>0</v>
      </c>
      <c r="I58" s="1306">
        <v>0</v>
      </c>
      <c r="J58" s="1306">
        <v>0</v>
      </c>
      <c r="K58" s="1306">
        <v>0</v>
      </c>
      <c r="L58" s="1593">
        <v>0</v>
      </c>
      <c r="M58" s="1508">
        <v>0</v>
      </c>
      <c r="N58" s="1508">
        <v>0</v>
      </c>
      <c r="O58" s="1508">
        <v>0</v>
      </c>
      <c r="P58" s="1592">
        <v>3</v>
      </c>
      <c r="Q58" s="490">
        <v>3</v>
      </c>
      <c r="R58" s="490">
        <v>3</v>
      </c>
      <c r="S58" s="727">
        <v>12</v>
      </c>
      <c r="T58" s="1301">
        <v>35</v>
      </c>
      <c r="U58" s="1301">
        <v>0</v>
      </c>
      <c r="V58" s="1301">
        <v>0</v>
      </c>
      <c r="W58" s="1301">
        <v>0</v>
      </c>
      <c r="X58" s="1301">
        <v>0</v>
      </c>
      <c r="Y58" s="1301">
        <v>0</v>
      </c>
      <c r="Z58" s="1301">
        <v>0</v>
      </c>
      <c r="AA58" s="1301">
        <v>0</v>
      </c>
      <c r="AB58" s="1301">
        <v>0</v>
      </c>
      <c r="AC58" s="1301">
        <v>24</v>
      </c>
      <c r="AD58" s="1301">
        <v>24</v>
      </c>
      <c r="AE58" s="1301">
        <v>24</v>
      </c>
      <c r="AF58" s="1301">
        <v>11</v>
      </c>
      <c r="AG58" s="1301">
        <v>3</v>
      </c>
      <c r="AH58" s="1301">
        <v>11</v>
      </c>
      <c r="AI58" s="1301">
        <v>0</v>
      </c>
      <c r="AJ58" s="1301">
        <v>4</v>
      </c>
      <c r="AK58" s="1301">
        <v>115</v>
      </c>
      <c r="AL58" s="657">
        <v>10</v>
      </c>
      <c r="AM58" s="657">
        <v>10</v>
      </c>
      <c r="AN58" s="657">
        <v>10</v>
      </c>
      <c r="AO58" s="657">
        <v>10</v>
      </c>
      <c r="AP58" s="657">
        <v>10</v>
      </c>
      <c r="AQ58" s="1301">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5B8B85-9578-182E-168B-0.DF9E163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4" style="7235" width="24.7109375" hidden="1" customWidth="1"/>
    <col min="25" max="25" style="7235" width="11.7109375" hidden="1" customWidth="1"/>
    <col min="26" max="26" style="7235" width="3.7109375" hidden="1" customWidth="1"/>
    <col min="27" max="27" style="7235" width="11.7109375" hidden="1" customWidth="1"/>
    <col min="28" max="28" style="7235" width="8.57421875" hidden="1" customWidth="1"/>
    <col min="29" max="29" style="7235" width="24.7109375" customWidth="1"/>
    <col min="30" max="31" style="7235" width="24.00390625" customWidth="1"/>
    <col min="32" max="32" style="7235" width="11.00390625" customWidth="1"/>
    <col min="33" max="33" style="7235" width="3.7109375" customWidth="1"/>
    <col min="34" max="34" style="7235" width="11.00390625" customWidth="1"/>
    <col min="35" max="35" style="7235" width="8.57421875" hidden="1" customWidth="1"/>
    <col min="36" max="36" style="7235" width="4.00390625" customWidth="1"/>
    <col min="37" max="37" style="7235" width="115.00390625" customWidth="1"/>
    <col min="38" max="42" style="6720" width="10.00390625" customWidth="1"/>
    <col min="43" max="43" style="7235" width="10.57421875" hidden="1"/>
  </cols>
  <sheetData>
    <row customHeight="1" ht="22.5" hidden="1">
      <c r="X1" s="473"/>
      <c r="Y1" s="473"/>
      <c r="AE1" s="473"/>
      <c r="AF1" s="473"/>
      <c r="AQ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603">
        <f>INDEX(PT_DIFFERENTIATION_NUM_NTAR,MATCH(A2,PT_DIFFERENTIATION_NTAR_ID,0))</f>
      </c>
      <c r="T2" s="444" t="s">
        <v>147</v>
      </c>
      <c r="U2" s="446"/>
      <c r="V2" s="2401"/>
      <c r="W2" s="2402"/>
      <c r="X2" s="2402"/>
      <c r="Y2" s="2402"/>
      <c r="Z2" s="2402"/>
      <c r="AA2" s="2402"/>
      <c r="AB2" s="2403"/>
      <c r="AC2" s="2401">
        <f>INDEX(PT_DIFFERENTIATION_NTAR,MATCH(A2,PT_DIFFERENTIATION_NTAR_ID,0))</f>
      </c>
      <c r="AD2" s="2402"/>
      <c r="AE2" s="2402"/>
      <c r="AF2" s="2402"/>
      <c r="AG2" s="2402"/>
      <c r="AH2" s="2402"/>
      <c r="AI2" s="2402"/>
      <c r="AJ2" s="2403"/>
      <c r="AK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46"/>
      <c r="AN2" s="646" t="str">
        <f>IF(T2="","",T2)</f>
        <v>Наименование тарифа</v>
      </c>
      <c r="AO2" s="646"/>
      <c r="AP2" s="646"/>
      <c r="AQ2" s="1301">
        <v>0</v>
      </c>
    </row>
    <row customHeight="1" ht="23.25" hidden="1">
      <c r="A3" s="1509"/>
      <c r="B3" s="1509"/>
      <c r="C3" s="1509"/>
      <c r="D3" s="1509"/>
      <c r="E3" s="2418"/>
      <c r="F3" s="2417">
        <v>1</v>
      </c>
      <c r="G3" s="1509"/>
      <c r="H3" s="1509"/>
      <c r="I3" s="1509"/>
      <c r="J3" s="1509"/>
      <c r="K3" s="1509"/>
      <c r="L3" s="1510"/>
      <c r="M3" s="1511"/>
      <c r="N3" s="1511"/>
      <c r="O3" s="1511"/>
      <c r="P3" s="1599"/>
      <c r="Q3" s="498"/>
      <c r="R3" s="499"/>
      <c r="S3" s="1603">
        <f>INDEX(PT_DIFFERENTIATION_NUM_TER,MATCH(B3,PT_DIFFERENTIATION_TER_ID,0))</f>
      </c>
      <c r="T3" s="454" t="s">
        <v>419</v>
      </c>
      <c r="U3" s="446"/>
      <c r="V3" s="2401"/>
      <c r="W3" s="2402"/>
      <c r="X3" s="2402"/>
      <c r="Y3" s="2402"/>
      <c r="Z3" s="2402"/>
      <c r="AA3" s="2402"/>
      <c r="AB3" s="2403"/>
      <c r="AC3" s="2401">
        <f>INDEX(PT_DIFFERENTIATION_TER,MATCH(B3,PT_DIFFERENTIATION_TER_ID,0))</f>
      </c>
      <c r="AD3" s="2402"/>
      <c r="AE3" s="2402"/>
      <c r="AF3" s="2402"/>
      <c r="AG3" s="2402"/>
      <c r="AH3" s="2402"/>
      <c r="AI3" s="2402"/>
      <c r="AJ3" s="2403"/>
      <c r="AK3" s="1404" t="s">
        <v>420</v>
      </c>
      <c r="AM3" s="646"/>
      <c r="AN3" s="646" t="str">
        <f>IF(T3="","",T3)</f>
        <v>Территория действия тарифа</v>
      </c>
      <c r="AO3" s="646"/>
      <c r="AP3" s="646"/>
      <c r="AQ3" s="1301">
        <v>0</v>
      </c>
    </row>
    <row customHeight="1" ht="23.25" hidden="1">
      <c r="A4" s="1509"/>
      <c r="B4" s="1509"/>
      <c r="C4" s="1509"/>
      <c r="D4" s="1509"/>
      <c r="E4" s="2418"/>
      <c r="F4" s="2418"/>
      <c r="G4" s="2417">
        <v>1</v>
      </c>
      <c r="H4" s="1509"/>
      <c r="I4" s="1509"/>
      <c r="J4" s="1509"/>
      <c r="K4" s="1509"/>
      <c r="L4" s="1510"/>
      <c r="M4" s="1511"/>
      <c r="N4" s="1511"/>
      <c r="O4" s="1511"/>
      <c r="P4" s="500"/>
      <c r="Q4" s="498"/>
      <c r="R4" s="499"/>
      <c r="S4" s="1603">
        <f>INDEX(PT_DIFFERENTIATION_NUM_CS,MATCH(C4,PT_DIFFERENTIATION_CS_ID,0))</f>
      </c>
      <c r="T4" s="455" t="s">
        <v>503</v>
      </c>
      <c r="U4" s="446"/>
      <c r="V4" s="2401"/>
      <c r="W4" s="2402"/>
      <c r="X4" s="2402"/>
      <c r="Y4" s="2402"/>
      <c r="Z4" s="2402"/>
      <c r="AA4" s="2402"/>
      <c r="AB4" s="2403"/>
      <c r="AC4" s="2401">
        <f>INDEX(PT_DIFFERENTIATION_CS,MATCH(C4,PT_DIFFERENTIATION_CS_ID,0))</f>
      </c>
      <c r="AD4" s="2402"/>
      <c r="AE4" s="2402"/>
      <c r="AF4" s="2402"/>
      <c r="AG4" s="2402"/>
      <c r="AH4" s="2402"/>
      <c r="AI4" s="2402"/>
      <c r="AJ4" s="2403"/>
      <c r="AK4" s="1404" t="s">
        <v>504</v>
      </c>
      <c r="AM4" s="646"/>
      <c r="AN4" s="646" t="str">
        <f>IF(T4="","",T4)</f>
        <v>Наименование централизованной системы холодного водоснабжения</v>
      </c>
      <c r="AO4" s="646"/>
      <c r="AP4" s="646"/>
      <c r="AQ4" s="1301">
        <v>0</v>
      </c>
    </row>
    <row customHeight="1" ht="23.25" hidden="1">
      <c r="A5" s="1509"/>
      <c r="B5" s="1509"/>
      <c r="C5" s="1509"/>
      <c r="D5" s="1509"/>
      <c r="E5" s="2418"/>
      <c r="F5" s="2418"/>
      <c r="G5" s="2418"/>
      <c r="H5" s="2418"/>
      <c r="I5" s="2415">
        <f>S4&amp;".1"</f>
      </c>
      <c r="J5" s="1509"/>
      <c r="K5" s="1509"/>
      <c r="L5" s="1510"/>
      <c r="P5" s="2416">
        <v>1</v>
      </c>
      <c r="Q5" s="1596"/>
      <c r="R5" s="502"/>
      <c r="S5" s="1603">
        <f>$I5</f>
      </c>
      <c r="T5" s="431" t="s">
        <v>505</v>
      </c>
      <c r="U5" s="446"/>
      <c r="V5" s="2509"/>
      <c r="W5" s="2510"/>
      <c r="X5" s="2510"/>
      <c r="Y5" s="2510"/>
      <c r="Z5" s="2510"/>
      <c r="AA5" s="2510"/>
      <c r="AB5" s="2511"/>
      <c r="AC5" s="2512"/>
      <c r="AD5" s="2513"/>
      <c r="AE5" s="2513"/>
      <c r="AF5" s="2513"/>
      <c r="AG5" s="2513"/>
      <c r="AH5" s="2513"/>
      <c r="AI5" s="2513"/>
      <c r="AJ5" s="2514"/>
      <c r="AK5" s="1404" t="s">
        <v>506</v>
      </c>
      <c r="AM5" s="646"/>
      <c r="AN5" s="646" t="str">
        <f>IF(T5="","",T5)</f>
        <v>Наименование признака дифференциации</v>
      </c>
      <c r="AO5" s="646"/>
      <c r="AP5" s="646"/>
      <c r="AQ5" s="1301">
        <v>0</v>
      </c>
    </row>
    <row customHeight="1" ht="23.25" hidden="1">
      <c r="A6" s="1509"/>
      <c r="B6" s="1509"/>
      <c r="C6" s="1509"/>
      <c r="D6" s="1509"/>
      <c r="E6" s="2418"/>
      <c r="F6" s="2418"/>
      <c r="G6" s="2418"/>
      <c r="H6" s="2418"/>
      <c r="I6" s="2445"/>
      <c r="J6" s="2415">
        <f>I5&amp;".1"</f>
      </c>
      <c r="K6" s="1509"/>
      <c r="L6" s="1510" t="s">
        <v>428</v>
      </c>
      <c r="P6" s="2416"/>
      <c r="Q6" s="2416">
        <v>1</v>
      </c>
      <c r="R6" s="503"/>
      <c r="S6" s="1603">
        <f>$J6</f>
      </c>
      <c r="T6" s="432" t="s">
        <v>429</v>
      </c>
      <c r="U6" s="446"/>
      <c r="V6" s="2404"/>
      <c r="W6" s="2405"/>
      <c r="X6" s="2405"/>
      <c r="Y6" s="2405"/>
      <c r="Z6" s="2405"/>
      <c r="AA6" s="2405"/>
      <c r="AB6" s="2406"/>
      <c r="AC6" s="2404"/>
      <c r="AD6" s="2405"/>
      <c r="AE6" s="2405"/>
      <c r="AF6" s="2405"/>
      <c r="AG6" s="2405"/>
      <c r="AH6" s="2405"/>
      <c r="AI6" s="2405"/>
      <c r="AJ6" s="2406"/>
      <c r="AK6" s="1453" t="s">
        <v>507</v>
      </c>
      <c r="AM6" s="646"/>
      <c r="AN6" s="646" t="str">
        <f>IF(T6="","",T6)</f>
        <v>Группа потребителей</v>
      </c>
      <c r="AO6" s="646"/>
      <c r="AP6" s="646"/>
      <c r="AQ6" s="1301">
        <v>0</v>
      </c>
    </row>
    <row customHeight="1" ht="23.25" hidden="1">
      <c r="A7" s="1509"/>
      <c r="B7" s="1509"/>
      <c r="C7" s="1509"/>
      <c r="D7" s="1509"/>
      <c r="E7" s="2418"/>
      <c r="F7" s="2418"/>
      <c r="G7" s="2418"/>
      <c r="H7" s="2418"/>
      <c r="I7" s="2445"/>
      <c r="J7" s="2445"/>
      <c r="K7" s="2415">
        <f>J6&amp;".1"</f>
      </c>
      <c r="L7" s="1510"/>
      <c r="P7" s="2416"/>
      <c r="Q7" s="2416"/>
      <c r="R7" s="503">
        <v>1</v>
      </c>
      <c r="S7" s="1603">
        <f>$K7</f>
      </c>
      <c r="T7" s="1583"/>
      <c r="U7" s="446"/>
      <c r="V7" s="897"/>
      <c r="W7" s="897"/>
      <c r="X7" s="1403"/>
      <c r="Y7" s="2424"/>
      <c r="Z7" s="2266" t="s">
        <v>63</v>
      </c>
      <c r="AA7" s="2424"/>
      <c r="AB7" s="2266" t="s">
        <v>63</v>
      </c>
      <c r="AC7" s="897"/>
      <c r="AD7" s="897"/>
      <c r="AE7" s="1403"/>
      <c r="AF7" s="2424"/>
      <c r="AG7" s="2266" t="s">
        <v>63</v>
      </c>
      <c r="AH7" s="2446"/>
      <c r="AI7" s="2266" t="s">
        <v>63</v>
      </c>
      <c r="AJ7" s="1584"/>
      <c r="AK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7">
        <f>STRCHECKDATE(V8:AJ8)</f>
      </c>
      <c r="AM7" s="646"/>
      <c r="AN7" s="646" t="str">
        <f>IF(T7="","",T7)</f>
        <v/>
      </c>
      <c r="AO7" s="646"/>
      <c r="AP7" s="646"/>
      <c r="AQ7" s="1301">
        <v>0</v>
      </c>
    </row>
    <row customHeight="1" ht="14.25" hidden="1">
      <c r="A8" s="1509"/>
      <c r="B8" s="1509"/>
      <c r="C8" s="1509"/>
      <c r="D8" s="1509"/>
      <c r="E8" s="2418"/>
      <c r="F8" s="2418"/>
      <c r="G8" s="2418"/>
      <c r="H8" s="2418"/>
      <c r="I8" s="2445"/>
      <c r="J8" s="2445"/>
      <c r="K8" s="2415"/>
      <c r="L8" s="1510"/>
      <c r="P8" s="2416"/>
      <c r="Q8" s="2416"/>
      <c r="R8" s="503"/>
      <c r="S8" s="1602"/>
      <c r="T8" s="446"/>
      <c r="U8" s="446"/>
      <c r="V8" s="471"/>
      <c r="W8" s="471"/>
      <c r="X8" s="474" t="str">
        <f>Y7&amp;"-"&amp;AA7</f>
        <v>-</v>
      </c>
      <c r="Y8" s="2425"/>
      <c r="Z8" s="2266"/>
      <c r="AA8" s="2425"/>
      <c r="AB8" s="2266"/>
      <c r="AC8" s="471"/>
      <c r="AD8" s="471"/>
      <c r="AE8" s="474" t="str">
        <f>AF7&amp;"-"&amp;AH7</f>
        <v>-</v>
      </c>
      <c r="AF8" s="2425"/>
      <c r="AG8" s="2266"/>
      <c r="AH8" s="2447"/>
      <c r="AI8" s="2266"/>
      <c r="AJ8" s="1585"/>
      <c r="AK8" s="2508"/>
      <c r="AM8" s="646"/>
      <c r="AN8" s="646" t="str">
        <f>IF(T8="","",T8)</f>
        <v/>
      </c>
      <c r="AO8" s="646"/>
      <c r="AP8" s="646"/>
      <c r="AQ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513"/>
      <c r="X9" s="513"/>
      <c r="Y9" s="513"/>
      <c r="Z9" s="513"/>
      <c r="AA9" s="513"/>
      <c r="AB9" s="513"/>
      <c r="AC9" s="513"/>
      <c r="AD9" s="513"/>
      <c r="AE9" s="513"/>
      <c r="AF9" s="513"/>
      <c r="AG9" s="513"/>
      <c r="AH9" s="513"/>
      <c r="AI9" s="513"/>
      <c r="AJ9" s="513"/>
      <c r="AK9" s="1404" t="s">
        <v>509</v>
      </c>
      <c r="AM9" s="646"/>
      <c r="AN9" s="646" t="str">
        <f>IF(T9="","",T9)</f>
        <v>Добавить значение признака дифференциации</v>
      </c>
      <c r="AO9" s="646"/>
      <c r="AP9" s="646"/>
      <c r="AQ9" s="1301">
        <v>0</v>
      </c>
    </row>
    <row customHeight="1" ht="21" hidden="1">
      <c r="A10" s="1509"/>
      <c r="B10" s="1509"/>
      <c r="C10" s="1509"/>
      <c r="D10" s="1509"/>
      <c r="E10" s="2418"/>
      <c r="F10" s="2418"/>
      <c r="G10" s="2418"/>
      <c r="H10" s="2418"/>
      <c r="I10" s="2415"/>
      <c r="J10" s="1509"/>
      <c r="K10" s="1509"/>
      <c r="L10" s="1510"/>
      <c r="P10" s="2416"/>
      <c r="Q10" s="1596"/>
      <c r="R10" s="502"/>
      <c r="S10" s="1424"/>
      <c r="T10" s="511" t="s">
        <v>434</v>
      </c>
      <c r="U10" s="513"/>
      <c r="V10" s="513"/>
      <c r="W10" s="513"/>
      <c r="X10" s="513"/>
      <c r="Y10" s="513"/>
      <c r="Z10" s="513"/>
      <c r="AA10" s="513"/>
      <c r="AB10" s="512"/>
      <c r="AC10" s="513"/>
      <c r="AD10" s="513"/>
      <c r="AE10" s="513"/>
      <c r="AF10" s="513"/>
      <c r="AG10" s="513"/>
      <c r="AH10" s="513"/>
      <c r="AI10" s="512"/>
      <c r="AJ10" s="513"/>
      <c r="AK10" s="1586"/>
      <c r="AM10" s="646"/>
      <c r="AN10" s="646" t="str">
        <f>IF(T10="","",T10)</f>
        <v>Добавить группу потребителей</v>
      </c>
      <c r="AO10" s="646"/>
      <c r="AP10" s="646"/>
      <c r="AQ10" s="1301">
        <v>0</v>
      </c>
    </row>
    <row customHeight="1" ht="21"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513"/>
      <c r="X11" s="513"/>
      <c r="Y11" s="513"/>
      <c r="Z11" s="513"/>
      <c r="AA11" s="513"/>
      <c r="AB11" s="512"/>
      <c r="AC11" s="513"/>
      <c r="AD11" s="513"/>
      <c r="AE11" s="513"/>
      <c r="AF11" s="513"/>
      <c r="AG11" s="513"/>
      <c r="AH11" s="513"/>
      <c r="AI11" s="512"/>
      <c r="AJ11" s="513"/>
      <c r="AK11" s="449"/>
      <c r="AM11" s="646"/>
      <c r="AN11" s="646" t="str">
        <f>IF(T11="","",T11)</f>
        <v>Добавить наименование признака дифференциации</v>
      </c>
      <c r="AO11" s="646"/>
      <c r="AP11" s="646"/>
      <c r="AQ11" s="1301">
        <v>0</v>
      </c>
    </row>
    <row s="6720" customFormat="1" customHeight="1" ht="14.25" hidden="1">
      <c r="A12" s="1489"/>
      <c r="B12" s="1489"/>
      <c r="C12" s="1460"/>
      <c r="D12" s="1460"/>
      <c r="E12" s="2418"/>
      <c r="F12" s="2417"/>
      <c r="G12" s="1460"/>
      <c r="H12" s="1460"/>
      <c r="I12" s="1460"/>
      <c r="J12" s="1460"/>
      <c r="K12" s="1460"/>
      <c r="L12" s="1604"/>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M12" s="935"/>
      <c r="AN12" s="935" t="str">
        <f>IF(T12="","",T12)</f>
        <v>Добавить централизованную систему для дифференциации</v>
      </c>
      <c r="AO12" s="935"/>
      <c r="AP12" s="935"/>
      <c r="AQ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M13" s="646"/>
      <c r="AN13" s="646" t="str">
        <f>IF(T13="","",T13)</f>
        <v>Добавить территорию для дифференциации</v>
      </c>
      <c r="AO13" s="646"/>
      <c r="AP13" s="646"/>
      <c r="AQ13" s="657">
        <v>0</v>
      </c>
    </row>
    <row customHeight="1" ht="14.25" hidden="1">
      <c r="AB14" s="473"/>
      <c r="AI14" s="473"/>
      <c r="AQ14" s="1301">
        <v>0</v>
      </c>
    </row>
    <row customHeight="1" ht="14.25" hidden="1">
      <c r="AC15" s="1506"/>
      <c r="AD15" s="1506"/>
      <c r="AE15" s="1507"/>
      <c r="AF15" s="2426"/>
      <c r="AG15" s="2427" t="s">
        <v>63</v>
      </c>
      <c r="AH15" s="2426"/>
      <c r="AI15" s="2427" t="s">
        <v>63</v>
      </c>
      <c r="AQ15" s="1301">
        <v>0</v>
      </c>
    </row>
    <row customHeight="1" ht="14.25" hidden="1">
      <c r="AC16" s="1506"/>
      <c r="AD16" s="1506"/>
      <c r="AE16" s="474" t="str">
        <f>AF15&amp;"-"&amp;AH15</f>
        <v>-</v>
      </c>
      <c r="AF16" s="2427"/>
      <c r="AG16" s="2427"/>
      <c r="AH16" s="2427"/>
      <c r="AI16" s="2427"/>
      <c r="AQ16" s="1301">
        <v>0</v>
      </c>
    </row>
    <row customHeight="1" ht="14.25" hidden="1">
      <c r="AI17" s="473"/>
      <c r="AQ17" s="1301">
        <v>0</v>
      </c>
    </row>
    <row s="7180" customFormat="1" customHeight="1" ht="22.5" hidden="1">
      <c r="L18" s="1593"/>
      <c r="M18" s="1508"/>
      <c r="N18" s="1508"/>
      <c r="O18" s="1513" t="s">
        <v>439</v>
      </c>
      <c r="P18" s="1508"/>
      <c r="Q18" s="1517"/>
      <c r="R18" s="1517"/>
      <c r="S18" s="875"/>
      <c r="Y18" s="1513"/>
      <c r="AA18" s="1513"/>
      <c r="AB18" s="1512"/>
      <c r="AF18" s="1513"/>
      <c r="AH18" s="1513"/>
      <c r="AI18" s="1512"/>
      <c r="AL18" s="657"/>
      <c r="AM18" s="657"/>
      <c r="AN18" s="657"/>
      <c r="AO18" s="657"/>
      <c r="AP18" s="657"/>
      <c r="AQ18" s="1306">
        <v>0</v>
      </c>
    </row>
    <row s="7180" customFormat="1" customHeight="1" ht="14.25" hidden="1">
      <c r="L19" s="1593"/>
      <c r="M19" s="1508"/>
      <c r="N19" s="1508"/>
      <c r="O19" s="1508"/>
      <c r="P19" s="1508"/>
      <c r="Q19" s="1517"/>
      <c r="R19" s="1517"/>
      <c r="S19" s="875"/>
      <c r="AB19" s="1512"/>
      <c r="AI19" s="1512"/>
      <c r="AL19" s="657"/>
      <c r="AM19" s="657"/>
      <c r="AN19" s="657"/>
      <c r="AO19" s="657"/>
      <c r="AP19" s="657"/>
      <c r="AQ19" s="1306">
        <v>0</v>
      </c>
    </row>
    <row s="7180" customFormat="1" customHeight="1" ht="12" hidden="1">
      <c r="L20" s="1593"/>
      <c r="M20" s="1508"/>
      <c r="N20" s="1508"/>
      <c r="O20" s="1510" t="s">
        <v>440</v>
      </c>
      <c r="P20" s="1508"/>
      <c r="Q20" s="1588"/>
      <c r="R20" s="1588"/>
      <c r="S20" s="875"/>
      <c r="T20" s="1306" t="s">
        <v>441</v>
      </c>
      <c r="Z20" s="332" t="s">
        <v>442</v>
      </c>
      <c r="AB20" s="332" t="s">
        <v>443</v>
      </c>
      <c r="AC20" s="1306" t="s">
        <v>441</v>
      </c>
      <c r="AG20" s="332" t="s">
        <v>444</v>
      </c>
      <c r="AI20" s="332" t="s">
        <v>443</v>
      </c>
      <c r="AQ20" s="1306">
        <v>0</v>
      </c>
    </row>
    <row customHeight="1" ht="14.25" hidden="1">
      <c r="O21" s="1510"/>
      <c r="AQ21" s="1301">
        <v>0</v>
      </c>
    </row>
    <row customHeight="1" ht="14.25" hidden="1">
      <c r="O22" s="1510"/>
      <c r="AQ22" s="1301">
        <v>0</v>
      </c>
    </row>
    <row customHeight="1" ht="14.699999999999998">
      <c r="Q23" s="522"/>
      <c r="R23" s="522"/>
      <c r="S23" s="1421"/>
      <c r="T23" s="509"/>
      <c r="U23" s="509"/>
      <c r="V23" s="655"/>
      <c r="W23" s="655"/>
      <c r="X23" s="655"/>
      <c r="Y23" s="655"/>
      <c r="Z23" s="655"/>
      <c r="AA23" s="655"/>
      <c r="AB23" s="655"/>
      <c r="AC23" s="655"/>
      <c r="AD23" s="655"/>
      <c r="AE23" s="655"/>
      <c r="AF23" s="655"/>
      <c r="AG23" s="655"/>
      <c r="AH23" s="655"/>
      <c r="AI23" s="655"/>
      <c r="AQ23" s="1301">
        <v>14</v>
      </c>
    </row>
    <row customHeight="1" ht="14.699999999999998">
      <c r="Q24" s="522"/>
      <c r="R24" s="522"/>
      <c r="S24" s="24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7"/>
      <c r="U24" s="2407"/>
      <c r="V24" s="2407"/>
      <c r="W24" s="2407"/>
      <c r="X24" s="2407"/>
      <c r="Y24" s="2407"/>
      <c r="Z24" s="2407"/>
      <c r="AA24" s="2407"/>
      <c r="AB24" s="2407"/>
      <c r="AC24" s="2407"/>
      <c r="AD24" s="2407"/>
      <c r="AE24" s="2407"/>
      <c r="AF24" s="2407"/>
      <c r="AG24" s="2407"/>
      <c r="AH24" s="2407"/>
      <c r="AI24" s="1389"/>
      <c r="AQ24" s="1301">
        <v>14</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1389"/>
      <c r="AQ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655"/>
      <c r="AQ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472"/>
      <c r="AC27" s="2410" t="str">
        <f>IF(TITLE_NAME_OR_PR_CHANGE="",IF(TITLE_NAME_OR_PR="","",TITLE_NAME_OR_PR),TITLE_NAME_OR_PR_CHANGE)</f>
        <v/>
      </c>
      <c r="AD27" s="2410"/>
      <c r="AE27" s="2410"/>
      <c r="AF27" s="2410"/>
      <c r="AG27" s="2410"/>
      <c r="AH27" s="2410"/>
      <c r="AI27" s="472"/>
      <c r="AJ27" s="472"/>
      <c r="AK27" s="426"/>
      <c r="AL27" s="514"/>
      <c r="AM27" s="514"/>
      <c r="AN27" s="514"/>
      <c r="AO27" s="514"/>
      <c r="AP27" s="514"/>
      <c r="AQ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472"/>
      <c r="AC28" s="2423" t="str">
        <f>IF(TITLE_DATE_PR_CHANGE="",IF(TITLE_DATE_PR="","",TITLE_DATE_PR),TITLE_DATE_PR_CHANGE)</f>
        <v/>
      </c>
      <c r="AD28" s="2423"/>
      <c r="AE28" s="2423"/>
      <c r="AF28" s="2423"/>
      <c r="AG28" s="2423"/>
      <c r="AH28" s="2423"/>
      <c r="AI28" s="472"/>
      <c r="AJ28" s="472"/>
      <c r="AK28" s="426"/>
      <c r="AL28" s="514"/>
      <c r="AM28" s="514"/>
      <c r="AN28" s="514"/>
      <c r="AO28" s="514"/>
      <c r="AP28" s="514"/>
      <c r="AQ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472"/>
      <c r="AC29" s="2410" t="str">
        <f>IF(TITLE_NUMBER_PR_CHANGE="",IF(TITLE_NUMBER_PR="","",TITLE_NUMBER_PR),TITLE_NUMBER_PR_CHANGE)</f>
        <v/>
      </c>
      <c r="AD29" s="2410"/>
      <c r="AE29" s="2410"/>
      <c r="AF29" s="2410"/>
      <c r="AG29" s="2410"/>
      <c r="AH29" s="2410"/>
      <c r="AI29" s="472"/>
      <c r="AJ29" s="472"/>
      <c r="AK29" s="426"/>
      <c r="AL29" s="514"/>
      <c r="AM29" s="514"/>
      <c r="AN29" s="514"/>
      <c r="AO29" s="514"/>
      <c r="AP29" s="514"/>
      <c r="AQ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472"/>
      <c r="AC30" s="2410" t="str">
        <f>IF(TITLE_IST_PUB_CHANGE="",IF(TITLE_IST_PUB="","",TITLE_IST_PUB),TITLE_IST_PUB_CHANGE)</f>
        <v/>
      </c>
      <c r="AD30" s="2410"/>
      <c r="AE30" s="2410"/>
      <c r="AF30" s="2410"/>
      <c r="AG30" s="2410"/>
      <c r="AH30" s="2410"/>
      <c r="AI30" s="472"/>
      <c r="AJ30" s="472"/>
      <c r="AK30" s="426"/>
      <c r="AL30" s="514"/>
      <c r="AM30" s="514"/>
      <c r="AN30" s="514"/>
      <c r="AO30" s="514"/>
      <c r="AP30" s="514"/>
      <c r="AQ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655"/>
      <c r="AQ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472"/>
      <c r="AC32" s="2423" t="str">
        <f>IF(TITLE_DATE_PR_CHANGE="",IF(TITLE_DATE_PR="","",TITLE_DATE_PR),TITLE_DATE_PR_CHANGE)</f>
        <v/>
      </c>
      <c r="AD32" s="2423"/>
      <c r="AE32" s="2423"/>
      <c r="AF32" s="2423"/>
      <c r="AG32" s="2423"/>
      <c r="AH32" s="2423"/>
      <c r="AI32" s="472"/>
      <c r="AJ32" s="472"/>
      <c r="AK32" s="426"/>
      <c r="AL32" s="514"/>
      <c r="AM32" s="514"/>
      <c r="AN32" s="514"/>
      <c r="AO32" s="514"/>
      <c r="AP32" s="514"/>
      <c r="AQ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472"/>
      <c r="AC33" s="2410" t="str">
        <f>IF(TITLE_NUMBER_PR_CHANGE="",IF(TITLE_NUMBER_PR="","",TITLE_NUMBER_PR),TITLE_NUMBER_PR_CHANGE)</f>
        <v/>
      </c>
      <c r="AD33" s="2410"/>
      <c r="AE33" s="2410"/>
      <c r="AF33" s="2410"/>
      <c r="AG33" s="2410"/>
      <c r="AH33" s="2410"/>
      <c r="AI33" s="472"/>
      <c r="AJ33" s="472"/>
      <c r="AK33" s="426"/>
      <c r="AL33" s="514"/>
      <c r="AM33" s="514"/>
      <c r="AN33" s="514"/>
      <c r="AO33" s="514"/>
      <c r="AP33" s="514"/>
      <c r="AQ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600"/>
      <c r="V34" s="472"/>
      <c r="W34" s="472"/>
      <c r="X34" s="472"/>
      <c r="Y34" s="472"/>
      <c r="Z34" s="472"/>
      <c r="AA34" s="472"/>
      <c r="AB34" s="424" t="s">
        <v>449</v>
      </c>
      <c r="AC34" s="472"/>
      <c r="AD34" s="472"/>
      <c r="AE34" s="472"/>
      <c r="AF34" s="472"/>
      <c r="AG34" s="472"/>
      <c r="AH34" s="472"/>
      <c r="AI34" s="424" t="s">
        <v>449</v>
      </c>
      <c r="AL34" s="514"/>
      <c r="AM34" s="514"/>
      <c r="AN34" s="514"/>
      <c r="AO34" s="514"/>
      <c r="AP34" s="514"/>
      <c r="AQ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Q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t="s">
        <v>323</v>
      </c>
      <c r="AQ36" s="1301">
        <v>14</v>
      </c>
    </row>
    <row customHeight="1" ht="14.699999999999998">
      <c r="Q37" s="522"/>
      <c r="R37" s="522"/>
      <c r="S37" s="2432" t="s">
        <v>89</v>
      </c>
      <c r="T37" s="2368" t="s">
        <v>450</v>
      </c>
      <c r="U37" s="447"/>
      <c r="V37" s="2433" t="s">
        <v>451</v>
      </c>
      <c r="W37" s="2434"/>
      <c r="X37" s="2434"/>
      <c r="Y37" s="2434"/>
      <c r="Z37" s="2434"/>
      <c r="AA37" s="2435"/>
      <c r="AB37" s="2436" t="s">
        <v>452</v>
      </c>
      <c r="AC37" s="2433" t="s">
        <v>451</v>
      </c>
      <c r="AD37" s="2434"/>
      <c r="AE37" s="2434"/>
      <c r="AF37" s="2434"/>
      <c r="AG37" s="2434"/>
      <c r="AH37" s="2435"/>
      <c r="AI37" s="2436" t="s">
        <v>453</v>
      </c>
      <c r="AJ37" s="2439" t="s">
        <v>454</v>
      </c>
      <c r="AK37" s="2286"/>
      <c r="AQ37" s="1301">
        <v>14</v>
      </c>
    </row>
    <row customHeight="1" ht="35.699999999999996">
      <c r="Q38" s="522"/>
      <c r="R38" s="522"/>
      <c r="S38" s="2432"/>
      <c r="T38" s="2368"/>
      <c r="U38" s="1177"/>
      <c r="V38" s="1598" t="s">
        <v>511</v>
      </c>
      <c r="W38" s="2421" t="s">
        <v>457</v>
      </c>
      <c r="X38" s="2422"/>
      <c r="Y38" s="2421" t="s">
        <v>458</v>
      </c>
      <c r="Z38" s="2428"/>
      <c r="AA38" s="2422"/>
      <c r="AB38" s="2437"/>
      <c r="AC38" s="1598" t="s">
        <v>511</v>
      </c>
      <c r="AD38" s="2421" t="s">
        <v>457</v>
      </c>
      <c r="AE38" s="2422"/>
      <c r="AF38" s="2421" t="s">
        <v>458</v>
      </c>
      <c r="AG38" s="2428"/>
      <c r="AH38" s="2422"/>
      <c r="AI38" s="2437"/>
      <c r="AJ38" s="2440"/>
      <c r="AK38" s="2286"/>
      <c r="AQ38" s="1301">
        <v>34</v>
      </c>
    </row>
    <row customHeight="1" ht="35.699999999999996">
      <c r="A39" s="1516"/>
      <c r="B39" s="1516" t="s">
        <v>159</v>
      </c>
      <c r="C39" s="1516" t="s">
        <v>160</v>
      </c>
      <c r="D39" s="1516" t="s">
        <v>161</v>
      </c>
      <c r="E39" s="1510" t="s">
        <v>459</v>
      </c>
      <c r="F39" s="1510" t="s">
        <v>460</v>
      </c>
      <c r="G39" s="1510" t="s">
        <v>461</v>
      </c>
      <c r="H39" s="1510"/>
      <c r="I39" s="1510" t="s">
        <v>512</v>
      </c>
      <c r="J39" s="1510" t="s">
        <v>464</v>
      </c>
      <c r="K39" s="1510" t="s">
        <v>513</v>
      </c>
      <c r="L39" s="1510" t="s">
        <v>440</v>
      </c>
      <c r="Q39" s="522"/>
      <c r="R39" s="522"/>
      <c r="S39" s="2432"/>
      <c r="T39" s="2368"/>
      <c r="U39" s="448"/>
      <c r="V39" s="1598" t="s">
        <v>514</v>
      </c>
      <c r="W39" s="1368" t="s">
        <v>515</v>
      </c>
      <c r="X39" s="1368" t="s">
        <v>516</v>
      </c>
      <c r="Y39" s="1601" t="s">
        <v>468</v>
      </c>
      <c r="Z39" s="2429" t="s">
        <v>469</v>
      </c>
      <c r="AA39" s="2430"/>
      <c r="AB39" s="2438"/>
      <c r="AC39" s="1598" t="s">
        <v>514</v>
      </c>
      <c r="AD39" s="1368" t="s">
        <v>515</v>
      </c>
      <c r="AE39" s="1368" t="s">
        <v>516</v>
      </c>
      <c r="AF39" s="1601" t="s">
        <v>468</v>
      </c>
      <c r="AG39" s="2429" t="s">
        <v>469</v>
      </c>
      <c r="AH39" s="2430"/>
      <c r="AI39" s="2438"/>
      <c r="AJ39" s="2441"/>
      <c r="AK39" s="2286"/>
      <c r="AQ39" s="1301">
        <v>34</v>
      </c>
    </row>
    <row s="6314" customFormat="1" customHeight="1" ht="0">
      <c r="A40" s="1516"/>
      <c r="B40" s="1516"/>
      <c r="C40" s="1516"/>
      <c r="D40" s="1516"/>
      <c r="E40" s="1516"/>
      <c r="F40" s="1516"/>
      <c r="G40" s="1516"/>
      <c r="H40" s="1516"/>
      <c r="I40" s="1516"/>
      <c r="J40" s="1516"/>
      <c r="K40" s="1516"/>
      <c r="L40" s="1510"/>
      <c r="M40" s="1508"/>
      <c r="N40" s="1508"/>
      <c r="O40" s="1508"/>
      <c r="P40" s="1392"/>
      <c r="Q40" s="1393"/>
      <c r="R40" s="1400">
        <v>1</v>
      </c>
      <c r="S40" s="1423" t="s">
        <v>121</v>
      </c>
      <c r="T40" s="1401" t="s">
        <v>105</v>
      </c>
      <c r="U40" s="1391" t="str">
        <f>OFFSET(U40,0,-1)</f>
        <v>2</v>
      </c>
      <c r="V40" s="1597">
        <f>OFFSET(V40,0,-1)+1</f>
        <v>3</v>
      </c>
      <c r="W40" s="1597">
        <f>OFFSET(W40,0,-1)+1</f>
        <v>4</v>
      </c>
      <c r="X40" s="1597">
        <f>OFFSET(X40,0,-1)+1</f>
        <v>5</v>
      </c>
      <c r="Y40" s="1597">
        <f>OFFSET(Y40,0,-1)+1</f>
        <v>6</v>
      </c>
      <c r="Z40" s="2431">
        <f>OFFSET(Z40,0,-1)+1</f>
        <v>7</v>
      </c>
      <c r="AA40" s="2431"/>
      <c r="AB40" s="1597">
        <f>OFFSET(AB40,0,-2)+1</f>
        <v>8</v>
      </c>
      <c r="AC40" s="1597">
        <f>OFFSET(AC40,0,-1)+1</f>
        <v>9</v>
      </c>
      <c r="AD40" s="1597">
        <f>OFFSET(AD40,0,-1)+1</f>
        <v>10</v>
      </c>
      <c r="AE40" s="1597">
        <f>OFFSET(AE40,0,-1)+1</f>
        <v>11</v>
      </c>
      <c r="AF40" s="1597">
        <f>OFFSET(AF40,0,-1)+1</f>
        <v>12</v>
      </c>
      <c r="AG40" s="2431">
        <f>OFFSET(AG40,0,-1)+1</f>
        <v>13</v>
      </c>
      <c r="AH40" s="2431"/>
      <c r="AI40" s="1597">
        <f>OFFSET(AI40,0,-2)+1</f>
        <v>14</v>
      </c>
      <c r="AJ40" s="1391">
        <f>OFFSET(AJ40,0,-1)</f>
        <v>14</v>
      </c>
      <c r="AK40" s="1597">
        <f>OFFSET(AK40,0,-1)+1</f>
        <v>15</v>
      </c>
      <c r="AL40" s="657"/>
      <c r="AM40" s="657"/>
      <c r="AN40" s="657"/>
      <c r="AO40" s="657"/>
      <c r="AP40" s="657"/>
      <c r="AQ40" s="642">
        <v>0</v>
      </c>
    </row>
    <row customHeight="1" ht="24">
      <c r="A41" s="1509" t="s">
        <v>258</v>
      </c>
      <c r="B41" s="1509"/>
      <c r="C41" s="1509"/>
      <c r="D41" s="1509"/>
      <c r="E41" s="2417">
        <v>1</v>
      </c>
      <c r="F41" s="1509"/>
      <c r="G41" s="1509"/>
      <c r="H41" s="1509"/>
      <c r="I41" s="1509"/>
      <c r="J41" s="1509"/>
      <c r="K41" s="1509"/>
      <c r="L41" s="1510"/>
      <c r="M41" s="1511"/>
      <c r="N41" s="1511"/>
      <c r="O41" s="1511"/>
      <c r="P41" s="507"/>
      <c r="Q41" s="506"/>
      <c r="R41" s="501"/>
      <c r="S41" s="1603">
        <f>INDEX(PT_DIFFERENTIATION_NUM_NTAR,MATCH(A41,PT_DIFFERENTIATION_NTAR_ID,0))</f>
        <v>0</v>
      </c>
      <c r="T41" s="444" t="s">
        <v>147</v>
      </c>
      <c r="U41" s="446"/>
      <c r="V41" s="2401"/>
      <c r="W41" s="2402"/>
      <c r="X41" s="2402"/>
      <c r="Y41" s="2402"/>
      <c r="Z41" s="2402"/>
      <c r="AA41" s="2402"/>
      <c r="AB41" s="2403"/>
      <c r="AC41" s="2401" t="str">
        <f>INDEX(PT_DIFFERENTIATION_NTAR,MATCH(A41,PT_DIFFERENTIATION_NTAR_ID,0))</f>
        <v/>
      </c>
      <c r="AD41" s="2402"/>
      <c r="AE41" s="2402"/>
      <c r="AF41" s="2402"/>
      <c r="AG41" s="2402"/>
      <c r="AH41" s="2402"/>
      <c r="AI41" s="2402"/>
      <c r="AJ41" s="2403"/>
      <c r="AK41"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46"/>
      <c r="AN41" s="646" t="str">
        <f>IF(T41="","",T41)</f>
        <v>Наименование тарифа</v>
      </c>
      <c r="AO41" s="646"/>
      <c r="AP41" s="646"/>
      <c r="AQ41" s="1301">
        <v>23</v>
      </c>
    </row>
    <row customHeight="1" ht="24">
      <c r="A42" s="1509" t="s">
        <v>258</v>
      </c>
      <c r="B42" s="1509" t="s">
        <v>259</v>
      </c>
      <c r="C42" s="1509"/>
      <c r="D42" s="1509"/>
      <c r="E42" s="2418"/>
      <c r="F42" s="2417">
        <v>1</v>
      </c>
      <c r="G42" s="1509"/>
      <c r="H42" s="1509"/>
      <c r="I42" s="1509"/>
      <c r="J42" s="1509"/>
      <c r="K42" s="1509"/>
      <c r="L42" s="1510"/>
      <c r="M42" s="1511"/>
      <c r="N42" s="1511"/>
      <c r="O42" s="1511"/>
      <c r="P42" s="1599"/>
      <c r="Q42" s="498"/>
      <c r="R42" s="499"/>
      <c r="S42" s="1603" t="str">
        <f>INDEX(PT_DIFFERENTIATION_NUM_TER,MATCH(B42,PT_DIFFERENTIATION_TER_ID,0))</f>
        <v>.</v>
      </c>
      <c r="T42" s="454" t="s">
        <v>419</v>
      </c>
      <c r="U42" s="446"/>
      <c r="V42" s="2401"/>
      <c r="W42" s="2402"/>
      <c r="X42" s="2402"/>
      <c r="Y42" s="2402"/>
      <c r="Z42" s="2402"/>
      <c r="AA42" s="2402"/>
      <c r="AB42" s="2403"/>
      <c r="AC42" s="2401" t="str">
        <f>INDEX(PT_DIFFERENTIATION_TER,MATCH(B42,PT_DIFFERENTIATION_TER_ID,0))</f>
        <v/>
      </c>
      <c r="AD42" s="2402"/>
      <c r="AE42" s="2402"/>
      <c r="AF42" s="2402"/>
      <c r="AG42" s="2402"/>
      <c r="AH42" s="2402"/>
      <c r="AI42" s="2402"/>
      <c r="AJ42" s="2403"/>
      <c r="AK42" s="1404" t="s">
        <v>420</v>
      </c>
      <c r="AM42" s="646"/>
      <c r="AN42" s="646" t="str">
        <f>IF(T42="","",T42)</f>
        <v>Территория действия тарифа</v>
      </c>
      <c r="AO42" s="646"/>
      <c r="AP42" s="646"/>
      <c r="AQ42" s="1301">
        <v>23</v>
      </c>
    </row>
    <row customHeight="1" ht="24">
      <c r="A43" s="1509" t="s">
        <v>258</v>
      </c>
      <c r="B43" s="1509" t="s">
        <v>259</v>
      </c>
      <c r="C43" s="1509" t="s">
        <v>260</v>
      </c>
      <c r="D43" s="1509"/>
      <c r="E43" s="2418"/>
      <c r="F43" s="2418"/>
      <c r="G43" s="2417">
        <v>1</v>
      </c>
      <c r="H43" s="1509"/>
      <c r="I43" s="1509"/>
      <c r="J43" s="1509"/>
      <c r="K43" s="1509"/>
      <c r="L43" s="1510"/>
      <c r="M43" s="1511"/>
      <c r="N43" s="1511"/>
      <c r="O43" s="1511"/>
      <c r="P43" s="500"/>
      <c r="Q43" s="498"/>
      <c r="R43" s="499"/>
      <c r="S43" s="1603" t="str">
        <f>INDEX(PT_DIFFERENTIATION_NUM_CS,MATCH(C43,PT_DIFFERENTIATION_CS_ID,0))</f>
        <v>..</v>
      </c>
      <c r="T43" s="455" t="s">
        <v>503</v>
      </c>
      <c r="U43" s="446"/>
      <c r="V43" s="2401"/>
      <c r="W43" s="2402"/>
      <c r="X43" s="2402"/>
      <c r="Y43" s="2402"/>
      <c r="Z43" s="2402"/>
      <c r="AA43" s="2402"/>
      <c r="AB43" s="2403"/>
      <c r="AC43" s="2401" t="str">
        <f>INDEX(PT_DIFFERENTIATION_CS,MATCH(C43,PT_DIFFERENTIATION_CS_ID,0))</f>
        <v/>
      </c>
      <c r="AD43" s="2402"/>
      <c r="AE43" s="2402"/>
      <c r="AF43" s="2402"/>
      <c r="AG43" s="2402"/>
      <c r="AH43" s="2402"/>
      <c r="AI43" s="2402"/>
      <c r="AJ43" s="2403"/>
      <c r="AK43" s="1404" t="s">
        <v>504</v>
      </c>
      <c r="AM43" s="646"/>
      <c r="AN43" s="646" t="str">
        <f>IF(T43="","",T43)</f>
        <v>Наименование централизованной системы холодного водоснабжения</v>
      </c>
      <c r="AO43" s="646"/>
      <c r="AP43" s="646"/>
      <c r="AQ43" s="1301">
        <v>23</v>
      </c>
    </row>
    <row customHeight="1" ht="24">
      <c r="A44" s="1509" t="s">
        <v>258</v>
      </c>
      <c r="B44" s="1509" t="s">
        <v>259</v>
      </c>
      <c r="C44" s="1509" t="s">
        <v>260</v>
      </c>
      <c r="D44" s="1509" t="s">
        <v>519</v>
      </c>
      <c r="E44" s="2418"/>
      <c r="F44" s="2418"/>
      <c r="G44" s="2418"/>
      <c r="H44" s="2418"/>
      <c r="I44" s="2415" t="str">
        <f>S43&amp;".1"</f>
        <v>...1</v>
      </c>
      <c r="J44" s="1509"/>
      <c r="K44" s="1509"/>
      <c r="L44" s="1510"/>
      <c r="P44" s="2416">
        <v>1</v>
      </c>
      <c r="Q44" s="1596"/>
      <c r="R44" s="502"/>
      <c r="S44" s="1603" t="str">
        <f>$I44</f>
        <v>...1</v>
      </c>
      <c r="T44" s="431" t="s">
        <v>505</v>
      </c>
      <c r="U44" s="446"/>
      <c r="V44" s="2509"/>
      <c r="W44" s="2510"/>
      <c r="X44" s="2510"/>
      <c r="Y44" s="2510"/>
      <c r="Z44" s="2510"/>
      <c r="AA44" s="2510"/>
      <c r="AB44" s="2511"/>
      <c r="AC44" s="2512"/>
      <c r="AD44" s="2513"/>
      <c r="AE44" s="2513"/>
      <c r="AF44" s="2513"/>
      <c r="AG44" s="2513"/>
      <c r="AH44" s="2513"/>
      <c r="AI44" s="2513"/>
      <c r="AJ44" s="2514"/>
      <c r="AK44" s="1404" t="s">
        <v>506</v>
      </c>
      <c r="AM44" s="646"/>
      <c r="AN44" s="646" t="str">
        <f>IF(T44="","",T44)</f>
        <v>Наименование признака дифференциации</v>
      </c>
      <c r="AO44" s="646"/>
      <c r="AP44" s="646"/>
      <c r="AQ44" s="1301">
        <v>23</v>
      </c>
    </row>
    <row customHeight="1" ht="24">
      <c r="A45" s="1509" t="s">
        <v>258</v>
      </c>
      <c r="B45" s="1509" t="s">
        <v>259</v>
      </c>
      <c r="C45" s="1509" t="s">
        <v>260</v>
      </c>
      <c r="D45" s="1509" t="s">
        <v>519</v>
      </c>
      <c r="E45" s="2418"/>
      <c r="F45" s="2418"/>
      <c r="G45" s="2418"/>
      <c r="H45" s="2418"/>
      <c r="I45" s="2445"/>
      <c r="J45" s="2415" t="str">
        <f>I44&amp;".1"</f>
        <v>...1.1</v>
      </c>
      <c r="K45" s="1509"/>
      <c r="L45" s="1510" t="s">
        <v>428</v>
      </c>
      <c r="P45" s="2416"/>
      <c r="Q45" s="2416">
        <v>1</v>
      </c>
      <c r="R45" s="503"/>
      <c r="S45" s="1603" t="str">
        <f>$J45</f>
        <v>...1.1</v>
      </c>
      <c r="T45" s="432" t="s">
        <v>429</v>
      </c>
      <c r="U45" s="446"/>
      <c r="V45" s="2404"/>
      <c r="W45" s="2405"/>
      <c r="X45" s="2405"/>
      <c r="Y45" s="2405"/>
      <c r="Z45" s="2405"/>
      <c r="AA45" s="2405"/>
      <c r="AB45" s="2406"/>
      <c r="AC45" s="2404"/>
      <c r="AD45" s="2405"/>
      <c r="AE45" s="2405"/>
      <c r="AF45" s="2405"/>
      <c r="AG45" s="2405"/>
      <c r="AH45" s="2405"/>
      <c r="AI45" s="2405"/>
      <c r="AJ45" s="2406"/>
      <c r="AK45" s="1453" t="s">
        <v>507</v>
      </c>
      <c r="AM45" s="646"/>
      <c r="AN45" s="646" t="str">
        <f>IF(T45="","",T45)</f>
        <v>Группа потребителей</v>
      </c>
      <c r="AO45" s="646"/>
      <c r="AP45" s="646"/>
      <c r="AQ45" s="1301">
        <v>23</v>
      </c>
    </row>
    <row customHeight="1" ht="24">
      <c r="A46" s="1509" t="s">
        <v>258</v>
      </c>
      <c r="B46" s="1509" t="s">
        <v>259</v>
      </c>
      <c r="C46" s="1509" t="s">
        <v>260</v>
      </c>
      <c r="D46" s="1509" t="s">
        <v>519</v>
      </c>
      <c r="E46" s="2418"/>
      <c r="F46" s="2418"/>
      <c r="G46" s="2418"/>
      <c r="H46" s="2418"/>
      <c r="I46" s="2445"/>
      <c r="J46" s="2445"/>
      <c r="K46" s="2415" t="str">
        <f>J45&amp;".1"</f>
        <v>...1.1.1</v>
      </c>
      <c r="L46" s="1510"/>
      <c r="P46" s="2416"/>
      <c r="Q46" s="2416"/>
      <c r="R46" s="503">
        <v>1</v>
      </c>
      <c r="S46" s="1603" t="str">
        <f>$K46</f>
        <v>...1.1.1</v>
      </c>
      <c r="T46" s="1583"/>
      <c r="U46" s="446"/>
      <c r="V46" s="897"/>
      <c r="W46" s="897"/>
      <c r="X46" s="1403"/>
      <c r="Y46" s="2424"/>
      <c r="Z46" s="2266" t="s">
        <v>63</v>
      </c>
      <c r="AA46" s="2424"/>
      <c r="AB46" s="2266" t="s">
        <v>63</v>
      </c>
      <c r="AC46" s="897"/>
      <c r="AD46" s="897"/>
      <c r="AE46" s="1403"/>
      <c r="AF46" s="2424"/>
      <c r="AG46" s="2266" t="s">
        <v>63</v>
      </c>
      <c r="AH46" s="2446"/>
      <c r="AI46" s="2266" t="s">
        <v>63</v>
      </c>
      <c r="AJ46" s="1584"/>
      <c r="AK46"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7">
        <f>STRCHECKDATE(V47:AJ47)</f>
      </c>
      <c r="AM46" s="646"/>
      <c r="AN46" s="646" t="str">
        <f>IF(T46="","",T46)</f>
        <v/>
      </c>
      <c r="AO46" s="646"/>
      <c r="AP46" s="646"/>
      <c r="AQ46" s="1301">
        <v>23</v>
      </c>
    </row>
    <row customHeight="1" ht="0">
      <c r="A47" s="1509" t="s">
        <v>258</v>
      </c>
      <c r="B47" s="1509" t="s">
        <v>259</v>
      </c>
      <c r="C47" s="1509" t="s">
        <v>260</v>
      </c>
      <c r="D47" s="1509" t="s">
        <v>519</v>
      </c>
      <c r="E47" s="2418"/>
      <c r="F47" s="2418"/>
      <c r="G47" s="2418"/>
      <c r="H47" s="2418"/>
      <c r="I47" s="2445"/>
      <c r="J47" s="2445"/>
      <c r="K47" s="2415"/>
      <c r="L47" s="1510"/>
      <c r="P47" s="2416"/>
      <c r="Q47" s="2416"/>
      <c r="R47" s="503"/>
      <c r="S47" s="1602"/>
      <c r="T47" s="446"/>
      <c r="U47" s="446"/>
      <c r="V47" s="471"/>
      <c r="W47" s="471"/>
      <c r="X47" s="474" t="str">
        <f>Y46&amp;"-"&amp;AA46</f>
        <v>-</v>
      </c>
      <c r="Y47" s="2425"/>
      <c r="Z47" s="2266"/>
      <c r="AA47" s="2425"/>
      <c r="AB47" s="2266"/>
      <c r="AC47" s="471"/>
      <c r="AD47" s="471"/>
      <c r="AE47" s="474" t="str">
        <f>AF46&amp;"-"&amp;AH46</f>
        <v>-</v>
      </c>
      <c r="AF47" s="2425"/>
      <c r="AG47" s="2266"/>
      <c r="AH47" s="2447"/>
      <c r="AI47" s="2266"/>
      <c r="AJ47" s="1585"/>
      <c r="AK47" s="2508"/>
      <c r="AM47" s="646"/>
      <c r="AN47" s="646" t="str">
        <f>IF(T47="","",T47)</f>
        <v/>
      </c>
      <c r="AO47" s="646"/>
      <c r="AP47" s="646"/>
      <c r="AQ47" s="1301">
        <v>0</v>
      </c>
    </row>
    <row customHeight="1" ht="21">
      <c r="A48" s="1509" t="s">
        <v>258</v>
      </c>
      <c r="B48" s="1509" t="s">
        <v>259</v>
      </c>
      <c r="C48" s="1509" t="s">
        <v>260</v>
      </c>
      <c r="D48" s="1509" t="s">
        <v>519</v>
      </c>
      <c r="E48" s="2418"/>
      <c r="F48" s="2418"/>
      <c r="G48" s="2418"/>
      <c r="H48" s="2418"/>
      <c r="I48" s="2445"/>
      <c r="J48" s="2415"/>
      <c r="K48" s="1509"/>
      <c r="L48" s="1510"/>
      <c r="P48" s="2416"/>
      <c r="Q48" s="2416"/>
      <c r="R48" s="502"/>
      <c r="S48" s="1424"/>
      <c r="T48" s="433" t="s">
        <v>508</v>
      </c>
      <c r="U48" s="513"/>
      <c r="V48" s="513"/>
      <c r="W48" s="513"/>
      <c r="X48" s="513"/>
      <c r="Y48" s="513"/>
      <c r="Z48" s="513"/>
      <c r="AA48" s="513"/>
      <c r="AB48" s="513"/>
      <c r="AC48" s="513"/>
      <c r="AD48" s="513"/>
      <c r="AE48" s="513"/>
      <c r="AF48" s="513"/>
      <c r="AG48" s="513"/>
      <c r="AH48" s="513"/>
      <c r="AI48" s="513"/>
      <c r="AJ48" s="513"/>
      <c r="AK48" s="1404" t="s">
        <v>509</v>
      </c>
      <c r="AM48" s="646"/>
      <c r="AN48" s="646" t="str">
        <f>IF(T48="","",T48)</f>
        <v>Добавить значение признака дифференциации</v>
      </c>
      <c r="AO48" s="646"/>
      <c r="AP48" s="646"/>
      <c r="AQ48" s="1301">
        <v>20</v>
      </c>
    </row>
    <row customHeight="1" ht="22.049999999999997">
      <c r="A49" s="1509" t="s">
        <v>258</v>
      </c>
      <c r="B49" s="1509" t="s">
        <v>259</v>
      </c>
      <c r="C49" s="1509" t="s">
        <v>260</v>
      </c>
      <c r="D49" s="1509" t="s">
        <v>519</v>
      </c>
      <c r="E49" s="2418"/>
      <c r="F49" s="2418"/>
      <c r="G49" s="2418"/>
      <c r="H49" s="2418"/>
      <c r="I49" s="2415"/>
      <c r="J49" s="1509"/>
      <c r="K49" s="1509"/>
      <c r="L49" s="1510"/>
      <c r="P49" s="2416"/>
      <c r="Q49" s="1596"/>
      <c r="R49" s="502"/>
      <c r="S49" s="1424"/>
      <c r="T49" s="511" t="s">
        <v>434</v>
      </c>
      <c r="U49" s="513"/>
      <c r="V49" s="513"/>
      <c r="W49" s="513"/>
      <c r="X49" s="513"/>
      <c r="Y49" s="513"/>
      <c r="Z49" s="513"/>
      <c r="AA49" s="513"/>
      <c r="AB49" s="512"/>
      <c r="AC49" s="513"/>
      <c r="AD49" s="513"/>
      <c r="AE49" s="513"/>
      <c r="AF49" s="513"/>
      <c r="AG49" s="513"/>
      <c r="AH49" s="513"/>
      <c r="AI49" s="512"/>
      <c r="AJ49" s="513"/>
      <c r="AK49" s="1586"/>
      <c r="AM49" s="646"/>
      <c r="AN49" s="646" t="str">
        <f>IF(T49="","",T49)</f>
        <v>Добавить группу потребителей</v>
      </c>
      <c r="AO49" s="646"/>
      <c r="AP49" s="646"/>
      <c r="AQ49" s="1301">
        <v>21</v>
      </c>
    </row>
    <row customHeight="1" ht="22.049999999999997">
      <c r="A50" s="1509" t="s">
        <v>258</v>
      </c>
      <c r="B50" s="1509" t="s">
        <v>259</v>
      </c>
      <c r="C50" s="1509" t="s">
        <v>260</v>
      </c>
      <c r="D50" s="1509" t="s">
        <v>519</v>
      </c>
      <c r="E50" s="2418"/>
      <c r="F50" s="2418"/>
      <c r="G50" s="2418"/>
      <c r="H50" s="2417"/>
      <c r="I50" s="1509"/>
      <c r="J50" s="1509"/>
      <c r="K50" s="1509"/>
      <c r="L50" s="1510"/>
      <c r="M50" s="1511"/>
      <c r="N50" s="1511"/>
      <c r="O50" s="683"/>
      <c r="P50" s="506"/>
      <c r="Q50" s="521"/>
      <c r="R50" s="501"/>
      <c r="S50" s="1424"/>
      <c r="T50" s="518" t="s">
        <v>510</v>
      </c>
      <c r="U50" s="513"/>
      <c r="V50" s="513"/>
      <c r="W50" s="513"/>
      <c r="X50" s="513"/>
      <c r="Y50" s="513"/>
      <c r="Z50" s="513"/>
      <c r="AA50" s="513"/>
      <c r="AB50" s="512"/>
      <c r="AC50" s="513"/>
      <c r="AD50" s="513"/>
      <c r="AE50" s="513"/>
      <c r="AF50" s="513"/>
      <c r="AG50" s="513"/>
      <c r="AH50" s="513"/>
      <c r="AI50" s="512"/>
      <c r="AJ50" s="513"/>
      <c r="AK50" s="449"/>
      <c r="AM50" s="646"/>
      <c r="AN50" s="646" t="str">
        <f>IF(T50="","",T50)</f>
        <v>Добавить наименование признака дифференциации</v>
      </c>
      <c r="AO50" s="646"/>
      <c r="AP50" s="646"/>
      <c r="AQ50" s="1301">
        <v>21</v>
      </c>
    </row>
    <row s="6720" customFormat="1" customHeight="1" ht="0">
      <c r="A51" s="1489" t="s">
        <v>258</v>
      </c>
      <c r="B51" s="1489" t="s">
        <v>259</v>
      </c>
      <c r="C51" s="1460"/>
      <c r="D51" s="1460"/>
      <c r="E51" s="2418"/>
      <c r="F51" s="2417"/>
      <c r="G51" s="1460"/>
      <c r="H51" s="1460"/>
      <c r="I51" s="1460"/>
      <c r="J51" s="1460"/>
      <c r="K51" s="1460"/>
      <c r="L51" s="1604"/>
      <c r="M51" s="1467"/>
      <c r="N51" s="1467"/>
      <c r="P51" s="1462"/>
      <c r="Q51" s="1463"/>
      <c r="R51" s="1462"/>
      <c r="S51" s="1468"/>
      <c r="T51" s="1471" t="s">
        <v>437</v>
      </c>
      <c r="U51" s="1470"/>
      <c r="V51" s="1470"/>
      <c r="W51" s="1470"/>
      <c r="X51" s="1470"/>
      <c r="Y51" s="1470"/>
      <c r="Z51" s="1470"/>
      <c r="AA51" s="1470"/>
      <c r="AB51" s="1470"/>
      <c r="AC51" s="1470"/>
      <c r="AD51" s="1470"/>
      <c r="AE51" s="1470"/>
      <c r="AF51" s="1470"/>
      <c r="AG51" s="1470"/>
      <c r="AH51" s="1470"/>
      <c r="AI51" s="1470"/>
      <c r="AJ51" s="1470"/>
      <c r="AK51" s="1470"/>
      <c r="AM51" s="935"/>
      <c r="AN51" s="935" t="str">
        <f>IF(T51="","",T51)</f>
        <v>Добавить централизованную систему для дифференциации</v>
      </c>
      <c r="AO51" s="935"/>
      <c r="AP51" s="935"/>
      <c r="AQ51" s="664">
        <v>0</v>
      </c>
    </row>
    <row s="6720" customFormat="1" customHeight="1" ht="0">
      <c r="A52" s="1489" t="s">
        <v>258</v>
      </c>
      <c r="B52" s="1489"/>
      <c r="C52" s="1489"/>
      <c r="D52" s="1489"/>
      <c r="E52" s="2417"/>
      <c r="F52" s="1489"/>
      <c r="G52" s="1489"/>
      <c r="H52" s="1489"/>
      <c r="I52" s="1489"/>
      <c r="J52" s="1489"/>
      <c r="K52" s="1489"/>
      <c r="L52" s="1492"/>
      <c r="M52" s="1467"/>
      <c r="N52" s="1467"/>
      <c r="O52" s="664"/>
      <c r="P52" s="526"/>
      <c r="Q52" s="1490"/>
      <c r="R52" s="526"/>
      <c r="S52" s="1468"/>
      <c r="T52" s="1471" t="s">
        <v>438</v>
      </c>
      <c r="U52" s="1470"/>
      <c r="V52" s="1470"/>
      <c r="W52" s="1470"/>
      <c r="X52" s="1470"/>
      <c r="Y52" s="1470"/>
      <c r="Z52" s="1470"/>
      <c r="AA52" s="1470"/>
      <c r="AB52" s="1470"/>
      <c r="AC52" s="1470"/>
      <c r="AD52" s="1470"/>
      <c r="AE52" s="1470"/>
      <c r="AF52" s="1470"/>
      <c r="AG52" s="1470"/>
      <c r="AH52" s="1470"/>
      <c r="AI52" s="1470"/>
      <c r="AJ52" s="1470"/>
      <c r="AK52" s="1470"/>
      <c r="AM52" s="646"/>
      <c r="AN52" s="646" t="str">
        <f>IF(T52="","",T52)</f>
        <v>Добавить территорию для дифференциации</v>
      </c>
      <c r="AO52" s="646"/>
      <c r="AP52" s="646"/>
      <c r="AQ52" s="657">
        <v>0</v>
      </c>
    </row>
    <row s="6720" customFormat="1" customHeight="1" ht="0">
      <c r="A53" s="1460"/>
      <c r="B53" s="1460"/>
      <c r="C53" s="1460"/>
      <c r="D53" s="1460"/>
      <c r="E53" s="1489"/>
      <c r="F53" s="1460"/>
      <c r="G53" s="1460"/>
      <c r="H53" s="1460"/>
      <c r="I53" s="1460"/>
      <c r="J53" s="1460"/>
      <c r="K53" s="1460"/>
      <c r="L53" s="1604"/>
      <c r="M53" s="1467"/>
      <c r="N53" s="1467"/>
      <c r="P53" s="1462"/>
      <c r="Q53" s="1463"/>
      <c r="R53" s="1462"/>
      <c r="S53" s="1468"/>
      <c r="T53" s="1471" t="s">
        <v>470</v>
      </c>
      <c r="U53" s="1470"/>
      <c r="V53" s="1470"/>
      <c r="W53" s="1470"/>
      <c r="X53" s="1470"/>
      <c r="Y53" s="1470"/>
      <c r="Z53" s="1470"/>
      <c r="AA53" s="1470"/>
      <c r="AB53" s="1470"/>
      <c r="AC53" s="1470"/>
      <c r="AD53" s="1470"/>
      <c r="AE53" s="1470"/>
      <c r="AF53" s="1470"/>
      <c r="AG53" s="1470"/>
      <c r="AH53" s="1470"/>
      <c r="AI53" s="1470"/>
      <c r="AJ53" s="1470"/>
      <c r="AK53" s="1470"/>
      <c r="AM53" s="935"/>
      <c r="AN53" s="935" t="str">
        <f>IF(T53="","",T53)</f>
        <v>Добавить наименование тарифа</v>
      </c>
      <c r="AO53" s="935"/>
      <c r="AP53" s="935"/>
      <c r="AQ53" s="664">
        <v>0</v>
      </c>
    </row>
    <row customHeight="1" ht="11.549999999999999">
      <c r="M54" s="1306"/>
      <c r="N54" s="1306"/>
      <c r="O54" s="683"/>
      <c r="P54" s="1301"/>
      <c r="Q54" s="1301"/>
      <c r="R54" s="1301"/>
      <c r="S54" s="1301"/>
      <c r="AL54" s="1301"/>
      <c r="AM54" s="1301"/>
      <c r="AN54" s="1301"/>
      <c r="AO54" s="1301"/>
      <c r="AP54" s="1301"/>
      <c r="AQ54" s="1301">
        <v>11</v>
      </c>
    </row>
    <row customHeight="1" ht="14.699999999999998">
      <c r="O55" s="683"/>
      <c r="S55" s="1399"/>
      <c r="T55" s="2444"/>
      <c r="U55" s="2444"/>
      <c r="V55" s="2444"/>
      <c r="W55" s="2444"/>
      <c r="X55" s="2444"/>
      <c r="Y55" s="2444"/>
      <c r="Z55" s="2444"/>
      <c r="AA55" s="2444"/>
      <c r="AB55" s="2444"/>
      <c r="AC55" s="2444"/>
      <c r="AD55" s="2444"/>
      <c r="AE55" s="2444"/>
      <c r="AF55" s="2444"/>
      <c r="AG55" s="2444"/>
      <c r="AH55" s="2444"/>
      <c r="AI55" s="2444"/>
      <c r="AJ55" s="2444"/>
      <c r="AK55" s="2444"/>
      <c r="AQ55" s="1301">
        <v>14</v>
      </c>
    </row>
    <row customHeight="1" ht="14.699999999999998">
      <c r="O56" s="683"/>
      <c r="AQ56" s="1301">
        <v>14</v>
      </c>
    </row>
    <row customHeight="1" ht="14.699999999999998">
      <c r="O57" s="683"/>
      <c r="S57" s="1399"/>
      <c r="T57" s="2444"/>
      <c r="U57" s="2444"/>
      <c r="V57" s="2444"/>
      <c r="W57" s="2444"/>
      <c r="X57" s="2444"/>
      <c r="Y57" s="2444"/>
      <c r="Z57" s="2444"/>
      <c r="AA57" s="2444"/>
      <c r="AB57" s="2444"/>
      <c r="AC57" s="2444"/>
      <c r="AD57" s="2444"/>
      <c r="AE57" s="2444"/>
      <c r="AF57" s="2444"/>
      <c r="AG57" s="2444"/>
      <c r="AH57" s="2444"/>
      <c r="AI57" s="2444"/>
      <c r="AJ57" s="2444"/>
      <c r="AK57" s="2444"/>
      <c r="AQ57" s="1301">
        <v>14</v>
      </c>
    </row>
    <row customHeight="1" ht="22.5" hidden="1">
      <c r="A58" s="1306" t="s">
        <v>83</v>
      </c>
      <c r="B58" s="1306">
        <v>0</v>
      </c>
      <c r="C58" s="1306">
        <v>0</v>
      </c>
      <c r="D58" s="1306">
        <v>0</v>
      </c>
      <c r="E58" s="1306">
        <v>0</v>
      </c>
      <c r="F58" s="1306">
        <v>0</v>
      </c>
      <c r="G58" s="1306">
        <v>0</v>
      </c>
      <c r="H58" s="1306">
        <v>0</v>
      </c>
      <c r="I58" s="1306">
        <v>0</v>
      </c>
      <c r="J58" s="1306">
        <v>0</v>
      </c>
      <c r="K58" s="1306">
        <v>0</v>
      </c>
      <c r="L58" s="1593">
        <v>0</v>
      </c>
      <c r="M58" s="1508">
        <v>0</v>
      </c>
      <c r="N58" s="1508">
        <v>0</v>
      </c>
      <c r="O58" s="1508">
        <v>0</v>
      </c>
      <c r="P58" s="1592">
        <v>3</v>
      </c>
      <c r="Q58" s="490">
        <v>3</v>
      </c>
      <c r="R58" s="490">
        <v>3</v>
      </c>
      <c r="S58" s="727">
        <v>12</v>
      </c>
      <c r="T58" s="1301">
        <v>35</v>
      </c>
      <c r="U58" s="1301">
        <v>0</v>
      </c>
      <c r="V58" s="1301">
        <v>0</v>
      </c>
      <c r="W58" s="1301">
        <v>0</v>
      </c>
      <c r="X58" s="1301">
        <v>0</v>
      </c>
      <c r="Y58" s="1301">
        <v>0</v>
      </c>
      <c r="Z58" s="1301">
        <v>0</v>
      </c>
      <c r="AA58" s="1301">
        <v>0</v>
      </c>
      <c r="AB58" s="1301">
        <v>0</v>
      </c>
      <c r="AC58" s="1301">
        <v>24</v>
      </c>
      <c r="AD58" s="1301">
        <v>24</v>
      </c>
      <c r="AE58" s="1301">
        <v>24</v>
      </c>
      <c r="AF58" s="1301">
        <v>11</v>
      </c>
      <c r="AG58" s="1301">
        <v>3</v>
      </c>
      <c r="AH58" s="1301">
        <v>11</v>
      </c>
      <c r="AI58" s="1301">
        <v>0</v>
      </c>
      <c r="AJ58" s="1301">
        <v>4</v>
      </c>
      <c r="AK58" s="1301">
        <v>115</v>
      </c>
      <c r="AL58" s="657">
        <v>10</v>
      </c>
      <c r="AM58" s="657">
        <v>10</v>
      </c>
      <c r="AN58" s="657">
        <v>10</v>
      </c>
      <c r="AO58" s="657">
        <v>10</v>
      </c>
      <c r="AP58" s="657">
        <v>10</v>
      </c>
      <c r="AQ58" s="130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75E976-97BF-55DE-FDE3-0.3B603B9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4" style="7235" width="24.7109375" hidden="1" customWidth="1"/>
    <col min="25" max="25" style="7235" width="11.7109375" hidden="1" customWidth="1"/>
    <col min="26" max="26" style="7235" width="3.7109375" hidden="1" customWidth="1"/>
    <col min="27" max="27" style="7235" width="11.7109375" hidden="1" customWidth="1"/>
    <col min="28" max="28" style="7235" width="8.57421875" hidden="1" customWidth="1"/>
    <col min="29" max="29" style="7235" width="24.7109375" customWidth="1"/>
    <col min="30" max="31" style="7235" width="24.00390625" customWidth="1"/>
    <col min="32" max="32" style="7235" width="11.00390625" customWidth="1"/>
    <col min="33" max="33" style="7235" width="3.7109375" customWidth="1"/>
    <col min="34" max="34" style="7235" width="11.00390625" customWidth="1"/>
    <col min="35" max="35" style="7235" width="8.57421875" hidden="1" customWidth="1"/>
    <col min="36" max="36" style="7235" width="4.00390625" customWidth="1"/>
    <col min="37" max="37" style="7235" width="115.00390625" customWidth="1"/>
    <col min="38" max="42" style="6720" width="10.00390625" customWidth="1"/>
    <col min="43" max="43" style="7235" width="10.57421875" hidden="1"/>
  </cols>
  <sheetData>
    <row customHeight="1" ht="22.5" hidden="1">
      <c r="X1" s="473"/>
      <c r="Y1" s="473"/>
      <c r="AE1" s="473"/>
      <c r="AF1" s="473"/>
      <c r="AQ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603">
        <f>INDEX(PT_DIFFERENTIATION_NUM_NTAR,MATCH(A2,PT_DIFFERENTIATION_NTAR_ID,0))</f>
      </c>
      <c r="T2" s="444" t="s">
        <v>147</v>
      </c>
      <c r="U2" s="446"/>
      <c r="V2" s="2401"/>
      <c r="W2" s="2402"/>
      <c r="X2" s="2402"/>
      <c r="Y2" s="2402"/>
      <c r="Z2" s="2402"/>
      <c r="AA2" s="2402"/>
      <c r="AB2" s="2403"/>
      <c r="AC2" s="2401">
        <f>INDEX(PT_DIFFERENTIATION_NTAR,MATCH(A2,PT_DIFFERENTIATION_NTAR_ID,0))</f>
      </c>
      <c r="AD2" s="2402"/>
      <c r="AE2" s="2402"/>
      <c r="AF2" s="2402"/>
      <c r="AG2" s="2402"/>
      <c r="AH2" s="2402"/>
      <c r="AI2" s="2402"/>
      <c r="AJ2" s="2403"/>
      <c r="AK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46"/>
      <c r="AN2" s="646" t="str">
        <f>IF(T2="","",T2)</f>
        <v>Наименование тарифа</v>
      </c>
      <c r="AO2" s="646"/>
      <c r="AP2" s="646"/>
      <c r="AQ2" s="1301">
        <v>0</v>
      </c>
    </row>
    <row customHeight="1" ht="23.25" hidden="1">
      <c r="A3" s="1509"/>
      <c r="B3" s="1509"/>
      <c r="C3" s="1509"/>
      <c r="D3" s="1509"/>
      <c r="E3" s="2418"/>
      <c r="F3" s="2417">
        <v>1</v>
      </c>
      <c r="G3" s="1509"/>
      <c r="H3" s="1509"/>
      <c r="I3" s="1509"/>
      <c r="J3" s="1509"/>
      <c r="K3" s="1509"/>
      <c r="L3" s="1510"/>
      <c r="M3" s="1511"/>
      <c r="N3" s="1511"/>
      <c r="O3" s="1511"/>
      <c r="P3" s="1599"/>
      <c r="Q3" s="498"/>
      <c r="R3" s="499"/>
      <c r="S3" s="1603">
        <f>INDEX(PT_DIFFERENTIATION_NUM_TER,MATCH(B3,PT_DIFFERENTIATION_TER_ID,0))</f>
      </c>
      <c r="T3" s="454" t="s">
        <v>419</v>
      </c>
      <c r="U3" s="446"/>
      <c r="V3" s="2401"/>
      <c r="W3" s="2402"/>
      <c r="X3" s="2402"/>
      <c r="Y3" s="2402"/>
      <c r="Z3" s="2402"/>
      <c r="AA3" s="2402"/>
      <c r="AB3" s="2403"/>
      <c r="AC3" s="2401">
        <f>INDEX(PT_DIFFERENTIATION_TER,MATCH(B3,PT_DIFFERENTIATION_TER_ID,0))</f>
      </c>
      <c r="AD3" s="2402"/>
      <c r="AE3" s="2402"/>
      <c r="AF3" s="2402"/>
      <c r="AG3" s="2402"/>
      <c r="AH3" s="2402"/>
      <c r="AI3" s="2402"/>
      <c r="AJ3" s="2403"/>
      <c r="AK3" s="1404" t="s">
        <v>420</v>
      </c>
      <c r="AM3" s="646"/>
      <c r="AN3" s="646" t="str">
        <f>IF(T3="","",T3)</f>
        <v>Территория действия тарифа</v>
      </c>
      <c r="AO3" s="646"/>
      <c r="AP3" s="646"/>
      <c r="AQ3" s="1301">
        <v>0</v>
      </c>
    </row>
    <row customHeight="1" ht="23.25" hidden="1">
      <c r="A4" s="1509"/>
      <c r="B4" s="1509"/>
      <c r="C4" s="1509"/>
      <c r="D4" s="1509"/>
      <c r="E4" s="2418"/>
      <c r="F4" s="2418"/>
      <c r="G4" s="2417">
        <v>1</v>
      </c>
      <c r="H4" s="1509"/>
      <c r="I4" s="1509"/>
      <c r="J4" s="1509"/>
      <c r="K4" s="1509"/>
      <c r="L4" s="1510"/>
      <c r="M4" s="1511"/>
      <c r="N4" s="1511"/>
      <c r="O4" s="1511"/>
      <c r="P4" s="500"/>
      <c r="Q4" s="498"/>
      <c r="R4" s="499"/>
      <c r="S4" s="1603">
        <f>INDEX(PT_DIFFERENTIATION_NUM_CS,MATCH(C4,PT_DIFFERENTIATION_CS_ID,0))</f>
      </c>
      <c r="T4" s="455" t="s">
        <v>503</v>
      </c>
      <c r="U4" s="446"/>
      <c r="V4" s="2401"/>
      <c r="W4" s="2402"/>
      <c r="X4" s="2402"/>
      <c r="Y4" s="2402"/>
      <c r="Z4" s="2402"/>
      <c r="AA4" s="2402"/>
      <c r="AB4" s="2403"/>
      <c r="AC4" s="2401">
        <f>INDEX(PT_DIFFERENTIATION_CS,MATCH(C4,PT_DIFFERENTIATION_CS_ID,0))</f>
      </c>
      <c r="AD4" s="2402"/>
      <c r="AE4" s="2402"/>
      <c r="AF4" s="2402"/>
      <c r="AG4" s="2402"/>
      <c r="AH4" s="2402"/>
      <c r="AI4" s="2402"/>
      <c r="AJ4" s="2403"/>
      <c r="AK4" s="1404" t="s">
        <v>504</v>
      </c>
      <c r="AM4" s="646"/>
      <c r="AN4" s="646" t="str">
        <f>IF(T4="","",T4)</f>
        <v>Наименование централизованной системы холодного водоснабжения</v>
      </c>
      <c r="AO4" s="646"/>
      <c r="AP4" s="646"/>
      <c r="AQ4" s="1301">
        <v>0</v>
      </c>
    </row>
    <row customHeight="1" ht="23.25" hidden="1">
      <c r="A5" s="1509"/>
      <c r="B5" s="1509"/>
      <c r="C5" s="1509"/>
      <c r="D5" s="1509"/>
      <c r="E5" s="2418"/>
      <c r="F5" s="2418"/>
      <c r="G5" s="2418"/>
      <c r="H5" s="2418"/>
      <c r="I5" s="2415">
        <f>S4&amp;".1"</f>
      </c>
      <c r="J5" s="1509"/>
      <c r="K5" s="1509"/>
      <c r="L5" s="1510"/>
      <c r="P5" s="2416">
        <v>1</v>
      </c>
      <c r="Q5" s="1596"/>
      <c r="R5" s="502"/>
      <c r="S5" s="1603">
        <f>$I5</f>
      </c>
      <c r="T5" s="431" t="s">
        <v>505</v>
      </c>
      <c r="U5" s="446"/>
      <c r="V5" s="2509"/>
      <c r="W5" s="2510"/>
      <c r="X5" s="2510"/>
      <c r="Y5" s="2510"/>
      <c r="Z5" s="2510"/>
      <c r="AA5" s="2510"/>
      <c r="AB5" s="2511"/>
      <c r="AC5" s="2512"/>
      <c r="AD5" s="2513"/>
      <c r="AE5" s="2513"/>
      <c r="AF5" s="2513"/>
      <c r="AG5" s="2513"/>
      <c r="AH5" s="2513"/>
      <c r="AI5" s="2513"/>
      <c r="AJ5" s="2514"/>
      <c r="AK5" s="1404" t="s">
        <v>506</v>
      </c>
      <c r="AM5" s="646"/>
      <c r="AN5" s="646" t="str">
        <f>IF(T5="","",T5)</f>
        <v>Наименование признака дифференциации</v>
      </c>
      <c r="AO5" s="646"/>
      <c r="AP5" s="646"/>
      <c r="AQ5" s="1301">
        <v>0</v>
      </c>
    </row>
    <row customHeight="1" ht="23.25" hidden="1">
      <c r="A6" s="1509"/>
      <c r="B6" s="1509"/>
      <c r="C6" s="1509"/>
      <c r="D6" s="1509"/>
      <c r="E6" s="2418"/>
      <c r="F6" s="2418"/>
      <c r="G6" s="2418"/>
      <c r="H6" s="2418"/>
      <c r="I6" s="2445"/>
      <c r="J6" s="2415">
        <f>I5&amp;".1"</f>
      </c>
      <c r="K6" s="1509"/>
      <c r="L6" s="1510" t="s">
        <v>428</v>
      </c>
      <c r="P6" s="2416"/>
      <c r="Q6" s="2416">
        <v>1</v>
      </c>
      <c r="R6" s="503"/>
      <c r="S6" s="1603">
        <f>$J6</f>
      </c>
      <c r="T6" s="432" t="s">
        <v>429</v>
      </c>
      <c r="U6" s="446"/>
      <c r="V6" s="2404"/>
      <c r="W6" s="2405"/>
      <c r="X6" s="2405"/>
      <c r="Y6" s="2405"/>
      <c r="Z6" s="2405"/>
      <c r="AA6" s="2405"/>
      <c r="AB6" s="2406"/>
      <c r="AC6" s="2404"/>
      <c r="AD6" s="2405"/>
      <c r="AE6" s="2405"/>
      <c r="AF6" s="2405"/>
      <c r="AG6" s="2405"/>
      <c r="AH6" s="2405"/>
      <c r="AI6" s="2405"/>
      <c r="AJ6" s="2406"/>
      <c r="AK6" s="1453" t="s">
        <v>507</v>
      </c>
      <c r="AM6" s="646"/>
      <c r="AN6" s="646" t="str">
        <f>IF(T6="","",T6)</f>
        <v>Группа потребителей</v>
      </c>
      <c r="AO6" s="646"/>
      <c r="AP6" s="646"/>
      <c r="AQ6" s="1301">
        <v>0</v>
      </c>
    </row>
    <row customHeight="1" ht="23.25" hidden="1">
      <c r="A7" s="1509"/>
      <c r="B7" s="1509"/>
      <c r="C7" s="1509"/>
      <c r="D7" s="1509"/>
      <c r="E7" s="2418"/>
      <c r="F7" s="2418"/>
      <c r="G7" s="2418"/>
      <c r="H7" s="2418"/>
      <c r="I7" s="2445"/>
      <c r="J7" s="2445"/>
      <c r="K7" s="2415">
        <f>J6&amp;".1"</f>
      </c>
      <c r="L7" s="1510"/>
      <c r="P7" s="2416"/>
      <c r="Q7" s="2416"/>
      <c r="R7" s="503">
        <v>1</v>
      </c>
      <c r="S7" s="1603">
        <f>$K7</f>
      </c>
      <c r="T7" s="1583"/>
      <c r="U7" s="446"/>
      <c r="V7" s="897"/>
      <c r="W7" s="897"/>
      <c r="X7" s="1403"/>
      <c r="Y7" s="2424"/>
      <c r="Z7" s="2266" t="s">
        <v>63</v>
      </c>
      <c r="AA7" s="2424"/>
      <c r="AB7" s="2266" t="s">
        <v>63</v>
      </c>
      <c r="AC7" s="897"/>
      <c r="AD7" s="897"/>
      <c r="AE7" s="1403"/>
      <c r="AF7" s="2424"/>
      <c r="AG7" s="2266" t="s">
        <v>63</v>
      </c>
      <c r="AH7" s="2446"/>
      <c r="AI7" s="2266" t="s">
        <v>63</v>
      </c>
      <c r="AJ7" s="1584"/>
      <c r="AK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7">
        <f>STRCHECKDATE(V8:AJ8)</f>
      </c>
      <c r="AM7" s="646"/>
      <c r="AN7" s="646" t="str">
        <f>IF(T7="","",T7)</f>
        <v/>
      </c>
      <c r="AO7" s="646"/>
      <c r="AP7" s="646"/>
      <c r="AQ7" s="1301">
        <v>0</v>
      </c>
    </row>
    <row customHeight="1" ht="14.25" hidden="1">
      <c r="A8" s="1509"/>
      <c r="B8" s="1509"/>
      <c r="C8" s="1509"/>
      <c r="D8" s="1509"/>
      <c r="E8" s="2418"/>
      <c r="F8" s="2418"/>
      <c r="G8" s="2418"/>
      <c r="H8" s="2418"/>
      <c r="I8" s="2445"/>
      <c r="J8" s="2445"/>
      <c r="K8" s="2415"/>
      <c r="L8" s="1510"/>
      <c r="P8" s="2416"/>
      <c r="Q8" s="2416"/>
      <c r="R8" s="503"/>
      <c r="S8" s="1602"/>
      <c r="T8" s="446"/>
      <c r="U8" s="446"/>
      <c r="V8" s="471"/>
      <c r="W8" s="471"/>
      <c r="X8" s="474" t="str">
        <f>Y7&amp;"-"&amp;AA7</f>
        <v>-</v>
      </c>
      <c r="Y8" s="2425"/>
      <c r="Z8" s="2266"/>
      <c r="AA8" s="2425"/>
      <c r="AB8" s="2266"/>
      <c r="AC8" s="471"/>
      <c r="AD8" s="471"/>
      <c r="AE8" s="474" t="str">
        <f>AF7&amp;"-"&amp;AH7</f>
        <v>-</v>
      </c>
      <c r="AF8" s="2425"/>
      <c r="AG8" s="2266"/>
      <c r="AH8" s="2447"/>
      <c r="AI8" s="2266"/>
      <c r="AJ8" s="1585"/>
      <c r="AK8" s="2508"/>
      <c r="AM8" s="646"/>
      <c r="AN8" s="646" t="str">
        <f>IF(T8="","",T8)</f>
        <v/>
      </c>
      <c r="AO8" s="646"/>
      <c r="AP8" s="646"/>
      <c r="AQ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513"/>
      <c r="X9" s="513"/>
      <c r="Y9" s="513"/>
      <c r="Z9" s="513"/>
      <c r="AA9" s="513"/>
      <c r="AB9" s="513"/>
      <c r="AC9" s="513"/>
      <c r="AD9" s="513"/>
      <c r="AE9" s="513"/>
      <c r="AF9" s="513"/>
      <c r="AG9" s="513"/>
      <c r="AH9" s="513"/>
      <c r="AI9" s="513"/>
      <c r="AJ9" s="513"/>
      <c r="AK9" s="1404" t="s">
        <v>509</v>
      </c>
      <c r="AM9" s="646"/>
      <c r="AN9" s="646" t="str">
        <f>IF(T9="","",T9)</f>
        <v>Добавить значение признака дифференциации</v>
      </c>
      <c r="AO9" s="646"/>
      <c r="AP9" s="646"/>
      <c r="AQ9" s="1301">
        <v>0</v>
      </c>
    </row>
    <row customHeight="1" ht="21" hidden="1">
      <c r="A10" s="1509"/>
      <c r="B10" s="1509"/>
      <c r="C10" s="1509"/>
      <c r="D10" s="1509"/>
      <c r="E10" s="2418"/>
      <c r="F10" s="2418"/>
      <c r="G10" s="2418"/>
      <c r="H10" s="2418"/>
      <c r="I10" s="2415"/>
      <c r="J10" s="1509"/>
      <c r="K10" s="1509"/>
      <c r="L10" s="1510"/>
      <c r="P10" s="2416"/>
      <c r="Q10" s="1596"/>
      <c r="R10" s="502"/>
      <c r="S10" s="1424"/>
      <c r="T10" s="511" t="s">
        <v>434</v>
      </c>
      <c r="U10" s="513"/>
      <c r="V10" s="513"/>
      <c r="W10" s="513"/>
      <c r="X10" s="513"/>
      <c r="Y10" s="513"/>
      <c r="Z10" s="513"/>
      <c r="AA10" s="513"/>
      <c r="AB10" s="512"/>
      <c r="AC10" s="513"/>
      <c r="AD10" s="513"/>
      <c r="AE10" s="513"/>
      <c r="AF10" s="513"/>
      <c r="AG10" s="513"/>
      <c r="AH10" s="513"/>
      <c r="AI10" s="512"/>
      <c r="AJ10" s="513"/>
      <c r="AK10" s="1586"/>
      <c r="AM10" s="646"/>
      <c r="AN10" s="646" t="str">
        <f>IF(T10="","",T10)</f>
        <v>Добавить группу потребителей</v>
      </c>
      <c r="AO10" s="646"/>
      <c r="AP10" s="646"/>
      <c r="AQ10" s="1301">
        <v>0</v>
      </c>
    </row>
    <row customHeight="1" ht="21"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513"/>
      <c r="X11" s="513"/>
      <c r="Y11" s="513"/>
      <c r="Z11" s="513"/>
      <c r="AA11" s="513"/>
      <c r="AB11" s="512"/>
      <c r="AC11" s="513"/>
      <c r="AD11" s="513"/>
      <c r="AE11" s="513"/>
      <c r="AF11" s="513"/>
      <c r="AG11" s="513"/>
      <c r="AH11" s="513"/>
      <c r="AI11" s="512"/>
      <c r="AJ11" s="513"/>
      <c r="AK11" s="449"/>
      <c r="AM11" s="646"/>
      <c r="AN11" s="646" t="str">
        <f>IF(T11="","",T11)</f>
        <v>Добавить наименование признака дифференциации</v>
      </c>
      <c r="AO11" s="646"/>
      <c r="AP11" s="646"/>
      <c r="AQ11" s="1301">
        <v>0</v>
      </c>
    </row>
    <row s="6720" customFormat="1" customHeight="1" ht="14.25" hidden="1">
      <c r="A12" s="1489"/>
      <c r="B12" s="1489"/>
      <c r="C12" s="1460"/>
      <c r="D12" s="1460"/>
      <c r="E12" s="2418"/>
      <c r="F12" s="2417"/>
      <c r="G12" s="1460"/>
      <c r="H12" s="1460"/>
      <c r="I12" s="1460"/>
      <c r="J12" s="1460"/>
      <c r="K12" s="1460"/>
      <c r="L12" s="1604"/>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M12" s="935"/>
      <c r="AN12" s="935" t="str">
        <f>IF(T12="","",T12)</f>
        <v>Добавить централизованную систему для дифференциации</v>
      </c>
      <c r="AO12" s="935"/>
      <c r="AP12" s="935"/>
      <c r="AQ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M13" s="646"/>
      <c r="AN13" s="646" t="str">
        <f>IF(T13="","",T13)</f>
        <v>Добавить территорию для дифференциации</v>
      </c>
      <c r="AO13" s="646"/>
      <c r="AP13" s="646"/>
      <c r="AQ13" s="657">
        <v>0</v>
      </c>
    </row>
    <row customHeight="1" ht="14.25" hidden="1">
      <c r="AB14" s="473"/>
      <c r="AI14" s="473"/>
      <c r="AQ14" s="1301">
        <v>0</v>
      </c>
    </row>
    <row customHeight="1" ht="14.25" hidden="1">
      <c r="AC15" s="1506"/>
      <c r="AD15" s="1506"/>
      <c r="AE15" s="1507"/>
      <c r="AF15" s="2426"/>
      <c r="AG15" s="2427" t="s">
        <v>63</v>
      </c>
      <c r="AH15" s="2426"/>
      <c r="AI15" s="2427" t="s">
        <v>63</v>
      </c>
      <c r="AQ15" s="1301">
        <v>0</v>
      </c>
    </row>
    <row customHeight="1" ht="14.25" hidden="1">
      <c r="AC16" s="1506"/>
      <c r="AD16" s="1506"/>
      <c r="AE16" s="474" t="str">
        <f>AF15&amp;"-"&amp;AH15</f>
        <v>-</v>
      </c>
      <c r="AF16" s="2427"/>
      <c r="AG16" s="2427"/>
      <c r="AH16" s="2427"/>
      <c r="AI16" s="2427"/>
      <c r="AQ16" s="1301">
        <v>0</v>
      </c>
    </row>
    <row customHeight="1" ht="14.25" hidden="1">
      <c r="AI17" s="473"/>
      <c r="AQ17" s="1301">
        <v>0</v>
      </c>
    </row>
    <row s="7180" customFormat="1" customHeight="1" ht="22.5" hidden="1">
      <c r="L18" s="1593"/>
      <c r="M18" s="1508"/>
      <c r="N18" s="1508"/>
      <c r="O18" s="1513" t="s">
        <v>439</v>
      </c>
      <c r="P18" s="1508"/>
      <c r="Q18" s="1517"/>
      <c r="R18" s="1517"/>
      <c r="S18" s="875"/>
      <c r="Y18" s="1513"/>
      <c r="AA18" s="1513"/>
      <c r="AB18" s="1512"/>
      <c r="AF18" s="1513"/>
      <c r="AH18" s="1513"/>
      <c r="AI18" s="1512"/>
      <c r="AL18" s="657"/>
      <c r="AM18" s="657"/>
      <c r="AN18" s="657"/>
      <c r="AO18" s="657"/>
      <c r="AP18" s="657"/>
      <c r="AQ18" s="1306">
        <v>0</v>
      </c>
    </row>
    <row s="7180" customFormat="1" customHeight="1" ht="14.25" hidden="1">
      <c r="L19" s="1593"/>
      <c r="M19" s="1508"/>
      <c r="N19" s="1508"/>
      <c r="O19" s="1508"/>
      <c r="P19" s="1508"/>
      <c r="Q19" s="1517"/>
      <c r="R19" s="1517"/>
      <c r="S19" s="875"/>
      <c r="AB19" s="1512"/>
      <c r="AI19" s="1512"/>
      <c r="AL19" s="657"/>
      <c r="AM19" s="657"/>
      <c r="AN19" s="657"/>
      <c r="AO19" s="657"/>
      <c r="AP19" s="657"/>
      <c r="AQ19" s="1306">
        <v>0</v>
      </c>
    </row>
    <row s="7180" customFormat="1" customHeight="1" ht="12" hidden="1">
      <c r="L20" s="1593"/>
      <c r="M20" s="1508"/>
      <c r="N20" s="1508"/>
      <c r="O20" s="1510" t="s">
        <v>440</v>
      </c>
      <c r="P20" s="1508"/>
      <c r="Q20" s="1588"/>
      <c r="R20" s="1588"/>
      <c r="S20" s="875"/>
      <c r="T20" s="1306" t="s">
        <v>441</v>
      </c>
      <c r="Z20" s="332" t="s">
        <v>442</v>
      </c>
      <c r="AB20" s="332" t="s">
        <v>443</v>
      </c>
      <c r="AC20" s="1306" t="s">
        <v>441</v>
      </c>
      <c r="AG20" s="332" t="s">
        <v>444</v>
      </c>
      <c r="AI20" s="332" t="s">
        <v>443</v>
      </c>
      <c r="AQ20" s="1306">
        <v>0</v>
      </c>
    </row>
    <row customHeight="1" ht="14.25" hidden="1">
      <c r="O21" s="1510"/>
      <c r="AQ21" s="1301">
        <v>0</v>
      </c>
    </row>
    <row customHeight="1" ht="14.25" hidden="1">
      <c r="O22" s="1510"/>
      <c r="AQ22" s="1301">
        <v>0</v>
      </c>
    </row>
    <row customHeight="1" ht="14.699999999999998">
      <c r="Q23" s="522"/>
      <c r="R23" s="522"/>
      <c r="S23" s="1421"/>
      <c r="T23" s="509"/>
      <c r="U23" s="509"/>
      <c r="V23" s="655"/>
      <c r="W23" s="655"/>
      <c r="X23" s="655"/>
      <c r="Y23" s="655"/>
      <c r="Z23" s="655"/>
      <c r="AA23" s="655"/>
      <c r="AB23" s="655"/>
      <c r="AC23" s="655"/>
      <c r="AD23" s="655"/>
      <c r="AE23" s="655"/>
      <c r="AF23" s="655"/>
      <c r="AG23" s="655"/>
      <c r="AH23" s="655"/>
      <c r="AI23" s="655"/>
      <c r="AQ23" s="1301">
        <v>14</v>
      </c>
    </row>
    <row customHeight="1" ht="14.699999999999998">
      <c r="Q24" s="522"/>
      <c r="R24" s="522"/>
      <c r="S24" s="24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7"/>
      <c r="U24" s="2407"/>
      <c r="V24" s="2407"/>
      <c r="W24" s="2407"/>
      <c r="X24" s="2407"/>
      <c r="Y24" s="2407"/>
      <c r="Z24" s="2407"/>
      <c r="AA24" s="2407"/>
      <c r="AB24" s="2407"/>
      <c r="AC24" s="2407"/>
      <c r="AD24" s="2407"/>
      <c r="AE24" s="2407"/>
      <c r="AF24" s="2407"/>
      <c r="AG24" s="2407"/>
      <c r="AH24" s="2407"/>
      <c r="AI24" s="1389"/>
      <c r="AQ24" s="1301">
        <v>14</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1389"/>
      <c r="AQ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655"/>
      <c r="AQ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472"/>
      <c r="AC27" s="2410" t="str">
        <f>IF(TITLE_NAME_OR_PR_CHANGE="",IF(TITLE_NAME_OR_PR="","",TITLE_NAME_OR_PR),TITLE_NAME_OR_PR_CHANGE)</f>
        <v/>
      </c>
      <c r="AD27" s="2410"/>
      <c r="AE27" s="2410"/>
      <c r="AF27" s="2410"/>
      <c r="AG27" s="2410"/>
      <c r="AH27" s="2410"/>
      <c r="AI27" s="472"/>
      <c r="AJ27" s="472"/>
      <c r="AK27" s="426"/>
      <c r="AL27" s="514"/>
      <c r="AM27" s="514"/>
      <c r="AN27" s="514"/>
      <c r="AO27" s="514"/>
      <c r="AP27" s="514"/>
      <c r="AQ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472"/>
      <c r="AC28" s="2423" t="str">
        <f>IF(TITLE_DATE_PR_CHANGE="",IF(TITLE_DATE_PR="","",TITLE_DATE_PR),TITLE_DATE_PR_CHANGE)</f>
        <v/>
      </c>
      <c r="AD28" s="2423"/>
      <c r="AE28" s="2423"/>
      <c r="AF28" s="2423"/>
      <c r="AG28" s="2423"/>
      <c r="AH28" s="2423"/>
      <c r="AI28" s="472"/>
      <c r="AJ28" s="472"/>
      <c r="AK28" s="426"/>
      <c r="AL28" s="514"/>
      <c r="AM28" s="514"/>
      <c r="AN28" s="514"/>
      <c r="AO28" s="514"/>
      <c r="AP28" s="514"/>
      <c r="AQ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472"/>
      <c r="AC29" s="2410" t="str">
        <f>IF(TITLE_NUMBER_PR_CHANGE="",IF(TITLE_NUMBER_PR="","",TITLE_NUMBER_PR),TITLE_NUMBER_PR_CHANGE)</f>
        <v/>
      </c>
      <c r="AD29" s="2410"/>
      <c r="AE29" s="2410"/>
      <c r="AF29" s="2410"/>
      <c r="AG29" s="2410"/>
      <c r="AH29" s="2410"/>
      <c r="AI29" s="472"/>
      <c r="AJ29" s="472"/>
      <c r="AK29" s="426"/>
      <c r="AL29" s="514"/>
      <c r="AM29" s="514"/>
      <c r="AN29" s="514"/>
      <c r="AO29" s="514"/>
      <c r="AP29" s="514"/>
      <c r="AQ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472"/>
      <c r="AC30" s="2410" t="str">
        <f>IF(TITLE_IST_PUB_CHANGE="",IF(TITLE_IST_PUB="","",TITLE_IST_PUB),TITLE_IST_PUB_CHANGE)</f>
        <v/>
      </c>
      <c r="AD30" s="2410"/>
      <c r="AE30" s="2410"/>
      <c r="AF30" s="2410"/>
      <c r="AG30" s="2410"/>
      <c r="AH30" s="2410"/>
      <c r="AI30" s="472"/>
      <c r="AJ30" s="472"/>
      <c r="AK30" s="426"/>
      <c r="AL30" s="514"/>
      <c r="AM30" s="514"/>
      <c r="AN30" s="514"/>
      <c r="AO30" s="514"/>
      <c r="AP30" s="514"/>
      <c r="AQ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655"/>
      <c r="AQ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472"/>
      <c r="AC32" s="2423" t="str">
        <f>IF(TITLE_DATE_PR_CHANGE="",IF(TITLE_DATE_PR="","",TITLE_DATE_PR),TITLE_DATE_PR_CHANGE)</f>
        <v/>
      </c>
      <c r="AD32" s="2423"/>
      <c r="AE32" s="2423"/>
      <c r="AF32" s="2423"/>
      <c r="AG32" s="2423"/>
      <c r="AH32" s="2423"/>
      <c r="AI32" s="472"/>
      <c r="AJ32" s="472"/>
      <c r="AK32" s="426"/>
      <c r="AL32" s="514"/>
      <c r="AM32" s="514"/>
      <c r="AN32" s="514"/>
      <c r="AO32" s="514"/>
      <c r="AP32" s="514"/>
      <c r="AQ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472"/>
      <c r="AC33" s="2410" t="str">
        <f>IF(TITLE_NUMBER_PR_CHANGE="",IF(TITLE_NUMBER_PR="","",TITLE_NUMBER_PR),TITLE_NUMBER_PR_CHANGE)</f>
        <v/>
      </c>
      <c r="AD33" s="2410"/>
      <c r="AE33" s="2410"/>
      <c r="AF33" s="2410"/>
      <c r="AG33" s="2410"/>
      <c r="AH33" s="2410"/>
      <c r="AI33" s="472"/>
      <c r="AJ33" s="472"/>
      <c r="AK33" s="426"/>
      <c r="AL33" s="514"/>
      <c r="AM33" s="514"/>
      <c r="AN33" s="514"/>
      <c r="AO33" s="514"/>
      <c r="AP33" s="514"/>
      <c r="AQ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600"/>
      <c r="V34" s="472"/>
      <c r="W34" s="472"/>
      <c r="X34" s="472"/>
      <c r="Y34" s="472"/>
      <c r="Z34" s="472"/>
      <c r="AA34" s="472"/>
      <c r="AB34" s="424" t="s">
        <v>449</v>
      </c>
      <c r="AC34" s="472"/>
      <c r="AD34" s="472"/>
      <c r="AE34" s="472"/>
      <c r="AF34" s="472"/>
      <c r="AG34" s="472"/>
      <c r="AH34" s="472"/>
      <c r="AI34" s="424" t="s">
        <v>449</v>
      </c>
      <c r="AL34" s="514"/>
      <c r="AM34" s="514"/>
      <c r="AN34" s="514"/>
      <c r="AO34" s="514"/>
      <c r="AP34" s="514"/>
      <c r="AQ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Q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t="s">
        <v>323</v>
      </c>
      <c r="AQ36" s="1301">
        <v>14</v>
      </c>
    </row>
    <row customHeight="1" ht="14.699999999999998">
      <c r="Q37" s="522"/>
      <c r="R37" s="522"/>
      <c r="S37" s="2432" t="s">
        <v>89</v>
      </c>
      <c r="T37" s="2368" t="s">
        <v>450</v>
      </c>
      <c r="U37" s="447"/>
      <c r="V37" s="2433" t="s">
        <v>451</v>
      </c>
      <c r="W37" s="2434"/>
      <c r="X37" s="2434"/>
      <c r="Y37" s="2434"/>
      <c r="Z37" s="2434"/>
      <c r="AA37" s="2435"/>
      <c r="AB37" s="2436" t="s">
        <v>452</v>
      </c>
      <c r="AC37" s="2433" t="s">
        <v>451</v>
      </c>
      <c r="AD37" s="2434"/>
      <c r="AE37" s="2434"/>
      <c r="AF37" s="2434"/>
      <c r="AG37" s="2434"/>
      <c r="AH37" s="2435"/>
      <c r="AI37" s="2436" t="s">
        <v>453</v>
      </c>
      <c r="AJ37" s="2439" t="s">
        <v>454</v>
      </c>
      <c r="AK37" s="2286"/>
      <c r="AQ37" s="1301">
        <v>14</v>
      </c>
    </row>
    <row customHeight="1" ht="35.699999999999996">
      <c r="Q38" s="522"/>
      <c r="R38" s="522"/>
      <c r="S38" s="2432"/>
      <c r="T38" s="2368"/>
      <c r="U38" s="1177"/>
      <c r="V38" s="1598" t="s">
        <v>511</v>
      </c>
      <c r="W38" s="2421" t="s">
        <v>457</v>
      </c>
      <c r="X38" s="2422"/>
      <c r="Y38" s="2421" t="s">
        <v>458</v>
      </c>
      <c r="Z38" s="2428"/>
      <c r="AA38" s="2422"/>
      <c r="AB38" s="2437"/>
      <c r="AC38" s="1598" t="s">
        <v>511</v>
      </c>
      <c r="AD38" s="2421" t="s">
        <v>457</v>
      </c>
      <c r="AE38" s="2422"/>
      <c r="AF38" s="2421" t="s">
        <v>458</v>
      </c>
      <c r="AG38" s="2428"/>
      <c r="AH38" s="2422"/>
      <c r="AI38" s="2437"/>
      <c r="AJ38" s="2440"/>
      <c r="AK38" s="2286"/>
      <c r="AQ38" s="1301">
        <v>34</v>
      </c>
    </row>
    <row customHeight="1" ht="35.699999999999996">
      <c r="A39" s="1516"/>
      <c r="B39" s="1516" t="s">
        <v>159</v>
      </c>
      <c r="C39" s="1516" t="s">
        <v>160</v>
      </c>
      <c r="D39" s="1516" t="s">
        <v>161</v>
      </c>
      <c r="E39" s="1510" t="s">
        <v>459</v>
      </c>
      <c r="F39" s="1510" t="s">
        <v>460</v>
      </c>
      <c r="G39" s="1510" t="s">
        <v>461</v>
      </c>
      <c r="H39" s="1510"/>
      <c r="I39" s="1510" t="s">
        <v>512</v>
      </c>
      <c r="J39" s="1510" t="s">
        <v>464</v>
      </c>
      <c r="K39" s="1510" t="s">
        <v>513</v>
      </c>
      <c r="L39" s="1510" t="s">
        <v>440</v>
      </c>
      <c r="Q39" s="522"/>
      <c r="R39" s="522"/>
      <c r="S39" s="2432"/>
      <c r="T39" s="2368"/>
      <c r="U39" s="448"/>
      <c r="V39" s="1598" t="s">
        <v>514</v>
      </c>
      <c r="W39" s="1368" t="s">
        <v>515</v>
      </c>
      <c r="X39" s="1368" t="s">
        <v>516</v>
      </c>
      <c r="Y39" s="1601" t="s">
        <v>468</v>
      </c>
      <c r="Z39" s="2429" t="s">
        <v>469</v>
      </c>
      <c r="AA39" s="2430"/>
      <c r="AB39" s="2438"/>
      <c r="AC39" s="1598" t="s">
        <v>514</v>
      </c>
      <c r="AD39" s="1368" t="s">
        <v>515</v>
      </c>
      <c r="AE39" s="1368" t="s">
        <v>516</v>
      </c>
      <c r="AF39" s="1601" t="s">
        <v>468</v>
      </c>
      <c r="AG39" s="2429" t="s">
        <v>469</v>
      </c>
      <c r="AH39" s="2430"/>
      <c r="AI39" s="2438"/>
      <c r="AJ39" s="2441"/>
      <c r="AK39" s="2286"/>
      <c r="AQ39" s="1301">
        <v>34</v>
      </c>
    </row>
    <row s="6314" customFormat="1" customHeight="1" ht="0">
      <c r="A40" s="1516"/>
      <c r="B40" s="1516"/>
      <c r="C40" s="1516"/>
      <c r="D40" s="1516"/>
      <c r="E40" s="1516"/>
      <c r="F40" s="1516"/>
      <c r="G40" s="1516"/>
      <c r="H40" s="1516"/>
      <c r="I40" s="1516"/>
      <c r="J40" s="1516"/>
      <c r="K40" s="1516"/>
      <c r="L40" s="1510"/>
      <c r="M40" s="1508"/>
      <c r="N40" s="1508"/>
      <c r="O40" s="1508"/>
      <c r="P40" s="1392"/>
      <c r="Q40" s="1393"/>
      <c r="R40" s="1400">
        <v>1</v>
      </c>
      <c r="S40" s="1423" t="s">
        <v>121</v>
      </c>
      <c r="T40" s="1401" t="s">
        <v>105</v>
      </c>
      <c r="U40" s="1391" t="str">
        <f>OFFSET(U40,0,-1)</f>
        <v>2</v>
      </c>
      <c r="V40" s="1597">
        <f>OFFSET(V40,0,-1)+1</f>
        <v>3</v>
      </c>
      <c r="W40" s="1597">
        <f>OFFSET(W40,0,-1)+1</f>
        <v>4</v>
      </c>
      <c r="X40" s="1597">
        <f>OFFSET(X40,0,-1)+1</f>
        <v>5</v>
      </c>
      <c r="Y40" s="1597">
        <f>OFFSET(Y40,0,-1)+1</f>
        <v>6</v>
      </c>
      <c r="Z40" s="2431">
        <f>OFFSET(Z40,0,-1)+1</f>
        <v>7</v>
      </c>
      <c r="AA40" s="2431"/>
      <c r="AB40" s="1597">
        <f>OFFSET(AB40,0,-2)+1</f>
        <v>8</v>
      </c>
      <c r="AC40" s="1597">
        <f>OFFSET(AC40,0,-1)+1</f>
        <v>9</v>
      </c>
      <c r="AD40" s="1597">
        <f>OFFSET(AD40,0,-1)+1</f>
        <v>10</v>
      </c>
      <c r="AE40" s="1597">
        <f>OFFSET(AE40,0,-1)+1</f>
        <v>11</v>
      </c>
      <c r="AF40" s="1597">
        <f>OFFSET(AF40,0,-1)+1</f>
        <v>12</v>
      </c>
      <c r="AG40" s="2431">
        <f>OFFSET(AG40,0,-1)+1</f>
        <v>13</v>
      </c>
      <c r="AH40" s="2431"/>
      <c r="AI40" s="1597">
        <f>OFFSET(AI40,0,-2)+1</f>
        <v>14</v>
      </c>
      <c r="AJ40" s="1391">
        <f>OFFSET(AJ40,0,-1)</f>
        <v>14</v>
      </c>
      <c r="AK40" s="1597">
        <f>OFFSET(AK40,0,-1)+1</f>
        <v>15</v>
      </c>
      <c r="AL40" s="657"/>
      <c r="AM40" s="657"/>
      <c r="AN40" s="657"/>
      <c r="AO40" s="657"/>
      <c r="AP40" s="657"/>
      <c r="AQ40" s="642">
        <v>0</v>
      </c>
    </row>
    <row customHeight="1" ht="24">
      <c r="A41" s="1509" t="s">
        <v>263</v>
      </c>
      <c r="B41" s="1509"/>
      <c r="C41" s="1509"/>
      <c r="D41" s="1509"/>
      <c r="E41" s="2417">
        <v>1</v>
      </c>
      <c r="F41" s="1509"/>
      <c r="G41" s="1509"/>
      <c r="H41" s="1509"/>
      <c r="I41" s="1509"/>
      <c r="J41" s="1509"/>
      <c r="K41" s="1509"/>
      <c r="L41" s="1510"/>
      <c r="M41" s="1511"/>
      <c r="N41" s="1511"/>
      <c r="O41" s="1511"/>
      <c r="P41" s="507"/>
      <c r="Q41" s="506"/>
      <c r="R41" s="501"/>
      <c r="S41" s="1603">
        <f>INDEX(PT_DIFFERENTIATION_NUM_NTAR,MATCH(A41,PT_DIFFERENTIATION_NTAR_ID,0))</f>
        <v>0</v>
      </c>
      <c r="T41" s="444" t="s">
        <v>147</v>
      </c>
      <c r="U41" s="446"/>
      <c r="V41" s="2401"/>
      <c r="W41" s="2402"/>
      <c r="X41" s="2402"/>
      <c r="Y41" s="2402"/>
      <c r="Z41" s="2402"/>
      <c r="AA41" s="2402"/>
      <c r="AB41" s="2403"/>
      <c r="AC41" s="2401" t="str">
        <f>INDEX(PT_DIFFERENTIATION_NTAR,MATCH(A41,PT_DIFFERENTIATION_NTAR_ID,0))</f>
        <v/>
      </c>
      <c r="AD41" s="2402"/>
      <c r="AE41" s="2402"/>
      <c r="AF41" s="2402"/>
      <c r="AG41" s="2402"/>
      <c r="AH41" s="2402"/>
      <c r="AI41" s="2402"/>
      <c r="AJ41" s="2403"/>
      <c r="AK41"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46"/>
      <c r="AN41" s="646" t="str">
        <f>IF(T41="","",T41)</f>
        <v>Наименование тарифа</v>
      </c>
      <c r="AO41" s="646"/>
      <c r="AP41" s="646"/>
      <c r="AQ41" s="1301">
        <v>23</v>
      </c>
    </row>
    <row customHeight="1" ht="24">
      <c r="A42" s="1509" t="s">
        <v>263</v>
      </c>
      <c r="B42" s="1509" t="s">
        <v>264</v>
      </c>
      <c r="C42" s="1509"/>
      <c r="D42" s="1509"/>
      <c r="E42" s="2418"/>
      <c r="F42" s="2417">
        <v>1</v>
      </c>
      <c r="G42" s="1509"/>
      <c r="H42" s="1509"/>
      <c r="I42" s="1509"/>
      <c r="J42" s="1509"/>
      <c r="K42" s="1509"/>
      <c r="L42" s="1510"/>
      <c r="M42" s="1511"/>
      <c r="N42" s="1511"/>
      <c r="O42" s="1511"/>
      <c r="P42" s="1599"/>
      <c r="Q42" s="498"/>
      <c r="R42" s="499"/>
      <c r="S42" s="1603" t="str">
        <f>INDEX(PT_DIFFERENTIATION_NUM_TER,MATCH(B42,PT_DIFFERENTIATION_TER_ID,0))</f>
        <v>.</v>
      </c>
      <c r="T42" s="454" t="s">
        <v>419</v>
      </c>
      <c r="U42" s="446"/>
      <c r="V42" s="2401"/>
      <c r="W42" s="2402"/>
      <c r="X42" s="2402"/>
      <c r="Y42" s="2402"/>
      <c r="Z42" s="2402"/>
      <c r="AA42" s="2402"/>
      <c r="AB42" s="2403"/>
      <c r="AC42" s="2401" t="str">
        <f>INDEX(PT_DIFFERENTIATION_TER,MATCH(B42,PT_DIFFERENTIATION_TER_ID,0))</f>
        <v/>
      </c>
      <c r="AD42" s="2402"/>
      <c r="AE42" s="2402"/>
      <c r="AF42" s="2402"/>
      <c r="AG42" s="2402"/>
      <c r="AH42" s="2402"/>
      <c r="AI42" s="2402"/>
      <c r="AJ42" s="2403"/>
      <c r="AK42" s="1404" t="s">
        <v>420</v>
      </c>
      <c r="AM42" s="646"/>
      <c r="AN42" s="646" t="str">
        <f>IF(T42="","",T42)</f>
        <v>Территория действия тарифа</v>
      </c>
      <c r="AO42" s="646"/>
      <c r="AP42" s="646"/>
      <c r="AQ42" s="1301">
        <v>23</v>
      </c>
    </row>
    <row customHeight="1" ht="24">
      <c r="A43" s="1509" t="s">
        <v>263</v>
      </c>
      <c r="B43" s="1509" t="s">
        <v>264</v>
      </c>
      <c r="C43" s="1509" t="s">
        <v>265</v>
      </c>
      <c r="D43" s="1509"/>
      <c r="E43" s="2418"/>
      <c r="F43" s="2418"/>
      <c r="G43" s="2417">
        <v>1</v>
      </c>
      <c r="H43" s="1509"/>
      <c r="I43" s="1509"/>
      <c r="J43" s="1509"/>
      <c r="K43" s="1509"/>
      <c r="L43" s="1510"/>
      <c r="M43" s="1511"/>
      <c r="N43" s="1511"/>
      <c r="O43" s="1511"/>
      <c r="P43" s="500"/>
      <c r="Q43" s="498"/>
      <c r="R43" s="499"/>
      <c r="S43" s="1603" t="str">
        <f>INDEX(PT_DIFFERENTIATION_NUM_CS,MATCH(C43,PT_DIFFERENTIATION_CS_ID,0))</f>
        <v>..</v>
      </c>
      <c r="T43" s="455" t="s">
        <v>503</v>
      </c>
      <c r="U43" s="446"/>
      <c r="V43" s="2401"/>
      <c r="W43" s="2402"/>
      <c r="X43" s="2402"/>
      <c r="Y43" s="2402"/>
      <c r="Z43" s="2402"/>
      <c r="AA43" s="2402"/>
      <c r="AB43" s="2403"/>
      <c r="AC43" s="2401" t="str">
        <f>INDEX(PT_DIFFERENTIATION_CS,MATCH(C43,PT_DIFFERENTIATION_CS_ID,0))</f>
        <v/>
      </c>
      <c r="AD43" s="2402"/>
      <c r="AE43" s="2402"/>
      <c r="AF43" s="2402"/>
      <c r="AG43" s="2402"/>
      <c r="AH43" s="2402"/>
      <c r="AI43" s="2402"/>
      <c r="AJ43" s="2403"/>
      <c r="AK43" s="1404" t="s">
        <v>504</v>
      </c>
      <c r="AM43" s="646"/>
      <c r="AN43" s="646" t="str">
        <f>IF(T43="","",T43)</f>
        <v>Наименование централизованной системы холодного водоснабжения</v>
      </c>
      <c r="AO43" s="646"/>
      <c r="AP43" s="646"/>
      <c r="AQ43" s="1301">
        <v>23</v>
      </c>
    </row>
    <row customHeight="1" ht="24">
      <c r="A44" s="1509" t="s">
        <v>263</v>
      </c>
      <c r="B44" s="1509" t="s">
        <v>264</v>
      </c>
      <c r="C44" s="1509" t="s">
        <v>265</v>
      </c>
      <c r="D44" s="1509" t="s">
        <v>520</v>
      </c>
      <c r="E44" s="2418"/>
      <c r="F44" s="2418"/>
      <c r="G44" s="2418"/>
      <c r="H44" s="2418"/>
      <c r="I44" s="2415" t="str">
        <f>S43&amp;".1"</f>
        <v>...1</v>
      </c>
      <c r="J44" s="1509"/>
      <c r="K44" s="1509"/>
      <c r="L44" s="1510"/>
      <c r="P44" s="2416">
        <v>1</v>
      </c>
      <c r="Q44" s="1596"/>
      <c r="R44" s="502"/>
      <c r="S44" s="1603" t="str">
        <f>$I44</f>
        <v>...1</v>
      </c>
      <c r="T44" s="431" t="s">
        <v>505</v>
      </c>
      <c r="U44" s="446"/>
      <c r="V44" s="2509"/>
      <c r="W44" s="2510"/>
      <c r="X44" s="2510"/>
      <c r="Y44" s="2510"/>
      <c r="Z44" s="2510"/>
      <c r="AA44" s="2510"/>
      <c r="AB44" s="2511"/>
      <c r="AC44" s="2512"/>
      <c r="AD44" s="2513"/>
      <c r="AE44" s="2513"/>
      <c r="AF44" s="2513"/>
      <c r="AG44" s="2513"/>
      <c r="AH44" s="2513"/>
      <c r="AI44" s="2513"/>
      <c r="AJ44" s="2514"/>
      <c r="AK44" s="1404" t="s">
        <v>506</v>
      </c>
      <c r="AM44" s="646"/>
      <c r="AN44" s="646" t="str">
        <f>IF(T44="","",T44)</f>
        <v>Наименование признака дифференциации</v>
      </c>
      <c r="AO44" s="646"/>
      <c r="AP44" s="646"/>
      <c r="AQ44" s="1301">
        <v>23</v>
      </c>
    </row>
    <row customHeight="1" ht="24">
      <c r="A45" s="1509" t="s">
        <v>263</v>
      </c>
      <c r="B45" s="1509" t="s">
        <v>264</v>
      </c>
      <c r="C45" s="1509" t="s">
        <v>265</v>
      </c>
      <c r="D45" s="1509" t="s">
        <v>520</v>
      </c>
      <c r="E45" s="2418"/>
      <c r="F45" s="2418"/>
      <c r="G45" s="2418"/>
      <c r="H45" s="2418"/>
      <c r="I45" s="2445"/>
      <c r="J45" s="2415" t="str">
        <f>I44&amp;".1"</f>
        <v>...1.1</v>
      </c>
      <c r="K45" s="1509"/>
      <c r="L45" s="1510" t="s">
        <v>428</v>
      </c>
      <c r="P45" s="2416"/>
      <c r="Q45" s="2416">
        <v>1</v>
      </c>
      <c r="R45" s="503"/>
      <c r="S45" s="1603" t="str">
        <f>$J45</f>
        <v>...1.1</v>
      </c>
      <c r="T45" s="432" t="s">
        <v>429</v>
      </c>
      <c r="U45" s="446"/>
      <c r="V45" s="2404"/>
      <c r="W45" s="2405"/>
      <c r="X45" s="2405"/>
      <c r="Y45" s="2405"/>
      <c r="Z45" s="2405"/>
      <c r="AA45" s="2405"/>
      <c r="AB45" s="2406"/>
      <c r="AC45" s="2404"/>
      <c r="AD45" s="2405"/>
      <c r="AE45" s="2405"/>
      <c r="AF45" s="2405"/>
      <c r="AG45" s="2405"/>
      <c r="AH45" s="2405"/>
      <c r="AI45" s="2405"/>
      <c r="AJ45" s="2406"/>
      <c r="AK45" s="1453" t="s">
        <v>507</v>
      </c>
      <c r="AM45" s="646"/>
      <c r="AN45" s="646" t="str">
        <f>IF(T45="","",T45)</f>
        <v>Группа потребителей</v>
      </c>
      <c r="AO45" s="646"/>
      <c r="AP45" s="646"/>
      <c r="AQ45" s="1301">
        <v>23</v>
      </c>
    </row>
    <row customHeight="1" ht="24">
      <c r="A46" s="1509" t="s">
        <v>263</v>
      </c>
      <c r="B46" s="1509" t="s">
        <v>264</v>
      </c>
      <c r="C46" s="1509" t="s">
        <v>265</v>
      </c>
      <c r="D46" s="1509" t="s">
        <v>520</v>
      </c>
      <c r="E46" s="2418"/>
      <c r="F46" s="2418"/>
      <c r="G46" s="2418"/>
      <c r="H46" s="2418"/>
      <c r="I46" s="2445"/>
      <c r="J46" s="2445"/>
      <c r="K46" s="2415" t="str">
        <f>J45&amp;".1"</f>
        <v>...1.1.1</v>
      </c>
      <c r="L46" s="1510"/>
      <c r="P46" s="2416"/>
      <c r="Q46" s="2416"/>
      <c r="R46" s="503">
        <v>1</v>
      </c>
      <c r="S46" s="1603" t="str">
        <f>$K46</f>
        <v>...1.1.1</v>
      </c>
      <c r="T46" s="1583"/>
      <c r="U46" s="446"/>
      <c r="V46" s="897"/>
      <c r="W46" s="897"/>
      <c r="X46" s="1403"/>
      <c r="Y46" s="2424"/>
      <c r="Z46" s="2266" t="s">
        <v>63</v>
      </c>
      <c r="AA46" s="2424"/>
      <c r="AB46" s="2266" t="s">
        <v>63</v>
      </c>
      <c r="AC46" s="897"/>
      <c r="AD46" s="897"/>
      <c r="AE46" s="1403"/>
      <c r="AF46" s="2424"/>
      <c r="AG46" s="2266" t="s">
        <v>63</v>
      </c>
      <c r="AH46" s="2446"/>
      <c r="AI46" s="2266" t="s">
        <v>63</v>
      </c>
      <c r="AJ46" s="1584"/>
      <c r="AK46"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7">
        <f>STRCHECKDATE(V47:AJ47)</f>
      </c>
      <c r="AM46" s="646"/>
      <c r="AN46" s="646" t="str">
        <f>IF(T46="","",T46)</f>
        <v/>
      </c>
      <c r="AO46" s="646"/>
      <c r="AP46" s="646"/>
      <c r="AQ46" s="1301">
        <v>23</v>
      </c>
    </row>
    <row customHeight="1" ht="0">
      <c r="A47" s="1509" t="s">
        <v>263</v>
      </c>
      <c r="B47" s="1509" t="s">
        <v>264</v>
      </c>
      <c r="C47" s="1509" t="s">
        <v>265</v>
      </c>
      <c r="D47" s="1509" t="s">
        <v>520</v>
      </c>
      <c r="E47" s="2418"/>
      <c r="F47" s="2418"/>
      <c r="G47" s="2418"/>
      <c r="H47" s="2418"/>
      <c r="I47" s="2445"/>
      <c r="J47" s="2445"/>
      <c r="K47" s="2415"/>
      <c r="L47" s="1510"/>
      <c r="P47" s="2416"/>
      <c r="Q47" s="2416"/>
      <c r="R47" s="503"/>
      <c r="S47" s="1602"/>
      <c r="T47" s="446"/>
      <c r="U47" s="446"/>
      <c r="V47" s="471"/>
      <c r="W47" s="471"/>
      <c r="X47" s="474" t="str">
        <f>Y46&amp;"-"&amp;AA46</f>
        <v>-</v>
      </c>
      <c r="Y47" s="2425"/>
      <c r="Z47" s="2266"/>
      <c r="AA47" s="2425"/>
      <c r="AB47" s="2266"/>
      <c r="AC47" s="471"/>
      <c r="AD47" s="471"/>
      <c r="AE47" s="474" t="str">
        <f>AF46&amp;"-"&amp;AH46</f>
        <v>-</v>
      </c>
      <c r="AF47" s="2425"/>
      <c r="AG47" s="2266"/>
      <c r="AH47" s="2447"/>
      <c r="AI47" s="2266"/>
      <c r="AJ47" s="1585"/>
      <c r="AK47" s="2508"/>
      <c r="AM47" s="646"/>
      <c r="AN47" s="646" t="str">
        <f>IF(T47="","",T47)</f>
        <v/>
      </c>
      <c r="AO47" s="646"/>
      <c r="AP47" s="646"/>
      <c r="AQ47" s="1301">
        <v>0</v>
      </c>
    </row>
    <row customHeight="1" ht="21">
      <c r="A48" s="1509" t="s">
        <v>263</v>
      </c>
      <c r="B48" s="1509" t="s">
        <v>264</v>
      </c>
      <c r="C48" s="1509" t="s">
        <v>265</v>
      </c>
      <c r="D48" s="1509" t="s">
        <v>520</v>
      </c>
      <c r="E48" s="2418"/>
      <c r="F48" s="2418"/>
      <c r="G48" s="2418"/>
      <c r="H48" s="2418"/>
      <c r="I48" s="2445"/>
      <c r="J48" s="2415"/>
      <c r="K48" s="1509"/>
      <c r="L48" s="1510"/>
      <c r="P48" s="2416"/>
      <c r="Q48" s="2416"/>
      <c r="R48" s="502"/>
      <c r="S48" s="1424"/>
      <c r="T48" s="433" t="s">
        <v>508</v>
      </c>
      <c r="U48" s="513"/>
      <c r="V48" s="513"/>
      <c r="W48" s="513"/>
      <c r="X48" s="513"/>
      <c r="Y48" s="513"/>
      <c r="Z48" s="513"/>
      <c r="AA48" s="513"/>
      <c r="AB48" s="513"/>
      <c r="AC48" s="513"/>
      <c r="AD48" s="513"/>
      <c r="AE48" s="513"/>
      <c r="AF48" s="513"/>
      <c r="AG48" s="513"/>
      <c r="AH48" s="513"/>
      <c r="AI48" s="513"/>
      <c r="AJ48" s="513"/>
      <c r="AK48" s="1404" t="s">
        <v>509</v>
      </c>
      <c r="AM48" s="646"/>
      <c r="AN48" s="646" t="str">
        <f>IF(T48="","",T48)</f>
        <v>Добавить значение признака дифференциации</v>
      </c>
      <c r="AO48" s="646"/>
      <c r="AP48" s="646"/>
      <c r="AQ48" s="1301">
        <v>20</v>
      </c>
    </row>
    <row customHeight="1" ht="22.049999999999997">
      <c r="A49" s="1509" t="s">
        <v>263</v>
      </c>
      <c r="B49" s="1509" t="s">
        <v>264</v>
      </c>
      <c r="C49" s="1509" t="s">
        <v>265</v>
      </c>
      <c r="D49" s="1509" t="s">
        <v>520</v>
      </c>
      <c r="E49" s="2418"/>
      <c r="F49" s="2418"/>
      <c r="G49" s="2418"/>
      <c r="H49" s="2418"/>
      <c r="I49" s="2415"/>
      <c r="J49" s="1509"/>
      <c r="K49" s="1509"/>
      <c r="L49" s="1510"/>
      <c r="P49" s="2416"/>
      <c r="Q49" s="1596"/>
      <c r="R49" s="502"/>
      <c r="S49" s="1424"/>
      <c r="T49" s="511" t="s">
        <v>434</v>
      </c>
      <c r="U49" s="513"/>
      <c r="V49" s="513"/>
      <c r="W49" s="513"/>
      <c r="X49" s="513"/>
      <c r="Y49" s="513"/>
      <c r="Z49" s="513"/>
      <c r="AA49" s="513"/>
      <c r="AB49" s="512"/>
      <c r="AC49" s="513"/>
      <c r="AD49" s="513"/>
      <c r="AE49" s="513"/>
      <c r="AF49" s="513"/>
      <c r="AG49" s="513"/>
      <c r="AH49" s="513"/>
      <c r="AI49" s="512"/>
      <c r="AJ49" s="513"/>
      <c r="AK49" s="1586"/>
      <c r="AM49" s="646"/>
      <c r="AN49" s="646" t="str">
        <f>IF(T49="","",T49)</f>
        <v>Добавить группу потребителей</v>
      </c>
      <c r="AO49" s="646"/>
      <c r="AP49" s="646"/>
      <c r="AQ49" s="1301">
        <v>21</v>
      </c>
    </row>
    <row customHeight="1" ht="22.049999999999997">
      <c r="A50" s="1509" t="s">
        <v>263</v>
      </c>
      <c r="B50" s="1509" t="s">
        <v>264</v>
      </c>
      <c r="C50" s="1509" t="s">
        <v>265</v>
      </c>
      <c r="D50" s="1509" t="s">
        <v>520</v>
      </c>
      <c r="E50" s="2418"/>
      <c r="F50" s="2418"/>
      <c r="G50" s="2418"/>
      <c r="H50" s="2417"/>
      <c r="I50" s="1509"/>
      <c r="J50" s="1509"/>
      <c r="K50" s="1509"/>
      <c r="L50" s="1510"/>
      <c r="M50" s="1511"/>
      <c r="N50" s="1511"/>
      <c r="O50" s="683"/>
      <c r="P50" s="506"/>
      <c r="Q50" s="521"/>
      <c r="R50" s="501"/>
      <c r="S50" s="1424"/>
      <c r="T50" s="518" t="s">
        <v>510</v>
      </c>
      <c r="U50" s="513"/>
      <c r="V50" s="513"/>
      <c r="W50" s="513"/>
      <c r="X50" s="513"/>
      <c r="Y50" s="513"/>
      <c r="Z50" s="513"/>
      <c r="AA50" s="513"/>
      <c r="AB50" s="512"/>
      <c r="AC50" s="513"/>
      <c r="AD50" s="513"/>
      <c r="AE50" s="513"/>
      <c r="AF50" s="513"/>
      <c r="AG50" s="513"/>
      <c r="AH50" s="513"/>
      <c r="AI50" s="512"/>
      <c r="AJ50" s="513"/>
      <c r="AK50" s="449"/>
      <c r="AM50" s="646"/>
      <c r="AN50" s="646" t="str">
        <f>IF(T50="","",T50)</f>
        <v>Добавить наименование признака дифференциации</v>
      </c>
      <c r="AO50" s="646"/>
      <c r="AP50" s="646"/>
      <c r="AQ50" s="1301">
        <v>21</v>
      </c>
    </row>
    <row s="6720" customFormat="1" customHeight="1" ht="0">
      <c r="A51" s="1489" t="s">
        <v>263</v>
      </c>
      <c r="B51" s="1489" t="s">
        <v>264</v>
      </c>
      <c r="C51" s="1460"/>
      <c r="D51" s="1460"/>
      <c r="E51" s="2418"/>
      <c r="F51" s="2417"/>
      <c r="G51" s="1460"/>
      <c r="H51" s="1460"/>
      <c r="I51" s="1460"/>
      <c r="J51" s="1460"/>
      <c r="K51" s="1460"/>
      <c r="L51" s="1604"/>
      <c r="M51" s="1467"/>
      <c r="N51" s="1467"/>
      <c r="P51" s="1462"/>
      <c r="Q51" s="1463"/>
      <c r="R51" s="1462"/>
      <c r="S51" s="1468"/>
      <c r="T51" s="1471" t="s">
        <v>437</v>
      </c>
      <c r="U51" s="1470"/>
      <c r="V51" s="1470"/>
      <c r="W51" s="1470"/>
      <c r="X51" s="1470"/>
      <c r="Y51" s="1470"/>
      <c r="Z51" s="1470"/>
      <c r="AA51" s="1470"/>
      <c r="AB51" s="1470"/>
      <c r="AC51" s="1470"/>
      <c r="AD51" s="1470"/>
      <c r="AE51" s="1470"/>
      <c r="AF51" s="1470"/>
      <c r="AG51" s="1470"/>
      <c r="AH51" s="1470"/>
      <c r="AI51" s="1470"/>
      <c r="AJ51" s="1470"/>
      <c r="AK51" s="1470"/>
      <c r="AM51" s="935"/>
      <c r="AN51" s="935" t="str">
        <f>IF(T51="","",T51)</f>
        <v>Добавить централизованную систему для дифференциации</v>
      </c>
      <c r="AO51" s="935"/>
      <c r="AP51" s="935"/>
      <c r="AQ51" s="664">
        <v>0</v>
      </c>
    </row>
    <row s="6720" customFormat="1" customHeight="1" ht="0">
      <c r="A52" s="1489" t="s">
        <v>263</v>
      </c>
      <c r="B52" s="1489"/>
      <c r="C52" s="1489"/>
      <c r="D52" s="1489"/>
      <c r="E52" s="2417"/>
      <c r="F52" s="1489"/>
      <c r="G52" s="1489"/>
      <c r="H52" s="1489"/>
      <c r="I52" s="1489"/>
      <c r="J52" s="1489"/>
      <c r="K52" s="1489"/>
      <c r="L52" s="1492"/>
      <c r="M52" s="1467"/>
      <c r="N52" s="1467"/>
      <c r="O52" s="664"/>
      <c r="P52" s="526"/>
      <c r="Q52" s="1490"/>
      <c r="R52" s="526"/>
      <c r="S52" s="1468"/>
      <c r="T52" s="1471" t="s">
        <v>438</v>
      </c>
      <c r="U52" s="1470"/>
      <c r="V52" s="1470"/>
      <c r="W52" s="1470"/>
      <c r="X52" s="1470"/>
      <c r="Y52" s="1470"/>
      <c r="Z52" s="1470"/>
      <c r="AA52" s="1470"/>
      <c r="AB52" s="1470"/>
      <c r="AC52" s="1470"/>
      <c r="AD52" s="1470"/>
      <c r="AE52" s="1470"/>
      <c r="AF52" s="1470"/>
      <c r="AG52" s="1470"/>
      <c r="AH52" s="1470"/>
      <c r="AI52" s="1470"/>
      <c r="AJ52" s="1470"/>
      <c r="AK52" s="1470"/>
      <c r="AM52" s="646"/>
      <c r="AN52" s="646" t="str">
        <f>IF(T52="","",T52)</f>
        <v>Добавить территорию для дифференциации</v>
      </c>
      <c r="AO52" s="646"/>
      <c r="AP52" s="646"/>
      <c r="AQ52" s="657">
        <v>0</v>
      </c>
    </row>
    <row s="6720" customFormat="1" customHeight="1" ht="0">
      <c r="A53" s="1460"/>
      <c r="B53" s="1460"/>
      <c r="C53" s="1460"/>
      <c r="D53" s="1460"/>
      <c r="E53" s="1489"/>
      <c r="F53" s="1460"/>
      <c r="G53" s="1460"/>
      <c r="H53" s="1460"/>
      <c r="I53" s="1460"/>
      <c r="J53" s="1460"/>
      <c r="K53" s="1460"/>
      <c r="L53" s="1604"/>
      <c r="M53" s="1467"/>
      <c r="N53" s="1467"/>
      <c r="P53" s="1462"/>
      <c r="Q53" s="1463"/>
      <c r="R53" s="1462"/>
      <c r="S53" s="1468"/>
      <c r="T53" s="1471" t="s">
        <v>470</v>
      </c>
      <c r="U53" s="1470"/>
      <c r="V53" s="1470"/>
      <c r="W53" s="1470"/>
      <c r="X53" s="1470"/>
      <c r="Y53" s="1470"/>
      <c r="Z53" s="1470"/>
      <c r="AA53" s="1470"/>
      <c r="AB53" s="1470"/>
      <c r="AC53" s="1470"/>
      <c r="AD53" s="1470"/>
      <c r="AE53" s="1470"/>
      <c r="AF53" s="1470"/>
      <c r="AG53" s="1470"/>
      <c r="AH53" s="1470"/>
      <c r="AI53" s="1470"/>
      <c r="AJ53" s="1470"/>
      <c r="AK53" s="1470"/>
      <c r="AM53" s="935"/>
      <c r="AN53" s="935" t="str">
        <f>IF(T53="","",T53)</f>
        <v>Добавить наименование тарифа</v>
      </c>
      <c r="AO53" s="935"/>
      <c r="AP53" s="935"/>
      <c r="AQ53" s="664">
        <v>0</v>
      </c>
    </row>
    <row customHeight="1" ht="11.549999999999999">
      <c r="M54" s="1306"/>
      <c r="N54" s="1306"/>
      <c r="O54" s="683"/>
      <c r="P54" s="1301"/>
      <c r="Q54" s="1301"/>
      <c r="R54" s="1301"/>
      <c r="S54" s="1301"/>
      <c r="AL54" s="1301"/>
      <c r="AM54" s="1301"/>
      <c r="AN54" s="1301"/>
      <c r="AO54" s="1301"/>
      <c r="AP54" s="1301"/>
      <c r="AQ54" s="1301">
        <v>11</v>
      </c>
    </row>
    <row customHeight="1" ht="14.699999999999998">
      <c r="O55" s="683"/>
      <c r="S55" s="1399"/>
      <c r="T55" s="2444"/>
      <c r="U55" s="2444"/>
      <c r="V55" s="2444"/>
      <c r="W55" s="2444"/>
      <c r="X55" s="2444"/>
      <c r="Y55" s="2444"/>
      <c r="Z55" s="2444"/>
      <c r="AA55" s="2444"/>
      <c r="AB55" s="2444"/>
      <c r="AC55" s="2444"/>
      <c r="AD55" s="2444"/>
      <c r="AE55" s="2444"/>
      <c r="AF55" s="2444"/>
      <c r="AG55" s="2444"/>
      <c r="AH55" s="2444"/>
      <c r="AI55" s="2444"/>
      <c r="AJ55" s="2444"/>
      <c r="AK55" s="2444"/>
      <c r="AQ55" s="1301">
        <v>14</v>
      </c>
    </row>
    <row customHeight="1" ht="14.699999999999998">
      <c r="O56" s="683"/>
      <c r="AQ56" s="1301">
        <v>14</v>
      </c>
    </row>
    <row customHeight="1" ht="14.699999999999998">
      <c r="O57" s="683"/>
      <c r="S57" s="1399"/>
      <c r="T57" s="2444"/>
      <c r="U57" s="2444"/>
      <c r="V57" s="2444"/>
      <c r="W57" s="2444"/>
      <c r="X57" s="2444"/>
      <c r="Y57" s="2444"/>
      <c r="Z57" s="2444"/>
      <c r="AA57" s="2444"/>
      <c r="AB57" s="2444"/>
      <c r="AC57" s="2444"/>
      <c r="AD57" s="2444"/>
      <c r="AE57" s="2444"/>
      <c r="AF57" s="2444"/>
      <c r="AG57" s="2444"/>
      <c r="AH57" s="2444"/>
      <c r="AI57" s="2444"/>
      <c r="AJ57" s="2444"/>
      <c r="AK57" s="2444"/>
      <c r="AQ57" s="1301">
        <v>14</v>
      </c>
    </row>
    <row customHeight="1" ht="22.5" hidden="1">
      <c r="A58" s="1306" t="s">
        <v>83</v>
      </c>
      <c r="B58" s="1306">
        <v>0</v>
      </c>
      <c r="C58" s="1306">
        <v>0</v>
      </c>
      <c r="D58" s="1306">
        <v>0</v>
      </c>
      <c r="E58" s="1306">
        <v>0</v>
      </c>
      <c r="F58" s="1306">
        <v>0</v>
      </c>
      <c r="G58" s="1306">
        <v>0</v>
      </c>
      <c r="H58" s="1306">
        <v>0</v>
      </c>
      <c r="I58" s="1306">
        <v>0</v>
      </c>
      <c r="J58" s="1306">
        <v>0</v>
      </c>
      <c r="K58" s="1306">
        <v>0</v>
      </c>
      <c r="L58" s="1593">
        <v>0</v>
      </c>
      <c r="M58" s="1508">
        <v>0</v>
      </c>
      <c r="N58" s="1508">
        <v>0</v>
      </c>
      <c r="O58" s="1508">
        <v>0</v>
      </c>
      <c r="P58" s="1592">
        <v>3</v>
      </c>
      <c r="Q58" s="490">
        <v>3</v>
      </c>
      <c r="R58" s="490">
        <v>3</v>
      </c>
      <c r="S58" s="727">
        <v>12</v>
      </c>
      <c r="T58" s="1301">
        <v>35</v>
      </c>
      <c r="U58" s="1301">
        <v>0</v>
      </c>
      <c r="V58" s="1301">
        <v>0</v>
      </c>
      <c r="W58" s="1301">
        <v>0</v>
      </c>
      <c r="X58" s="1301">
        <v>0</v>
      </c>
      <c r="Y58" s="1301">
        <v>0</v>
      </c>
      <c r="Z58" s="1301">
        <v>0</v>
      </c>
      <c r="AA58" s="1301">
        <v>0</v>
      </c>
      <c r="AB58" s="1301">
        <v>0</v>
      </c>
      <c r="AC58" s="1301">
        <v>24</v>
      </c>
      <c r="AD58" s="1301">
        <v>24</v>
      </c>
      <c r="AE58" s="1301">
        <v>24</v>
      </c>
      <c r="AF58" s="1301">
        <v>11</v>
      </c>
      <c r="AG58" s="1301">
        <v>3</v>
      </c>
      <c r="AH58" s="1301">
        <v>11</v>
      </c>
      <c r="AI58" s="1301">
        <v>0</v>
      </c>
      <c r="AJ58" s="1301">
        <v>4</v>
      </c>
      <c r="AK58" s="1301">
        <v>115</v>
      </c>
      <c r="AL58" s="657">
        <v>10</v>
      </c>
      <c r="AM58" s="657">
        <v>10</v>
      </c>
      <c r="AN58" s="657">
        <v>10</v>
      </c>
      <c r="AO58" s="657">
        <v>10</v>
      </c>
      <c r="AP58" s="657">
        <v>10</v>
      </c>
      <c r="AQ58" s="130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48CAE2-7504-19BB-9D15-0.87446A9D}"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7235" width="10.140625" hidden="1" customWidth="1"/>
    <col min="4" max="4" style="7235" width="11.8515625" hidden="1" customWidth="1"/>
    <col min="5" max="11" style="7235" width="10.140625" hidden="1" customWidth="1"/>
    <col min="12" max="12" style="7917" width="10.140625" hidden="1" customWidth="1"/>
    <col min="13" max="15" style="7938" width="10.140625" hidden="1" customWidth="1"/>
    <col min="16" max="16" style="6396" width="3.00390625" customWidth="1"/>
    <col min="17" max="17" style="6462" width="3.00390625" customWidth="1"/>
    <col min="18" max="18" style="7205" width="3.00390625" customWidth="1"/>
    <col min="19" max="19" style="7910" width="12.00390625" customWidth="1"/>
    <col min="20" max="20" style="7235" width="31.00390625" customWidth="1"/>
    <col min="21" max="21" style="7235" width="0.140625" customWidth="1"/>
    <col min="22" max="23" style="7235" width="21.7109375" hidden="1" customWidth="1"/>
    <col min="24" max="24" style="7235" width="11.7109375" hidden="1" customWidth="1"/>
    <col min="25" max="25" style="7235" width="3.7109375" hidden="1" customWidth="1"/>
    <col min="26" max="26" style="7235" width="11.7109375" hidden="1" customWidth="1"/>
    <col min="27" max="27" style="7235" width="8.57421875" hidden="1" customWidth="1"/>
    <col min="28" max="28" style="7235" width="27.00390625" customWidth="1"/>
    <col min="29" max="29" style="7235" width="24.57421875" customWidth="1"/>
    <col min="30" max="31" style="7235" width="21.00390625" customWidth="1"/>
    <col min="32" max="32" style="7235" width="11.00390625" customWidth="1"/>
    <col min="33" max="33" style="7235" width="3.7109375" customWidth="1"/>
    <col min="34" max="34" style="7235" width="11.00390625" customWidth="1"/>
    <col min="35" max="35" style="7235" width="8.57421875" hidden="1" customWidth="1"/>
    <col min="36" max="36" style="7235" width="4.00390625" customWidth="1"/>
    <col min="37" max="37" style="7235" width="115.00390625" customWidth="1"/>
    <col min="38" max="42" style="6720" width="10.00390625" customWidth="1"/>
    <col min="43" max="43" style="7235" width="10.57421875" hidden="1"/>
  </cols>
  <sheetData>
    <row customHeight="1" ht="0.75" hidden="1">
      <c r="AQ1" s="1777" t="s">
        <v>14</v>
      </c>
    </row>
    <row customHeight="1" ht="21" hidden="1">
      <c r="A2" s="1413"/>
      <c r="B2" s="1413"/>
      <c r="C2" s="1413"/>
      <c r="D2" s="1413"/>
      <c r="E2" s="2448">
        <v>1</v>
      </c>
      <c r="F2" s="1413"/>
      <c r="G2" s="1413"/>
      <c r="H2" s="1413"/>
      <c r="I2" s="1413"/>
      <c r="J2" s="1413"/>
      <c r="K2" s="1413"/>
      <c r="L2" s="1456"/>
      <c r="M2" s="1756"/>
      <c r="N2" s="1756"/>
      <c r="O2" s="1756"/>
      <c r="P2" s="1555"/>
      <c r="Q2" s="1019"/>
      <c r="R2" s="501"/>
      <c r="S2" s="2101">
        <f>INDEX(PT_DIFFERENTIATION_NUM_NTAR,MATCH(A2,PT_DIFFERENTIATION_NTAR_ID,0))</f>
      </c>
      <c r="T2" s="1671" t="s">
        <v>147</v>
      </c>
      <c r="U2" s="446"/>
      <c r="V2" s="2402"/>
      <c r="W2" s="2402"/>
      <c r="X2" s="2402"/>
      <c r="Y2" s="2402"/>
      <c r="Z2" s="2402"/>
      <c r="AA2" s="2403"/>
      <c r="AB2" s="2095"/>
      <c r="AC2" s="2402">
        <f>INDEX(PT_DIFFERENTIATION_NTAR,MATCH(A2,PT_DIFFERENTIATION_NTAR_ID,0))</f>
      </c>
      <c r="AD2" s="2402"/>
      <c r="AE2" s="2402"/>
      <c r="AF2" s="2402"/>
      <c r="AG2" s="2402"/>
      <c r="AH2" s="2402"/>
      <c r="AI2" s="2402"/>
      <c r="AJ2" s="2403"/>
      <c r="AK2" s="1404" t="s">
        <v>418</v>
      </c>
      <c r="AM2" s="1770"/>
      <c r="AN2" s="1770" t="str">
        <f>IF(T2="","",T2)</f>
        <v>Наименование тарифа</v>
      </c>
      <c r="AO2" s="1770"/>
      <c r="AP2" s="1770"/>
      <c r="AQ2" s="1777">
        <v>0</v>
      </c>
    </row>
    <row customHeight="1" ht="21" hidden="1">
      <c r="A3" s="1413"/>
      <c r="B3" s="1413"/>
      <c r="C3" s="1413"/>
      <c r="D3" s="1413"/>
      <c r="E3" s="2449"/>
      <c r="F3" s="2448">
        <v>1</v>
      </c>
      <c r="G3" s="1413"/>
      <c r="H3" s="1413"/>
      <c r="I3" s="1413"/>
      <c r="J3" s="1413"/>
      <c r="K3" s="1413"/>
      <c r="L3" s="1456"/>
      <c r="M3" s="1756"/>
      <c r="N3" s="1756"/>
      <c r="O3" s="1756"/>
      <c r="P3" s="2112"/>
      <c r="Q3" s="1557"/>
      <c r="R3" s="499"/>
      <c r="S3" s="2101">
        <f>INDEX(PT_DIFFERENTIATION_NUM_TER,MATCH(B3,PT_DIFFERENTIATION_TER_ID,0))</f>
      </c>
      <c r="T3" s="1668" t="s">
        <v>419</v>
      </c>
      <c r="U3" s="446"/>
      <c r="V3" s="2402"/>
      <c r="W3" s="2402"/>
      <c r="X3" s="2402"/>
      <c r="Y3" s="2402"/>
      <c r="Z3" s="2402"/>
      <c r="AA3" s="2403"/>
      <c r="AB3" s="2095"/>
      <c r="AC3" s="2402">
        <f>INDEX(PT_DIFFERENTIATION_TER,MATCH(B3,PT_DIFFERENTIATION_TER_ID,0))</f>
      </c>
      <c r="AD3" s="2402"/>
      <c r="AE3" s="2402"/>
      <c r="AF3" s="2402"/>
      <c r="AG3" s="2402"/>
      <c r="AH3" s="2402"/>
      <c r="AI3" s="2402"/>
      <c r="AJ3" s="2403"/>
      <c r="AK3" s="1404" t="s">
        <v>420</v>
      </c>
      <c r="AM3" s="1770"/>
      <c r="AN3" s="1770" t="str">
        <f>IF(T3="","",T3)</f>
        <v>Территория действия тарифа</v>
      </c>
      <c r="AO3" s="1770"/>
      <c r="AP3" s="1770"/>
      <c r="AQ3" s="1777">
        <v>0</v>
      </c>
    </row>
    <row customHeight="1" ht="22.5" hidden="1">
      <c r="A4" s="1413"/>
      <c r="B4" s="1413"/>
      <c r="C4" s="1413"/>
      <c r="D4" s="1413"/>
      <c r="E4" s="2449"/>
      <c r="F4" s="2449"/>
      <c r="G4" s="2448">
        <v>1</v>
      </c>
      <c r="H4" s="1413"/>
      <c r="I4" s="1413"/>
      <c r="J4" s="1413"/>
      <c r="K4" s="1413"/>
      <c r="L4" s="1456"/>
      <c r="M4" s="1756"/>
      <c r="N4" s="1756"/>
      <c r="O4" s="1756"/>
      <c r="P4" s="1558"/>
      <c r="Q4" s="1557"/>
      <c r="R4" s="499"/>
      <c r="S4" s="2101">
        <f>INDEX(PT_DIFFERENTIATION_NUM_CS,MATCH(C4,PT_DIFFERENTIATION_CS_ID,0))</f>
      </c>
      <c r="T4" s="455" t="s">
        <v>421</v>
      </c>
      <c r="U4" s="446"/>
      <c r="V4" s="2402"/>
      <c r="W4" s="2402"/>
      <c r="X4" s="2402"/>
      <c r="Y4" s="2402"/>
      <c r="Z4" s="2402"/>
      <c r="AA4" s="2403"/>
      <c r="AB4" s="2095"/>
      <c r="AC4" s="2402">
        <f>INDEX(PT_DIFFERENTIATION_CS,MATCH(C4,PT_DIFFERENTIATION_CS_ID,0))</f>
      </c>
      <c r="AD4" s="2402"/>
      <c r="AE4" s="2402"/>
      <c r="AF4" s="2402"/>
      <c r="AG4" s="2402"/>
      <c r="AH4" s="2402"/>
      <c r="AI4" s="2402"/>
      <c r="AJ4" s="2403"/>
      <c r="AK4" s="1404" t="s">
        <v>422</v>
      </c>
      <c r="AM4" s="1770"/>
      <c r="AN4" s="1770" t="str">
        <f>IF(T4="","",T4)</f>
        <v>Наименование системы теплоснабжения </v>
      </c>
      <c r="AO4" s="1770"/>
      <c r="AP4" s="1770"/>
      <c r="AQ4" s="1777">
        <v>0</v>
      </c>
    </row>
    <row customHeight="1" ht="21" hidden="1">
      <c r="A5" s="1413"/>
      <c r="B5" s="1413"/>
      <c r="C5" s="1413"/>
      <c r="D5" s="1413"/>
      <c r="E5" s="2449"/>
      <c r="F5" s="2449"/>
      <c r="G5" s="2449"/>
      <c r="H5" s="2448">
        <v>1</v>
      </c>
      <c r="I5" s="1413"/>
      <c r="J5" s="1413"/>
      <c r="K5" s="1413"/>
      <c r="L5" s="1456"/>
      <c r="M5" s="1756"/>
      <c r="N5" s="1756"/>
      <c r="O5" s="1756"/>
      <c r="P5" s="1558"/>
      <c r="Q5" s="1557"/>
      <c r="R5" s="499"/>
      <c r="S5" s="2101">
        <f>INDEX(PT_DIFFERENTIATION_NUM_IST_TE,MATCH(D5,PT_DIFFERENTIATION_IST_TE_ID,0))</f>
      </c>
      <c r="T5" s="456" t="s">
        <v>423</v>
      </c>
      <c r="U5" s="446"/>
      <c r="V5" s="2402"/>
      <c r="W5" s="2402"/>
      <c r="X5" s="2402"/>
      <c r="Y5" s="2402"/>
      <c r="Z5" s="2402"/>
      <c r="AA5" s="2403"/>
      <c r="AB5" s="2095"/>
      <c r="AC5" s="2402">
        <f>INDEX(PT_DIFFERENTIATION_IST_TE,MATCH(D5,PT_DIFFERENTIATION_IST_TE_ID,0))</f>
      </c>
      <c r="AD5" s="2402"/>
      <c r="AE5" s="2402"/>
      <c r="AF5" s="2402"/>
      <c r="AG5" s="2402"/>
      <c r="AH5" s="2402"/>
      <c r="AI5" s="2402"/>
      <c r="AJ5" s="2403"/>
      <c r="AK5" s="1404" t="s">
        <v>424</v>
      </c>
      <c r="AM5" s="1770"/>
      <c r="AN5" s="1770" t="str">
        <f>IF(T5="","",T5)</f>
        <v>Источник тепловой энергии  </v>
      </c>
      <c r="AO5" s="1770"/>
      <c r="AP5" s="1770"/>
      <c r="AQ5" s="1777">
        <v>0</v>
      </c>
    </row>
    <row s="6720" customFormat="1" customHeight="1" ht="0.75" hidden="1">
      <c r="A6" s="1521"/>
      <c r="B6" s="1521"/>
      <c r="C6" s="1521"/>
      <c r="D6" s="1521"/>
      <c r="E6" s="2449"/>
      <c r="F6" s="2449"/>
      <c r="G6" s="2449"/>
      <c r="H6" s="2449"/>
      <c r="I6" s="2286">
        <f>S5&amp;".1"</f>
      </c>
      <c r="J6" s="1521"/>
      <c r="K6" s="1521"/>
      <c r="L6" s="1527" t="s">
        <v>425</v>
      </c>
      <c r="M6" s="1392"/>
      <c r="N6" s="1392"/>
      <c r="O6" s="1392"/>
      <c r="P6" s="2416">
        <v>1</v>
      </c>
      <c r="Q6" s="2097"/>
      <c r="R6" s="502"/>
      <c r="S6" s="1188"/>
      <c r="T6" s="1529"/>
      <c r="U6" s="1530"/>
      <c r="V6" s="2456"/>
      <c r="W6" s="2456"/>
      <c r="X6" s="2456"/>
      <c r="Y6" s="2456"/>
      <c r="Z6" s="2456"/>
      <c r="AA6" s="2457"/>
      <c r="AB6" s="2103"/>
      <c r="AC6" s="2456"/>
      <c r="AD6" s="2456"/>
      <c r="AE6" s="2456"/>
      <c r="AF6" s="2456"/>
      <c r="AG6" s="2456"/>
      <c r="AH6" s="2456"/>
      <c r="AI6" s="2456"/>
      <c r="AJ6" s="2457"/>
      <c r="AK6" s="1531"/>
      <c r="AM6" s="1770"/>
      <c r="AN6" s="1770" t="str">
        <f>IF(T6="","",T6)</f>
        <v/>
      </c>
      <c r="AO6" s="1770"/>
      <c r="AP6" s="1770"/>
      <c r="AQ6" s="1782">
        <v>0</v>
      </c>
    </row>
    <row s="6720" customFormat="1" customHeight="1" ht="0.75" hidden="1">
      <c r="A7" s="1521"/>
      <c r="B7" s="1521"/>
      <c r="C7" s="1521"/>
      <c r="D7" s="1521"/>
      <c r="E7" s="2449"/>
      <c r="F7" s="2449"/>
      <c r="G7" s="2449"/>
      <c r="H7" s="2449"/>
      <c r="I7" s="2260"/>
      <c r="J7" s="2286">
        <f>S5&amp;".1"</f>
      </c>
      <c r="K7" s="1521"/>
      <c r="L7" s="1527"/>
      <c r="M7" s="1392"/>
      <c r="N7" s="1392"/>
      <c r="O7" s="1392"/>
      <c r="P7" s="2416"/>
      <c r="Q7" s="2416">
        <v>1</v>
      </c>
      <c r="R7" s="503"/>
      <c r="S7" s="1188"/>
      <c r="T7" s="1545"/>
      <c r="U7" s="1530"/>
      <c r="V7" s="2456"/>
      <c r="W7" s="2456"/>
      <c r="X7" s="2456"/>
      <c r="Y7" s="2456"/>
      <c r="Z7" s="2456"/>
      <c r="AA7" s="2457"/>
      <c r="AB7" s="2103"/>
      <c r="AC7" s="2456"/>
      <c r="AD7" s="2456"/>
      <c r="AE7" s="2456"/>
      <c r="AF7" s="2456"/>
      <c r="AG7" s="2456"/>
      <c r="AH7" s="2456"/>
      <c r="AI7" s="2456"/>
      <c r="AJ7" s="2457"/>
      <c r="AK7" s="1531"/>
      <c r="AM7" s="1770"/>
      <c r="AN7" s="1770" t="str">
        <f>IF(T7="","",T7)</f>
        <v/>
      </c>
      <c r="AO7" s="1770"/>
      <c r="AP7" s="1770"/>
      <c r="AQ7" s="1782">
        <v>0</v>
      </c>
    </row>
    <row customHeight="1" ht="21" hidden="1">
      <c r="A8" s="1413"/>
      <c r="B8" s="1413"/>
      <c r="C8" s="1413"/>
      <c r="D8" s="1413"/>
      <c r="E8" s="2449"/>
      <c r="F8" s="2449"/>
      <c r="G8" s="2449"/>
      <c r="H8" s="2449"/>
      <c r="I8" s="2260"/>
      <c r="J8" s="2260"/>
      <c r="K8" s="2134">
        <f>S5&amp;".1"</f>
      </c>
      <c r="L8" s="1456"/>
      <c r="P8" s="2416"/>
      <c r="Q8" s="2416"/>
      <c r="R8" s="2138">
        <v>1</v>
      </c>
      <c r="S8" s="2136">
        <f>$K8</f>
      </c>
      <c r="T8" s="2137"/>
      <c r="U8" s="446"/>
      <c r="V8" s="897"/>
      <c r="W8" s="1403"/>
      <c r="X8" s="2135"/>
      <c r="Y8" s="2133" t="s">
        <v>63</v>
      </c>
      <c r="Z8" s="2135"/>
      <c r="AA8" s="2133" t="s">
        <v>63</v>
      </c>
      <c r="AB8" s="2139"/>
      <c r="AC8" s="2140" t="s">
        <v>22</v>
      </c>
      <c r="AD8" s="897"/>
      <c r="AE8" s="1403"/>
      <c r="AF8" s="2098"/>
      <c r="AG8" s="2085" t="s">
        <v>63</v>
      </c>
      <c r="AH8" s="2098"/>
      <c r="AI8" s="2085" t="s">
        <v>63</v>
      </c>
      <c r="AJ8" s="1494"/>
      <c r="AK8" s="2412" t="s">
        <v>486</v>
      </c>
      <c r="AL8" s="1782">
        <f>STRCHECKDATE(#REF!)</f>
      </c>
      <c r="AM8" s="1770"/>
      <c r="AN8" s="1770" t="str">
        <f>IF(T8="","",T8)</f>
        <v/>
      </c>
      <c r="AO8" s="1770"/>
      <c r="AP8" s="1770"/>
      <c r="AQ8" s="1777">
        <v>0</v>
      </c>
    </row>
    <row customHeight="1" ht="11.25" hidden="1">
      <c r="A9" s="1413"/>
      <c r="B9" s="1413"/>
      <c r="C9" s="1413"/>
      <c r="D9" s="1413"/>
      <c r="E9" s="2449"/>
      <c r="F9" s="2449"/>
      <c r="G9" s="2449"/>
      <c r="H9" s="2449"/>
      <c r="I9" s="2260"/>
      <c r="J9" s="2286"/>
      <c r="K9" s="1413"/>
      <c r="L9" s="1456"/>
      <c r="P9" s="2416"/>
      <c r="Q9" s="2416"/>
      <c r="R9" s="502"/>
      <c r="S9" s="1424"/>
      <c r="T9" s="433" t="s">
        <v>490</v>
      </c>
      <c r="U9" s="746"/>
      <c r="V9" s="746"/>
      <c r="W9" s="746"/>
      <c r="X9" s="746"/>
      <c r="Y9" s="746"/>
      <c r="Z9" s="746"/>
      <c r="AA9" s="746"/>
      <c r="AB9" s="746"/>
      <c r="AC9" s="746"/>
      <c r="AD9" s="746"/>
      <c r="AE9" s="746"/>
      <c r="AF9" s="746"/>
      <c r="AG9" s="746"/>
      <c r="AH9" s="746"/>
      <c r="AI9" s="746"/>
      <c r="AJ9" s="470"/>
      <c r="AK9" s="2414"/>
      <c r="AM9" s="1770"/>
      <c r="AN9" s="1770" t="str">
        <f>IF(T9="","",T9)</f>
        <v>Добавить строку</v>
      </c>
      <c r="AO9" s="1770"/>
      <c r="AP9" s="1770"/>
      <c r="AQ9" s="1777">
        <v>0</v>
      </c>
    </row>
    <row s="6720" customFormat="1" customHeight="1" ht="0.75" hidden="1">
      <c r="A10" s="1521"/>
      <c r="B10" s="1521"/>
      <c r="C10" s="1521"/>
      <c r="D10" s="1521"/>
      <c r="E10" s="2449"/>
      <c r="F10" s="2449"/>
      <c r="G10" s="2449"/>
      <c r="H10" s="2449"/>
      <c r="I10" s="2286"/>
      <c r="J10" s="1521"/>
      <c r="K10" s="1521"/>
      <c r="L10" s="1527"/>
      <c r="M10" s="1392"/>
      <c r="N10" s="1392"/>
      <c r="O10" s="1392"/>
      <c r="P10" s="2416"/>
      <c r="Q10" s="2097"/>
      <c r="R10" s="502"/>
      <c r="S10" s="1532"/>
      <c r="T10" s="1533"/>
      <c r="U10" s="1534"/>
      <c r="V10" s="1534"/>
      <c r="W10" s="1534"/>
      <c r="X10" s="1534"/>
      <c r="Y10" s="1534"/>
      <c r="Z10" s="1534"/>
      <c r="AA10" s="1534"/>
      <c r="AB10" s="1534"/>
      <c r="AC10" s="1534"/>
      <c r="AD10" s="1534"/>
      <c r="AE10" s="1534"/>
      <c r="AF10" s="1534"/>
      <c r="AG10" s="1534"/>
      <c r="AH10" s="1534"/>
      <c r="AI10" s="1534"/>
      <c r="AJ10" s="1534"/>
      <c r="AK10" s="1535"/>
      <c r="AM10" s="1770"/>
      <c r="AN10" s="1770" t="str">
        <f>IF(T10="","",T10)</f>
        <v/>
      </c>
      <c r="AO10" s="1770"/>
      <c r="AP10" s="1770"/>
      <c r="AQ10" s="1782">
        <v>0</v>
      </c>
    </row>
    <row s="6720" customFormat="1" customHeight="1" ht="0.75" hidden="1">
      <c r="A11" s="1521"/>
      <c r="B11" s="1521"/>
      <c r="C11" s="1521"/>
      <c r="D11" s="1521"/>
      <c r="E11" s="2449"/>
      <c r="F11" s="2449"/>
      <c r="G11" s="2449"/>
      <c r="H11" s="2448"/>
      <c r="I11" s="1521"/>
      <c r="J11" s="1521"/>
      <c r="K11" s="1521"/>
      <c r="L11" s="1527"/>
      <c r="M11" s="1524"/>
      <c r="N11" s="1524"/>
      <c r="O11" s="497"/>
      <c r="P11" s="526"/>
      <c r="Q11" s="1490"/>
      <c r="R11" s="1547"/>
      <c r="S11" s="1532"/>
      <c r="T11" s="1533"/>
      <c r="U11" s="1534"/>
      <c r="V11" s="1534"/>
      <c r="W11" s="1534"/>
      <c r="X11" s="1534"/>
      <c r="Y11" s="1534"/>
      <c r="Z11" s="1534"/>
      <c r="AA11" s="1534"/>
      <c r="AB11" s="1534"/>
      <c r="AC11" s="1534"/>
      <c r="AD11" s="1534"/>
      <c r="AE11" s="1534"/>
      <c r="AF11" s="1534"/>
      <c r="AG11" s="1534"/>
      <c r="AH11" s="1534"/>
      <c r="AI11" s="1534"/>
      <c r="AJ11" s="1534"/>
      <c r="AK11" s="1535"/>
      <c r="AM11" s="1770"/>
      <c r="AN11" s="1770" t="str">
        <f>IF(T11="","",T11)</f>
        <v/>
      </c>
      <c r="AO11" s="1770"/>
      <c r="AP11" s="1770"/>
      <c r="AQ11" s="1782">
        <v>0</v>
      </c>
    </row>
    <row s="6720" customFormat="1" customHeight="1" ht="0.75" hidden="1">
      <c r="A12" s="1521"/>
      <c r="B12" s="1521"/>
      <c r="C12" s="1521"/>
      <c r="D12" s="1520"/>
      <c r="E12" s="2449"/>
      <c r="F12" s="2449"/>
      <c r="G12" s="2448"/>
      <c r="H12" s="1520"/>
      <c r="I12" s="1520"/>
      <c r="J12" s="1520"/>
      <c r="K12" s="1520"/>
      <c r="L12" s="1523"/>
      <c r="M12" s="1524"/>
      <c r="N12" s="1524"/>
      <c r="O12" s="497"/>
      <c r="P12" s="1462"/>
      <c r="Q12" s="1463"/>
      <c r="R12" s="1462"/>
      <c r="S12" s="1468"/>
      <c r="T12" s="1471" t="s">
        <v>436</v>
      </c>
      <c r="U12" s="1470"/>
      <c r="V12" s="1470"/>
      <c r="W12" s="1470"/>
      <c r="X12" s="1470"/>
      <c r="Y12" s="1470"/>
      <c r="Z12" s="1470"/>
      <c r="AA12" s="1470"/>
      <c r="AB12" s="1470"/>
      <c r="AC12" s="1470"/>
      <c r="AD12" s="1470"/>
      <c r="AE12" s="1470"/>
      <c r="AF12" s="1470"/>
      <c r="AG12" s="1470"/>
      <c r="AH12" s="1470"/>
      <c r="AI12" s="1470"/>
      <c r="AJ12" s="1470"/>
      <c r="AK12" s="1470"/>
      <c r="AM12" s="1397"/>
      <c r="AN12" s="1397" t="str">
        <f>IF(T12="","",T12)</f>
        <v>Добавить источник для дифференциации</v>
      </c>
      <c r="AO12" s="1397"/>
      <c r="AP12" s="1397"/>
      <c r="AQ12" s="1788">
        <v>0</v>
      </c>
    </row>
    <row s="6720" customFormat="1" customHeight="1" ht="0.75" hidden="1">
      <c r="A13" s="1521"/>
      <c r="B13" s="1521"/>
      <c r="C13" s="1520"/>
      <c r="D13" s="1520"/>
      <c r="E13" s="2449"/>
      <c r="F13" s="2448"/>
      <c r="G13" s="1520"/>
      <c r="H13" s="1520"/>
      <c r="I13" s="1520"/>
      <c r="J13" s="1520"/>
      <c r="K13" s="1520"/>
      <c r="L13" s="1523"/>
      <c r="M13" s="1525"/>
      <c r="N13" s="1525"/>
      <c r="O13" s="497"/>
      <c r="P13" s="1462"/>
      <c r="Q13" s="1463"/>
      <c r="R13" s="1462"/>
      <c r="S13" s="1468"/>
      <c r="T13" s="1471" t="s">
        <v>437</v>
      </c>
      <c r="U13" s="1470"/>
      <c r="V13" s="1470"/>
      <c r="W13" s="1470"/>
      <c r="X13" s="1470"/>
      <c r="Y13" s="1470"/>
      <c r="Z13" s="1470"/>
      <c r="AA13" s="1470"/>
      <c r="AB13" s="1470"/>
      <c r="AC13" s="1470"/>
      <c r="AD13" s="1470"/>
      <c r="AE13" s="1470"/>
      <c r="AF13" s="1470"/>
      <c r="AG13" s="1470"/>
      <c r="AH13" s="1470"/>
      <c r="AI13" s="1470"/>
      <c r="AJ13" s="1470"/>
      <c r="AK13" s="1470"/>
      <c r="AM13" s="1397"/>
      <c r="AN13" s="1397" t="str">
        <f>IF(T13="","",T13)</f>
        <v>Добавить централизованную систему для дифференциации</v>
      </c>
      <c r="AO13" s="1397"/>
      <c r="AP13" s="1397"/>
      <c r="AQ13" s="1788">
        <v>0</v>
      </c>
    </row>
    <row s="6720" customFormat="1" customHeight="1" ht="0.75" hidden="1">
      <c r="A14" s="1521"/>
      <c r="B14" s="1521"/>
      <c r="C14" s="1521"/>
      <c r="D14" s="1521"/>
      <c r="E14" s="2448"/>
      <c r="F14" s="1521"/>
      <c r="G14" s="1521"/>
      <c r="H14" s="1521"/>
      <c r="I14" s="1521"/>
      <c r="J14" s="1521"/>
      <c r="K14" s="1521"/>
      <c r="L14" s="1527"/>
      <c r="M14" s="1525"/>
      <c r="N14" s="1525"/>
      <c r="O14" s="497"/>
      <c r="P14" s="526"/>
      <c r="Q14" s="1490"/>
      <c r="R14" s="526"/>
      <c r="S14" s="1468"/>
      <c r="T14" s="1471" t="s">
        <v>438</v>
      </c>
      <c r="U14" s="1470"/>
      <c r="V14" s="1470"/>
      <c r="W14" s="1470"/>
      <c r="X14" s="1470"/>
      <c r="Y14" s="1470"/>
      <c r="Z14" s="1470"/>
      <c r="AA14" s="1470"/>
      <c r="AB14" s="1470"/>
      <c r="AC14" s="1470"/>
      <c r="AD14" s="1470"/>
      <c r="AE14" s="1470"/>
      <c r="AF14" s="1470"/>
      <c r="AG14" s="1470"/>
      <c r="AH14" s="1470"/>
      <c r="AI14" s="1470"/>
      <c r="AJ14" s="1470"/>
      <c r="AK14" s="1470"/>
      <c r="AM14" s="1770"/>
      <c r="AN14" s="1770" t="str">
        <f>IF(T14="","",T14)</f>
        <v>Добавить территорию для дифференциации</v>
      </c>
      <c r="AO14" s="1770"/>
      <c r="AP14" s="1770"/>
      <c r="AQ14" s="1782">
        <v>0</v>
      </c>
    </row>
    <row customHeight="1" ht="14.25" hidden="1">
      <c r="AQ15" s="1777">
        <v>0</v>
      </c>
    </row>
    <row customHeight="1" ht="14.25" hidden="1">
      <c r="AC16" s="1648"/>
      <c r="AD16" s="1549"/>
      <c r="AE16" s="1550"/>
      <c r="AF16" s="1881"/>
      <c r="AG16" s="2109" t="s">
        <v>63</v>
      </c>
      <c r="AH16" s="1881"/>
      <c r="AI16" s="2109" t="s">
        <v>63</v>
      </c>
      <c r="AQ16" s="1777">
        <v>0</v>
      </c>
    </row>
    <row customHeight="1" ht="14.25" hidden="1">
      <c r="AL17" s="1787"/>
      <c r="AM17" s="1787"/>
      <c r="AN17" s="1787"/>
      <c r="AO17" s="1787"/>
      <c r="AP17" s="1787"/>
      <c r="AQ17" s="1777">
        <v>0</v>
      </c>
    </row>
    <row customHeight="1" ht="14.25" hidden="1">
      <c r="O18" s="1491" t="s">
        <v>439</v>
      </c>
      <c r="X18" s="1491"/>
      <c r="Z18" s="1491"/>
      <c r="AF18" s="1491"/>
      <c r="AH18" s="1491"/>
      <c r="AL18" s="1787"/>
      <c r="AM18" s="1787"/>
      <c r="AN18" s="1787"/>
      <c r="AO18" s="1787"/>
      <c r="AP18" s="1787"/>
      <c r="AQ18" s="1777">
        <v>0</v>
      </c>
    </row>
    <row customHeight="1" ht="14.25" hidden="1">
      <c r="AL19" s="1787"/>
      <c r="AM19" s="1787"/>
      <c r="AN19" s="1787"/>
      <c r="AO19" s="1787"/>
      <c r="AP19" s="1787"/>
      <c r="AQ19" s="1777">
        <v>0</v>
      </c>
    </row>
    <row s="6437" customFormat="1" customHeight="1" ht="14.25" hidden="1">
      <c r="A20" s="2114"/>
      <c r="B20" s="2114"/>
      <c r="C20" s="2114"/>
      <c r="D20" s="2114"/>
      <c r="E20" s="2114"/>
      <c r="F20" s="2114"/>
      <c r="G20" s="2114"/>
      <c r="H20" s="2114"/>
      <c r="I20" s="2114"/>
      <c r="J20" s="2114"/>
      <c r="K20" s="2114"/>
      <c r="L20" s="2114"/>
      <c r="M20" s="2115"/>
      <c r="N20" s="2115"/>
      <c r="O20" s="2116" t="s">
        <v>440</v>
      </c>
      <c r="P20" s="1654"/>
      <c r="Q20" s="1656"/>
      <c r="R20" s="1656"/>
      <c r="Y20" s="1653" t="s">
        <v>442</v>
      </c>
      <c r="AA20" s="1653" t="s">
        <v>443</v>
      </c>
      <c r="AC20" s="1653" t="s">
        <v>492</v>
      </c>
      <c r="AG20" s="1653" t="s">
        <v>442</v>
      </c>
      <c r="AI20" s="1653" t="s">
        <v>443</v>
      </c>
      <c r="AL20" s="1657"/>
      <c r="AM20" s="1657"/>
      <c r="AN20" s="1657"/>
      <c r="AO20" s="1657"/>
      <c r="AP20" s="1657"/>
      <c r="AQ20" s="1653">
        <v>0</v>
      </c>
    </row>
    <row customHeight="1" ht="14.25" hidden="1">
      <c r="O21" s="1456"/>
      <c r="AL21" s="1787"/>
      <c r="AM21" s="1787"/>
      <c r="AN21" s="1787"/>
      <c r="AO21" s="1787"/>
      <c r="AP21" s="1787"/>
      <c r="AQ21" s="1777">
        <v>0</v>
      </c>
    </row>
    <row customHeight="1" ht="14.25" hidden="1">
      <c r="O22" s="1456"/>
      <c r="AL22" s="1787"/>
      <c r="AM22" s="1787"/>
      <c r="AN22" s="1787"/>
      <c r="AO22" s="1787"/>
      <c r="AP22" s="1787"/>
      <c r="AQ22" s="1777">
        <v>0</v>
      </c>
    </row>
    <row customHeight="1" ht="14.699999999999998">
      <c r="Q23" s="437"/>
      <c r="R23" s="522"/>
      <c r="S23" s="1421"/>
      <c r="T23" s="603"/>
      <c r="U23" s="603"/>
      <c r="V23" s="1781"/>
      <c r="W23" s="1781"/>
      <c r="X23" s="1781"/>
      <c r="Y23" s="1781"/>
      <c r="Z23" s="1781"/>
      <c r="AA23" s="1781"/>
      <c r="AB23" s="1781"/>
      <c r="AC23" s="1781"/>
      <c r="AD23" s="1781"/>
      <c r="AE23" s="1781"/>
      <c r="AF23" s="1781"/>
      <c r="AG23" s="1781"/>
      <c r="AH23" s="1781"/>
      <c r="AI23" s="1781"/>
      <c r="AQ23" s="1777">
        <v>14</v>
      </c>
    </row>
    <row customHeight="1" ht="39.75">
      <c r="Q24" s="437"/>
      <c r="R24" s="522"/>
      <c r="S24" s="24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07"/>
      <c r="U24" s="2407"/>
      <c r="V24" s="2407"/>
      <c r="W24" s="2407"/>
      <c r="X24" s="2407"/>
      <c r="Y24" s="2407"/>
      <c r="Z24" s="2407"/>
      <c r="AA24" s="2407"/>
      <c r="AB24" s="2407"/>
      <c r="AC24" s="2407"/>
      <c r="AD24" s="2407"/>
      <c r="AE24" s="2407"/>
      <c r="AF24" s="2407"/>
      <c r="AG24" s="2407"/>
      <c r="AH24" s="2407"/>
      <c r="AI24" s="1389"/>
      <c r="AQ24" s="1777">
        <v>38</v>
      </c>
    </row>
    <row customHeight="1" ht="14.699999999999998">
      <c r="Q25" s="437"/>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1389"/>
      <c r="AQ25" s="1777">
        <v>14</v>
      </c>
    </row>
    <row customHeight="1" ht="14.25" hidden="1">
      <c r="Q26" s="437"/>
      <c r="R26" s="522"/>
      <c r="S26" s="1421"/>
      <c r="T26" s="603"/>
      <c r="U26" s="603"/>
      <c r="V26" s="468"/>
      <c r="W26" s="468"/>
      <c r="X26" s="468"/>
      <c r="Y26" s="468"/>
      <c r="Z26" s="468"/>
      <c r="AA26" s="468"/>
      <c r="AB26" s="468"/>
      <c r="AC26" s="468"/>
      <c r="AD26" s="468"/>
      <c r="AE26" s="468"/>
      <c r="AF26" s="468"/>
      <c r="AG26" s="468"/>
      <c r="AH26" s="468"/>
      <c r="AI26" s="468"/>
      <c r="AJ26" s="1781"/>
      <c r="AQ26" s="1777">
        <v>0</v>
      </c>
    </row>
    <row s="7809" customFormat="1" customHeight="1" ht="25.5" hidden="1">
      <c r="A27" s="1394"/>
      <c r="B27" s="1394"/>
      <c r="C27" s="1394"/>
      <c r="D27" s="1394"/>
      <c r="E27" s="1394"/>
      <c r="F27" s="1394"/>
      <c r="G27" s="1394"/>
      <c r="H27" s="1394"/>
      <c r="I27" s="1394"/>
      <c r="J27" s="1394"/>
      <c r="K27" s="1394"/>
      <c r="L27" s="1526"/>
      <c r="M27" s="1394"/>
      <c r="N27" s="1394"/>
      <c r="O27" s="1394"/>
      <c r="P27" s="1514"/>
      <c r="Q27" s="1514"/>
      <c r="S27" s="2409" t="s">
        <v>42</v>
      </c>
      <c r="T27" s="2409"/>
      <c r="U27" s="1518"/>
      <c r="V27" s="2410" t="str">
        <f>IF(TITLE_NAME_OR_PR_CHANGE="",IF(TITLE_NAME_OR_PR="","",TITLE_NAME_OR_PR),TITLE_NAME_OR_PR_CHANGE)</f>
        <v/>
      </c>
      <c r="W27" s="2410"/>
      <c r="X27" s="2410"/>
      <c r="Y27" s="2410"/>
      <c r="Z27" s="2410"/>
      <c r="AA27" s="1781"/>
      <c r="AB27" s="1781"/>
      <c r="AC27" s="2410"/>
      <c r="AD27" s="2410"/>
      <c r="AE27" s="2410"/>
      <c r="AF27" s="2410"/>
      <c r="AG27" s="2410"/>
      <c r="AH27" s="2410"/>
      <c r="AI27" s="1781"/>
      <c r="AJ27" s="1781"/>
      <c r="AK27" s="426"/>
      <c r="AL27" s="514"/>
      <c r="AM27" s="514"/>
      <c r="AN27" s="514"/>
      <c r="AO27" s="514"/>
      <c r="AP27" s="514"/>
      <c r="AQ27" s="564">
        <v>0</v>
      </c>
    </row>
    <row s="7809" customFormat="1" customHeight="1" ht="18.75" hidden="1">
      <c r="A28" s="1394"/>
      <c r="B28" s="1394"/>
      <c r="C28" s="1394"/>
      <c r="D28" s="1394"/>
      <c r="E28" s="1394"/>
      <c r="F28" s="1394"/>
      <c r="G28" s="1394"/>
      <c r="H28" s="1394"/>
      <c r="I28" s="1394"/>
      <c r="J28" s="1394"/>
      <c r="K28" s="1394"/>
      <c r="L28" s="1526"/>
      <c r="M28" s="1394"/>
      <c r="N28" s="1394"/>
      <c r="O28" s="1394"/>
      <c r="P28" s="1514"/>
      <c r="Q28" s="1514"/>
      <c r="S28" s="2409" t="s">
        <v>445</v>
      </c>
      <c r="T28" s="2409"/>
      <c r="U28" s="1518"/>
      <c r="V28" s="2423" t="str">
        <f>IF(TITLE_DATE_PR_CHANGE="",IF(TITLE_DATE_PR="","",TITLE_DATE_PR),TITLE_DATE_PR_CHANGE)</f>
        <v/>
      </c>
      <c r="W28" s="2423"/>
      <c r="X28" s="2423"/>
      <c r="Y28" s="2423"/>
      <c r="Z28" s="2423"/>
      <c r="AA28" s="1781"/>
      <c r="AB28" s="1781"/>
      <c r="AC28" s="2423"/>
      <c r="AD28" s="2423"/>
      <c r="AE28" s="2423"/>
      <c r="AF28" s="2423"/>
      <c r="AG28" s="2423"/>
      <c r="AH28" s="2423"/>
      <c r="AI28" s="1781"/>
      <c r="AJ28" s="1781"/>
      <c r="AK28" s="426"/>
      <c r="AL28" s="514"/>
      <c r="AM28" s="514"/>
      <c r="AN28" s="514"/>
      <c r="AO28" s="514"/>
      <c r="AP28" s="514"/>
      <c r="AQ28" s="564">
        <v>0</v>
      </c>
    </row>
    <row s="7809" customFormat="1" customHeight="1" ht="18.75" hidden="1">
      <c r="A29" s="1394"/>
      <c r="B29" s="1394"/>
      <c r="C29" s="1394"/>
      <c r="D29" s="1394"/>
      <c r="E29" s="1394"/>
      <c r="F29" s="1394"/>
      <c r="G29" s="1394"/>
      <c r="H29" s="1394"/>
      <c r="I29" s="1394"/>
      <c r="J29" s="1394"/>
      <c r="K29" s="1394"/>
      <c r="L29" s="1526"/>
      <c r="M29" s="1394"/>
      <c r="N29" s="1394"/>
      <c r="O29" s="1394"/>
      <c r="P29" s="1514"/>
      <c r="Q29" s="1514"/>
      <c r="S29" s="2409" t="s">
        <v>446</v>
      </c>
      <c r="T29" s="2409"/>
      <c r="U29" s="1518"/>
      <c r="V29" s="2410" t="str">
        <f>IF(TITLE_NUMBER_PR_CHANGE="",IF(TITLE_NUMBER_PR="","",TITLE_NUMBER_PR),TITLE_NUMBER_PR_CHANGE)</f>
        <v/>
      </c>
      <c r="W29" s="2410"/>
      <c r="X29" s="2410"/>
      <c r="Y29" s="2410"/>
      <c r="Z29" s="2410"/>
      <c r="AA29" s="1781"/>
      <c r="AB29" s="1781"/>
      <c r="AC29" s="2410"/>
      <c r="AD29" s="2410"/>
      <c r="AE29" s="2410"/>
      <c r="AF29" s="2410"/>
      <c r="AG29" s="2410"/>
      <c r="AH29" s="2410"/>
      <c r="AI29" s="1781"/>
      <c r="AJ29" s="1781"/>
      <c r="AK29" s="426"/>
      <c r="AL29" s="514"/>
      <c r="AM29" s="514"/>
      <c r="AN29" s="514"/>
      <c r="AO29" s="514"/>
      <c r="AP29" s="514"/>
      <c r="AQ29" s="564">
        <v>0</v>
      </c>
    </row>
    <row s="7809" customFormat="1" customHeight="1" ht="18.75" hidden="1">
      <c r="A30" s="1394"/>
      <c r="B30" s="1394"/>
      <c r="C30" s="1394"/>
      <c r="D30" s="1394"/>
      <c r="E30" s="1394"/>
      <c r="F30" s="1394"/>
      <c r="G30" s="1394"/>
      <c r="H30" s="1394"/>
      <c r="I30" s="1394"/>
      <c r="J30" s="1394"/>
      <c r="K30" s="1394"/>
      <c r="L30" s="1526"/>
      <c r="M30" s="1394"/>
      <c r="N30" s="1394"/>
      <c r="O30" s="1394"/>
      <c r="P30" s="1514"/>
      <c r="Q30" s="1514"/>
      <c r="S30" s="2409" t="s">
        <v>43</v>
      </c>
      <c r="T30" s="2409"/>
      <c r="U30" s="1518"/>
      <c r="V30" s="2410" t="str">
        <f>IF(TITLE_IST_PUB_CHANGE="",IF(TITLE_IST_PUB="","",TITLE_IST_PUB),TITLE_IST_PUB_CHANGE)</f>
        <v/>
      </c>
      <c r="W30" s="2410"/>
      <c r="X30" s="2410"/>
      <c r="Y30" s="2410"/>
      <c r="Z30" s="2410"/>
      <c r="AA30" s="1781"/>
      <c r="AB30" s="1781"/>
      <c r="AC30" s="2410"/>
      <c r="AD30" s="2410"/>
      <c r="AE30" s="2410"/>
      <c r="AF30" s="2410"/>
      <c r="AG30" s="2410"/>
      <c r="AH30" s="2410"/>
      <c r="AI30" s="1781"/>
      <c r="AJ30" s="1781"/>
      <c r="AK30" s="426"/>
      <c r="AL30" s="514"/>
      <c r="AM30" s="514"/>
      <c r="AN30" s="514"/>
      <c r="AO30" s="514"/>
      <c r="AP30" s="514"/>
      <c r="AQ30" s="564">
        <v>0</v>
      </c>
    </row>
    <row customHeight="1" ht="14.25" hidden="1">
      <c r="Q31" s="437"/>
      <c r="R31" s="522"/>
      <c r="S31" s="1421"/>
      <c r="T31" s="603"/>
      <c r="U31" s="603"/>
      <c r="V31" s="468"/>
      <c r="W31" s="468"/>
      <c r="X31" s="468"/>
      <c r="Y31" s="468"/>
      <c r="Z31" s="468"/>
      <c r="AA31" s="468"/>
      <c r="AB31" s="468"/>
      <c r="AC31" s="468"/>
      <c r="AD31" s="468"/>
      <c r="AE31" s="468"/>
      <c r="AF31" s="468"/>
      <c r="AG31" s="468"/>
      <c r="AH31" s="468"/>
      <c r="AI31" s="468"/>
      <c r="AJ31" s="1781"/>
      <c r="AQ31" s="1777">
        <v>0</v>
      </c>
    </row>
    <row s="7809" customFormat="1" customHeight="1" ht="18.75" hidden="1">
      <c r="A32" s="1394"/>
      <c r="B32" s="1394"/>
      <c r="C32" s="1394"/>
      <c r="D32" s="1394"/>
      <c r="E32" s="1394"/>
      <c r="F32" s="1394"/>
      <c r="G32" s="1394"/>
      <c r="H32" s="1394"/>
      <c r="I32" s="1394"/>
      <c r="J32" s="1394"/>
      <c r="K32" s="1394"/>
      <c r="L32" s="1526"/>
      <c r="M32" s="1394"/>
      <c r="N32" s="1394"/>
      <c r="O32" s="1394"/>
      <c r="P32" s="1514"/>
      <c r="Q32" s="1514"/>
      <c r="S32" s="2409" t="s">
        <v>445</v>
      </c>
      <c r="T32" s="2409"/>
      <c r="U32" s="1518"/>
      <c r="V32" s="2423" t="str">
        <f>IF(TITLE_DATE_PR_CHANGE="",IF(TITLE_DATE_PR="","",TITLE_DATE_PR),TITLE_DATE_PR_CHANGE)</f>
        <v/>
      </c>
      <c r="W32" s="2423"/>
      <c r="X32" s="2423"/>
      <c r="Y32" s="2423"/>
      <c r="Z32" s="2423"/>
      <c r="AA32" s="1781"/>
      <c r="AB32" s="1781"/>
      <c r="AC32" s="2423"/>
      <c r="AD32" s="2423"/>
      <c r="AE32" s="2423"/>
      <c r="AF32" s="2423"/>
      <c r="AG32" s="2423"/>
      <c r="AH32" s="2423"/>
      <c r="AI32" s="1781"/>
      <c r="AJ32" s="1781"/>
      <c r="AK32" s="426"/>
      <c r="AL32" s="514"/>
      <c r="AM32" s="514"/>
      <c r="AN32" s="514"/>
      <c r="AO32" s="514"/>
      <c r="AP32" s="514"/>
      <c r="AQ32" s="564">
        <v>0</v>
      </c>
    </row>
    <row s="7809" customFormat="1" customHeight="1" ht="18" hidden="1">
      <c r="A33" s="1394"/>
      <c r="B33" s="1394"/>
      <c r="C33" s="1394"/>
      <c r="D33" s="1394"/>
      <c r="E33" s="1394"/>
      <c r="F33" s="1394"/>
      <c r="G33" s="1394"/>
      <c r="H33" s="1394"/>
      <c r="I33" s="1394"/>
      <c r="J33" s="1394"/>
      <c r="K33" s="1394"/>
      <c r="L33" s="1526"/>
      <c r="M33" s="1394"/>
      <c r="N33" s="1394"/>
      <c r="O33" s="1394"/>
      <c r="P33" s="1514"/>
      <c r="Q33" s="1514"/>
      <c r="S33" s="2409" t="s">
        <v>446</v>
      </c>
      <c r="T33" s="2409"/>
      <c r="U33" s="1518"/>
      <c r="V33" s="2410" t="str">
        <f>IF(TITLE_NUMBER_PR_CHANGE="",IF(TITLE_NUMBER_PR="","",TITLE_NUMBER_PR),TITLE_NUMBER_PR_CHANGE)</f>
        <v/>
      </c>
      <c r="W33" s="2410"/>
      <c r="X33" s="2410"/>
      <c r="Y33" s="2410"/>
      <c r="Z33" s="2410"/>
      <c r="AA33" s="1781"/>
      <c r="AB33" s="1781"/>
      <c r="AC33" s="2410"/>
      <c r="AD33" s="2410"/>
      <c r="AE33" s="2410"/>
      <c r="AF33" s="2410"/>
      <c r="AG33" s="2410"/>
      <c r="AH33" s="2410"/>
      <c r="AI33" s="1781"/>
      <c r="AJ33" s="1781"/>
      <c r="AK33" s="426"/>
      <c r="AL33" s="514"/>
      <c r="AM33" s="514"/>
      <c r="AN33" s="514"/>
      <c r="AO33" s="514"/>
      <c r="AP33" s="514"/>
      <c r="AQ33" s="564">
        <v>0</v>
      </c>
    </row>
    <row s="7809" customFormat="1" customHeight="1" ht="1.05">
      <c r="A34" s="1394"/>
      <c r="B34" s="1394"/>
      <c r="C34" s="1394"/>
      <c r="D34" s="1394"/>
      <c r="E34" s="1394"/>
      <c r="F34" s="1394"/>
      <c r="G34" s="1394"/>
      <c r="H34" s="1394"/>
      <c r="I34" s="1394"/>
      <c r="J34" s="1394"/>
      <c r="K34" s="1394"/>
      <c r="L34" s="1526"/>
      <c r="M34" s="1394"/>
      <c r="N34" s="1394"/>
      <c r="O34" s="1394"/>
      <c r="P34" s="1514"/>
      <c r="Q34" s="1514"/>
      <c r="S34" s="1781"/>
      <c r="T34" s="1781"/>
      <c r="U34" s="2113"/>
      <c r="V34" s="1781"/>
      <c r="W34" s="1781"/>
      <c r="X34" s="1781"/>
      <c r="Y34" s="1781"/>
      <c r="Z34" s="1781"/>
      <c r="AA34" s="1788" t="s">
        <v>449</v>
      </c>
      <c r="AB34" s="1788"/>
      <c r="AC34" s="1781"/>
      <c r="AD34" s="1781"/>
      <c r="AE34" s="1781"/>
      <c r="AF34" s="1781"/>
      <c r="AG34" s="1781"/>
      <c r="AH34" s="1781"/>
      <c r="AI34" s="1788" t="s">
        <v>449</v>
      </c>
      <c r="AL34" s="514"/>
      <c r="AM34" s="514"/>
      <c r="AN34" s="514"/>
      <c r="AO34" s="514"/>
      <c r="AP34" s="514"/>
      <c r="AQ34" s="564">
        <v>1</v>
      </c>
    </row>
    <row customHeight="1" ht="14.699999999999998">
      <c r="Q35" s="437"/>
      <c r="R35" s="522"/>
      <c r="S35" s="1421"/>
      <c r="T35" s="603"/>
      <c r="U35" s="1390"/>
      <c r="V35" s="2411"/>
      <c r="W35" s="2411"/>
      <c r="X35" s="2411"/>
      <c r="Y35" s="2411"/>
      <c r="Z35" s="2411"/>
      <c r="AA35" s="2411"/>
      <c r="AB35" s="2100"/>
      <c r="AC35" s="2411"/>
      <c r="AD35" s="2411"/>
      <c r="AE35" s="2411"/>
      <c r="AF35" s="2411"/>
      <c r="AG35" s="2411"/>
      <c r="AH35" s="2411"/>
      <c r="AI35" s="2411"/>
      <c r="AQ35" s="1777">
        <v>14</v>
      </c>
    </row>
    <row customHeight="1" ht="14.699999999999998">
      <c r="Q36" s="437"/>
      <c r="R36" s="522"/>
      <c r="S36" s="2286" t="s">
        <v>322</v>
      </c>
      <c r="T36" s="2286"/>
      <c r="U36" s="2286"/>
      <c r="V36" s="2286"/>
      <c r="W36" s="2286"/>
      <c r="X36" s="2286"/>
      <c r="Y36" s="2286"/>
      <c r="Z36" s="2286"/>
      <c r="AA36" s="2334"/>
      <c r="AB36" s="2334"/>
      <c r="AC36" s="2334"/>
      <c r="AD36" s="2286"/>
      <c r="AE36" s="2286"/>
      <c r="AF36" s="2286"/>
      <c r="AG36" s="2286"/>
      <c r="AH36" s="2286"/>
      <c r="AI36" s="2286"/>
      <c r="AJ36" s="2286"/>
      <c r="AK36" s="2286" t="s">
        <v>323</v>
      </c>
      <c r="AQ36" s="1777">
        <v>14</v>
      </c>
    </row>
    <row customHeight="1" ht="14.699999999999998">
      <c r="Q37" s="437"/>
      <c r="R37" s="522"/>
      <c r="S37" s="2432" t="s">
        <v>89</v>
      </c>
      <c r="T37" s="2368" t="s">
        <v>521</v>
      </c>
      <c r="U37" s="483"/>
      <c r="V37" s="2434"/>
      <c r="W37" s="2434"/>
      <c r="X37" s="2434"/>
      <c r="Y37" s="2434"/>
      <c r="Z37" s="2434"/>
      <c r="AA37" s="2368" t="s">
        <v>452</v>
      </c>
      <c r="AB37" s="2367" t="s">
        <v>522</v>
      </c>
      <c r="AC37" s="2367" t="s">
        <v>496</v>
      </c>
      <c r="AD37" s="2450" t="s">
        <v>451</v>
      </c>
      <c r="AE37" s="2450"/>
      <c r="AF37" s="2434"/>
      <c r="AG37" s="2434"/>
      <c r="AH37" s="2435"/>
      <c r="AI37" s="2436" t="s">
        <v>452</v>
      </c>
      <c r="AJ37" s="2439" t="s">
        <v>454</v>
      </c>
      <c r="AK37" s="2286"/>
      <c r="AQ37" s="1777">
        <v>14</v>
      </c>
    </row>
    <row customHeight="1" ht="35.699999999999996">
      <c r="Q38" s="437"/>
      <c r="R38" s="522"/>
      <c r="S38" s="2432"/>
      <c r="T38" s="2368"/>
      <c r="U38" s="1177"/>
      <c r="V38" s="2262" t="s">
        <v>499</v>
      </c>
      <c r="W38" s="2286"/>
      <c r="X38" s="2453" t="s">
        <v>458</v>
      </c>
      <c r="Y38" s="2472"/>
      <c r="Z38" s="2472"/>
      <c r="AA38" s="2368"/>
      <c r="AB38" s="2367"/>
      <c r="AC38" s="2367"/>
      <c r="AD38" s="2262" t="s">
        <v>499</v>
      </c>
      <c r="AE38" s="2286"/>
      <c r="AF38" s="2472" t="s">
        <v>458</v>
      </c>
      <c r="AG38" s="2472"/>
      <c r="AH38" s="2473"/>
      <c r="AI38" s="2437"/>
      <c r="AJ38" s="2440"/>
      <c r="AK38" s="2286"/>
      <c r="AQ38" s="1777">
        <v>34</v>
      </c>
    </row>
    <row customHeight="1" ht="14.699999999999998">
      <c r="Q39" s="437"/>
      <c r="R39" s="522"/>
      <c r="S39" s="2432"/>
      <c r="T39" s="2368"/>
      <c r="U39" s="1177"/>
      <c r="V39" s="2499" t="str">
        <f>IF($AD$39&lt;&gt;"",$AD$39,"")</f>
        <v/>
      </c>
      <c r="W39" s="2499"/>
      <c r="X39" s="2454"/>
      <c r="Y39" s="2474"/>
      <c r="Z39" s="2474"/>
      <c r="AA39" s="2368"/>
      <c r="AB39" s="2367"/>
      <c r="AC39" s="2367"/>
      <c r="AD39" s="2515"/>
      <c r="AE39" s="2498"/>
      <c r="AF39" s="2474"/>
      <c r="AG39" s="2474"/>
      <c r="AH39" s="2475"/>
      <c r="AI39" s="2437"/>
      <c r="AJ39" s="2440"/>
      <c r="AK39" s="2286"/>
      <c r="AQ39" s="1777">
        <v>14</v>
      </c>
    </row>
    <row customHeight="1" ht="14.699999999999998">
      <c r="A40" s="1412"/>
      <c r="B40" s="1412" t="s">
        <v>159</v>
      </c>
      <c r="C40" s="1412" t="s">
        <v>160</v>
      </c>
      <c r="D40" s="1412" t="s">
        <v>161</v>
      </c>
      <c r="E40" s="1456" t="s">
        <v>459</v>
      </c>
      <c r="F40" s="1456" t="s">
        <v>460</v>
      </c>
      <c r="G40" s="1456" t="s">
        <v>461</v>
      </c>
      <c r="H40" s="1456" t="s">
        <v>462</v>
      </c>
      <c r="I40" s="1456" t="s">
        <v>463</v>
      </c>
      <c r="J40" s="1456" t="s">
        <v>464</v>
      </c>
      <c r="K40" s="1456" t="s">
        <v>465</v>
      </c>
      <c r="L40" s="1456" t="s">
        <v>440</v>
      </c>
      <c r="Q40" s="437"/>
      <c r="R40" s="522"/>
      <c r="S40" s="2432"/>
      <c r="T40" s="2368"/>
      <c r="U40" s="448"/>
      <c r="V40" s="2093" t="s">
        <v>500</v>
      </c>
      <c r="W40" s="2093" t="s">
        <v>501</v>
      </c>
      <c r="X40" s="2081" t="s">
        <v>468</v>
      </c>
      <c r="Y40" s="2429" t="s">
        <v>469</v>
      </c>
      <c r="Z40" s="2479"/>
      <c r="AA40" s="2368"/>
      <c r="AB40" s="2367"/>
      <c r="AC40" s="2367"/>
      <c r="AD40" s="2111" t="s">
        <v>500</v>
      </c>
      <c r="AE40" s="2102" t="s">
        <v>501</v>
      </c>
      <c r="AF40" s="2081" t="s">
        <v>468</v>
      </c>
      <c r="AG40" s="2429" t="s">
        <v>469</v>
      </c>
      <c r="AH40" s="2430"/>
      <c r="AI40" s="2438"/>
      <c r="AJ40" s="2441"/>
      <c r="AK40" s="2286"/>
      <c r="AQ40" s="1777">
        <v>14</v>
      </c>
    </row>
    <row s="6314" customFormat="1" customHeight="1" ht="11.25" hidden="1">
      <c r="A41" s="1412"/>
      <c r="B41" s="1412"/>
      <c r="C41" s="1412"/>
      <c r="D41" s="1412"/>
      <c r="E41" s="1412"/>
      <c r="F41" s="1412"/>
      <c r="G41" s="1412"/>
      <c r="H41" s="1412"/>
      <c r="I41" s="1412"/>
      <c r="J41" s="1412"/>
      <c r="K41" s="1412"/>
      <c r="L41" s="1456"/>
      <c r="M41" s="2108"/>
      <c r="N41" s="2108"/>
      <c r="O41" s="2108"/>
      <c r="P41" s="656"/>
      <c r="Q41" s="1400"/>
      <c r="R41" s="1400">
        <v>1</v>
      </c>
      <c r="S41" s="1423" t="s">
        <v>121</v>
      </c>
      <c r="T41" s="1401" t="s">
        <v>105</v>
      </c>
      <c r="U41" s="1391" t="str">
        <f>OFFSET(U41,0,-1)</f>
        <v>2</v>
      </c>
      <c r="V41" s="2099">
        <f>OFFSET(V41,0,-1)+1</f>
        <v>3</v>
      </c>
      <c r="W41" s="2099">
        <f>OFFSET(W41,0,-1)+1</f>
        <v>4</v>
      </c>
      <c r="X41" s="2099">
        <f>OFFSET(X41,0,-1)+1</f>
        <v>5</v>
      </c>
      <c r="Y41" s="2431">
        <f>OFFSET(Y41,0,-1)+1</f>
        <v>6</v>
      </c>
      <c r="Z41" s="2431"/>
      <c r="AA41" s="1487">
        <f>OFFSET(AA41,0,-2)+1</f>
        <v>7</v>
      </c>
      <c r="AB41" s="1487"/>
      <c r="AC41" s="1487"/>
      <c r="AD41" s="2099">
        <f>OFFSET(AD41,0,-1)+1</f>
        <v>1</v>
      </c>
      <c r="AE41" s="2099">
        <f>OFFSET(AE41,0,-1)+1</f>
        <v>2</v>
      </c>
      <c r="AF41" s="2099">
        <f>OFFSET(AF41,0,-1)+1</f>
        <v>3</v>
      </c>
      <c r="AG41" s="2431">
        <f>OFFSET(AG41,0,-1)+1</f>
        <v>4</v>
      </c>
      <c r="AH41" s="2431"/>
      <c r="AI41" s="2099">
        <f>OFFSET(AI41,0,-2)+1</f>
        <v>5</v>
      </c>
      <c r="AJ41" s="1391">
        <f>OFFSET(AJ41,0,-1)</f>
        <v>5</v>
      </c>
      <c r="AK41" s="2099">
        <f>OFFSET(AK41,0,-1)+1</f>
        <v>6</v>
      </c>
      <c r="AL41" s="1782"/>
      <c r="AM41" s="1782"/>
      <c r="AN41" s="1782"/>
      <c r="AO41" s="1782"/>
      <c r="AP41" s="1782"/>
      <c r="AQ41" s="1787">
        <v>0</v>
      </c>
    </row>
    <row customHeight="1" ht="107.25">
      <c r="A42" s="1413" t="s">
        <v>228</v>
      </c>
      <c r="B42" s="1413"/>
      <c r="C42" s="1413"/>
      <c r="D42" s="1413"/>
      <c r="E42" s="2448">
        <v>1</v>
      </c>
      <c r="F42" s="1413"/>
      <c r="G42" s="1413"/>
      <c r="H42" s="1413"/>
      <c r="I42" s="1413"/>
      <c r="J42" s="1413"/>
      <c r="K42" s="1413"/>
      <c r="L42" s="1456"/>
      <c r="M42" s="1756"/>
      <c r="N42" s="1756"/>
      <c r="O42" s="1756"/>
      <c r="P42" s="1555"/>
      <c r="Q42" s="1019"/>
      <c r="R42" s="501"/>
      <c r="S42" s="2101">
        <f>INDEX(PT_DIFFERENTIATION_NUM_NTAR,MATCH(A42,PT_DIFFERENTIATION_NTAR_ID,0))</f>
        <v>0</v>
      </c>
      <c r="T42" s="1671" t="s">
        <v>147</v>
      </c>
      <c r="U42" s="446"/>
      <c r="V42" s="2402"/>
      <c r="W42" s="2402"/>
      <c r="X42" s="2402"/>
      <c r="Y42" s="2402"/>
      <c r="Z42" s="2402"/>
      <c r="AA42" s="2403"/>
      <c r="AB42" s="2095"/>
      <c r="AC42" s="2402" t="str">
        <f>INDEX(PT_DIFFERENTIATION_NTAR,MATCH(A42,PT_DIFFERENTIATION_NTAR_ID,0))</f>
        <v/>
      </c>
      <c r="AD42" s="2402"/>
      <c r="AE42" s="2402"/>
      <c r="AF42" s="2402"/>
      <c r="AG42" s="2402"/>
      <c r="AH42" s="2402"/>
      <c r="AI42" s="2402"/>
      <c r="AJ42" s="2403"/>
      <c r="AK42" s="140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770"/>
      <c r="AN42" s="1770" t="str">
        <f>IF(T42="","",T42)</f>
        <v>Наименование тарифа</v>
      </c>
      <c r="AO42" s="1770"/>
      <c r="AP42" s="1770"/>
      <c r="AQ42" s="1777">
        <v>102</v>
      </c>
    </row>
    <row customHeight="1" ht="22.049999999999997">
      <c r="A43" s="1413" t="s">
        <v>228</v>
      </c>
      <c r="B43" s="1413" t="s">
        <v>229</v>
      </c>
      <c r="C43" s="1413"/>
      <c r="D43" s="1413"/>
      <c r="E43" s="2449"/>
      <c r="F43" s="2448">
        <v>1</v>
      </c>
      <c r="G43" s="1413"/>
      <c r="H43" s="1413"/>
      <c r="I43" s="1413"/>
      <c r="J43" s="1413"/>
      <c r="K43" s="1413"/>
      <c r="L43" s="1456"/>
      <c r="M43" s="1756"/>
      <c r="N43" s="1756"/>
      <c r="O43" s="1756"/>
      <c r="P43" s="2112"/>
      <c r="Q43" s="1557"/>
      <c r="R43" s="499"/>
      <c r="S43" s="2101" t="str">
        <f>INDEX(PT_DIFFERENTIATION_NUM_TER,MATCH(B43,PT_DIFFERENTIATION_TER_ID,0))</f>
        <v>.</v>
      </c>
      <c r="T43" s="1668" t="s">
        <v>419</v>
      </c>
      <c r="U43" s="446"/>
      <c r="V43" s="2402"/>
      <c r="W43" s="2402"/>
      <c r="X43" s="2402"/>
      <c r="Y43" s="2402"/>
      <c r="Z43" s="2402"/>
      <c r="AA43" s="2403"/>
      <c r="AB43" s="2095"/>
      <c r="AC43" s="2402" t="str">
        <f>INDEX(PT_DIFFERENTIATION_TER,MATCH(B43,PT_DIFFERENTIATION_TER_ID,0))</f>
        <v/>
      </c>
      <c r="AD43" s="2402"/>
      <c r="AE43" s="2402"/>
      <c r="AF43" s="2402"/>
      <c r="AG43" s="2402"/>
      <c r="AH43" s="2402"/>
      <c r="AI43" s="2402"/>
      <c r="AJ43" s="2403"/>
      <c r="AK43" s="1404" t="s">
        <v>420</v>
      </c>
      <c r="AM43" s="1770"/>
      <c r="AN43" s="1770" t="str">
        <f>IF(T43="","",T43)</f>
        <v>Территория действия тарифа</v>
      </c>
      <c r="AO43" s="1770"/>
      <c r="AP43" s="1770"/>
      <c r="AQ43" s="1777">
        <v>21</v>
      </c>
    </row>
    <row customHeight="1" ht="24">
      <c r="A44" s="1413" t="s">
        <v>228</v>
      </c>
      <c r="B44" s="1413" t="s">
        <v>229</v>
      </c>
      <c r="C44" s="1413" t="s">
        <v>230</v>
      </c>
      <c r="D44" s="1413"/>
      <c r="E44" s="2449"/>
      <c r="F44" s="2449"/>
      <c r="G44" s="2448">
        <v>1</v>
      </c>
      <c r="H44" s="1413"/>
      <c r="I44" s="1413"/>
      <c r="J44" s="1413"/>
      <c r="K44" s="1413"/>
      <c r="L44" s="1456"/>
      <c r="M44" s="1756"/>
      <c r="N44" s="1756"/>
      <c r="O44" s="1756"/>
      <c r="P44" s="1558"/>
      <c r="Q44" s="1557"/>
      <c r="R44" s="499"/>
      <c r="S44" s="2101" t="str">
        <f>INDEX(PT_DIFFERENTIATION_NUM_CS,MATCH(C44,PT_DIFFERENTIATION_CS_ID,0))</f>
        <v>..</v>
      </c>
      <c r="T44" s="455" t="s">
        <v>421</v>
      </c>
      <c r="U44" s="446"/>
      <c r="V44" s="2402"/>
      <c r="W44" s="2402"/>
      <c r="X44" s="2402"/>
      <c r="Y44" s="2402"/>
      <c r="Z44" s="2402"/>
      <c r="AA44" s="2403"/>
      <c r="AB44" s="2095"/>
      <c r="AC44" s="2402" t="str">
        <f>INDEX(PT_DIFFERENTIATION_CS,MATCH(C44,PT_DIFFERENTIATION_CS_ID,0))</f>
        <v/>
      </c>
      <c r="AD44" s="2402"/>
      <c r="AE44" s="2402"/>
      <c r="AF44" s="2402"/>
      <c r="AG44" s="2402"/>
      <c r="AH44" s="2402"/>
      <c r="AI44" s="2402"/>
      <c r="AJ44" s="2403"/>
      <c r="AK44" s="1404" t="s">
        <v>422</v>
      </c>
      <c r="AM44" s="1770"/>
      <c r="AN44" s="1770" t="str">
        <f>IF(T44="","",T44)</f>
        <v>Наименование системы теплоснабжения </v>
      </c>
      <c r="AO44" s="1770"/>
      <c r="AP44" s="1770"/>
      <c r="AQ44" s="1777">
        <v>23</v>
      </c>
    </row>
    <row customHeight="1" ht="22.049999999999997">
      <c r="A45" s="1413" t="s">
        <v>228</v>
      </c>
      <c r="B45" s="1413" t="s">
        <v>229</v>
      </c>
      <c r="C45" s="1413" t="s">
        <v>230</v>
      </c>
      <c r="D45" s="1413" t="s">
        <v>231</v>
      </c>
      <c r="E45" s="2449"/>
      <c r="F45" s="2449"/>
      <c r="G45" s="2449"/>
      <c r="H45" s="2448">
        <v>1</v>
      </c>
      <c r="I45" s="1413"/>
      <c r="J45" s="1413"/>
      <c r="K45" s="1413"/>
      <c r="L45" s="1456"/>
      <c r="M45" s="1756"/>
      <c r="N45" s="1756"/>
      <c r="O45" s="1756"/>
      <c r="P45" s="1558"/>
      <c r="Q45" s="1557"/>
      <c r="R45" s="499"/>
      <c r="S45" s="2101" t="str">
        <f>INDEX(PT_DIFFERENTIATION_NUM_IST_TE,MATCH(D45,PT_DIFFERENTIATION_IST_TE_ID,0))</f>
        <v>...</v>
      </c>
      <c r="T45" s="456" t="s">
        <v>423</v>
      </c>
      <c r="U45" s="446"/>
      <c r="V45" s="2402"/>
      <c r="W45" s="2402"/>
      <c r="X45" s="2402"/>
      <c r="Y45" s="2402"/>
      <c r="Z45" s="2402"/>
      <c r="AA45" s="2403"/>
      <c r="AB45" s="2095"/>
      <c r="AC45" s="2402" t="str">
        <f>INDEX(PT_DIFFERENTIATION_IST_TE,MATCH(D45,PT_DIFFERENTIATION_IST_TE_ID,0))</f>
        <v/>
      </c>
      <c r="AD45" s="2402"/>
      <c r="AE45" s="2402"/>
      <c r="AF45" s="2402"/>
      <c r="AG45" s="2402"/>
      <c r="AH45" s="2402"/>
      <c r="AI45" s="2402"/>
      <c r="AJ45" s="2403"/>
      <c r="AK45" s="1404" t="s">
        <v>424</v>
      </c>
      <c r="AM45" s="1770"/>
      <c r="AN45" s="1770" t="str">
        <f>IF(T45="","",T45)</f>
        <v>Источник тепловой энергии  </v>
      </c>
      <c r="AO45" s="1770"/>
      <c r="AP45" s="1770"/>
      <c r="AQ45" s="1777">
        <v>21</v>
      </c>
    </row>
    <row s="6720" customFormat="1" customHeight="1" ht="0">
      <c r="A46" s="1521" t="s">
        <v>228</v>
      </c>
      <c r="B46" s="1521" t="s">
        <v>229</v>
      </c>
      <c r="C46" s="1521" t="s">
        <v>230</v>
      </c>
      <c r="D46" s="1521" t="s">
        <v>231</v>
      </c>
      <c r="E46" s="2449"/>
      <c r="F46" s="2449"/>
      <c r="G46" s="2449"/>
      <c r="H46" s="2449"/>
      <c r="I46" s="2286" t="str">
        <f>S45&amp;".1"</f>
        <v>....1</v>
      </c>
      <c r="J46" s="1521"/>
      <c r="K46" s="1521"/>
      <c r="L46" s="1527" t="s">
        <v>425</v>
      </c>
      <c r="M46" s="1392"/>
      <c r="N46" s="1392"/>
      <c r="O46" s="1392"/>
      <c r="P46" s="2416">
        <v>1</v>
      </c>
      <c r="Q46" s="2097"/>
      <c r="R46" s="502"/>
      <c r="S46" s="1188"/>
      <c r="T46" s="1529"/>
      <c r="U46" s="1530"/>
      <c r="V46" s="2456"/>
      <c r="W46" s="2456"/>
      <c r="X46" s="2456"/>
      <c r="Y46" s="2456"/>
      <c r="Z46" s="2456"/>
      <c r="AA46" s="2457"/>
      <c r="AB46" s="2103"/>
      <c r="AC46" s="2456"/>
      <c r="AD46" s="2456"/>
      <c r="AE46" s="2456"/>
      <c r="AF46" s="2456"/>
      <c r="AG46" s="2456"/>
      <c r="AH46" s="2456"/>
      <c r="AI46" s="2456"/>
      <c r="AJ46" s="2457"/>
      <c r="AK46" s="1531"/>
      <c r="AM46" s="1770"/>
      <c r="AN46" s="1770" t="str">
        <f>IF(T46="","",T46)</f>
        <v/>
      </c>
      <c r="AO46" s="1770"/>
      <c r="AP46" s="1770"/>
      <c r="AQ46" s="1782">
        <v>0</v>
      </c>
    </row>
    <row s="6720" customFormat="1" customHeight="1" ht="0">
      <c r="A47" s="1521" t="s">
        <v>228</v>
      </c>
      <c r="B47" s="1521" t="s">
        <v>229</v>
      </c>
      <c r="C47" s="1521" t="s">
        <v>230</v>
      </c>
      <c r="D47" s="1521" t="s">
        <v>231</v>
      </c>
      <c r="E47" s="2449"/>
      <c r="F47" s="2449"/>
      <c r="G47" s="2449"/>
      <c r="H47" s="2449"/>
      <c r="I47" s="2260"/>
      <c r="J47" s="2286" t="str">
        <f>S45&amp;".1"</f>
        <v>....1</v>
      </c>
      <c r="K47" s="1521"/>
      <c r="L47" s="1527"/>
      <c r="M47" s="1392"/>
      <c r="N47" s="1392"/>
      <c r="O47" s="1392"/>
      <c r="P47" s="2416"/>
      <c r="Q47" s="2416">
        <v>1</v>
      </c>
      <c r="R47" s="503"/>
      <c r="S47" s="1188"/>
      <c r="T47" s="1545"/>
      <c r="U47" s="1530"/>
      <c r="V47" s="2456"/>
      <c r="W47" s="2456"/>
      <c r="X47" s="2456"/>
      <c r="Y47" s="2456"/>
      <c r="Z47" s="2456"/>
      <c r="AA47" s="2457"/>
      <c r="AB47" s="2103"/>
      <c r="AC47" s="2456"/>
      <c r="AD47" s="2456"/>
      <c r="AE47" s="2456"/>
      <c r="AF47" s="2456"/>
      <c r="AG47" s="2456"/>
      <c r="AH47" s="2456"/>
      <c r="AI47" s="2456"/>
      <c r="AJ47" s="2457"/>
      <c r="AK47" s="1531"/>
      <c r="AM47" s="1770"/>
      <c r="AN47" s="1770" t="str">
        <f>IF(T47="","",T47)</f>
        <v/>
      </c>
      <c r="AO47" s="1770"/>
      <c r="AP47" s="1770"/>
      <c r="AQ47" s="1782">
        <v>0</v>
      </c>
    </row>
    <row customHeight="1" ht="22.049999999999997">
      <c r="A48" s="1413" t="s">
        <v>228</v>
      </c>
      <c r="B48" s="1413" t="s">
        <v>229</v>
      </c>
      <c r="C48" s="1413" t="s">
        <v>230</v>
      </c>
      <c r="D48" s="1413" t="s">
        <v>231</v>
      </c>
      <c r="E48" s="2449"/>
      <c r="F48" s="2449"/>
      <c r="G48" s="2449"/>
      <c r="H48" s="2449"/>
      <c r="I48" s="2260"/>
      <c r="J48" s="2260"/>
      <c r="K48" s="2084" t="str">
        <f>S45&amp;".1"</f>
        <v>....1</v>
      </c>
      <c r="L48" s="1456"/>
      <c r="P48" s="2416"/>
      <c r="Q48" s="2416"/>
      <c r="R48" s="503">
        <v>1</v>
      </c>
      <c r="S48" s="2105" t="str">
        <f>$K48</f>
        <v>....1</v>
      </c>
      <c r="T48" s="2104"/>
      <c r="U48" s="446"/>
      <c r="V48" s="897"/>
      <c r="W48" s="1403"/>
      <c r="X48" s="2098"/>
      <c r="Y48" s="2085" t="s">
        <v>63</v>
      </c>
      <c r="Z48" s="2098"/>
      <c r="AA48" s="2085" t="s">
        <v>63</v>
      </c>
      <c r="AB48" s="2107"/>
      <c r="AC48" s="2106" t="s">
        <v>22</v>
      </c>
      <c r="AD48" s="897"/>
      <c r="AE48" s="1403"/>
      <c r="AF48" s="2098"/>
      <c r="AG48" s="2085" t="s">
        <v>63</v>
      </c>
      <c r="AH48" s="2098"/>
      <c r="AI48" s="2085" t="s">
        <v>63</v>
      </c>
      <c r="AJ48" s="1494"/>
      <c r="AK48" s="2412" t="s">
        <v>502</v>
      </c>
      <c r="AL48" s="1782">
        <f>STRCHECKDATE(#REF!)</f>
      </c>
      <c r="AM48" s="1770"/>
      <c r="AN48" s="1770" t="str">
        <f>IF(T48="","",T48)</f>
        <v/>
      </c>
      <c r="AO48" s="1770"/>
      <c r="AP48" s="1770"/>
      <c r="AQ48" s="1777">
        <v>21</v>
      </c>
    </row>
    <row customHeight="1" ht="11.549999999999999">
      <c r="A49" s="1413" t="s">
        <v>228</v>
      </c>
      <c r="B49" s="1413" t="s">
        <v>229</v>
      </c>
      <c r="C49" s="1413" t="s">
        <v>230</v>
      </c>
      <c r="D49" s="1413" t="s">
        <v>231</v>
      </c>
      <c r="E49" s="2449"/>
      <c r="F49" s="2449"/>
      <c r="G49" s="2449"/>
      <c r="H49" s="2449"/>
      <c r="I49" s="2260"/>
      <c r="J49" s="2286"/>
      <c r="K49" s="1413"/>
      <c r="L49" s="1456"/>
      <c r="P49" s="2416"/>
      <c r="Q49" s="2416"/>
      <c r="R49" s="502"/>
      <c r="S49" s="1424"/>
      <c r="T49" s="433" t="s">
        <v>490</v>
      </c>
      <c r="U49" s="746"/>
      <c r="V49" s="746"/>
      <c r="W49" s="746"/>
      <c r="X49" s="746"/>
      <c r="Y49" s="746"/>
      <c r="Z49" s="746"/>
      <c r="AA49" s="470"/>
      <c r="AB49" s="746"/>
      <c r="AC49" s="746"/>
      <c r="AD49" s="746"/>
      <c r="AE49" s="746"/>
      <c r="AF49" s="746"/>
      <c r="AG49" s="746"/>
      <c r="AH49" s="746"/>
      <c r="AI49" s="746"/>
      <c r="AJ49" s="470"/>
      <c r="AK49" s="2414"/>
      <c r="AM49" s="1770"/>
      <c r="AN49" s="1770" t="str">
        <f>IF(T49="","",T49)</f>
        <v>Добавить строку</v>
      </c>
      <c r="AO49" s="1770"/>
      <c r="AP49" s="1770"/>
      <c r="AQ49" s="1777">
        <v>11</v>
      </c>
    </row>
    <row s="6720" customFormat="1" customHeight="1" ht="1.05">
      <c r="A50" s="1521" t="s">
        <v>228</v>
      </c>
      <c r="B50" s="1521" t="s">
        <v>229</v>
      </c>
      <c r="C50" s="1521" t="s">
        <v>230</v>
      </c>
      <c r="D50" s="1521" t="s">
        <v>231</v>
      </c>
      <c r="E50" s="2449"/>
      <c r="F50" s="2449"/>
      <c r="G50" s="2449"/>
      <c r="H50" s="2449"/>
      <c r="I50" s="2286"/>
      <c r="J50" s="1521"/>
      <c r="K50" s="1521"/>
      <c r="L50" s="1527"/>
      <c r="M50" s="1392"/>
      <c r="N50" s="1392"/>
      <c r="O50" s="1392"/>
      <c r="P50" s="2416"/>
      <c r="Q50" s="2097"/>
      <c r="R50" s="502"/>
      <c r="S50" s="1532"/>
      <c r="T50" s="1533" t="s">
        <v>434</v>
      </c>
      <c r="U50" s="1534"/>
      <c r="V50" s="1534"/>
      <c r="W50" s="1534"/>
      <c r="X50" s="1534"/>
      <c r="Y50" s="1534"/>
      <c r="Z50" s="1534"/>
      <c r="AA50" s="1534"/>
      <c r="AB50" s="1534"/>
      <c r="AC50" s="1534"/>
      <c r="AD50" s="1534"/>
      <c r="AE50" s="1534"/>
      <c r="AF50" s="1534"/>
      <c r="AG50" s="1534"/>
      <c r="AH50" s="1534"/>
      <c r="AI50" s="1534"/>
      <c r="AJ50" s="1534"/>
      <c r="AK50" s="1535"/>
      <c r="AM50" s="1770"/>
      <c r="AN50" s="1770" t="str">
        <f>IF(T50="","",T50)</f>
        <v>Добавить группу потребителей</v>
      </c>
      <c r="AO50" s="1770"/>
      <c r="AP50" s="1770"/>
      <c r="AQ50" s="1782">
        <v>1</v>
      </c>
    </row>
    <row s="6314" customFormat="1" customHeight="1" ht="1.05">
      <c r="A51" s="1521" t="s">
        <v>228</v>
      </c>
      <c r="B51" s="1521" t="s">
        <v>229</v>
      </c>
      <c r="C51" s="1521" t="s">
        <v>230</v>
      </c>
      <c r="D51" s="1521" t="s">
        <v>231</v>
      </c>
      <c r="E51" s="2449"/>
      <c r="F51" s="2449"/>
      <c r="G51" s="2449"/>
      <c r="H51" s="2448"/>
      <c r="I51" s="1521"/>
      <c r="J51" s="1521"/>
      <c r="K51" s="1521"/>
      <c r="L51" s="1527"/>
      <c r="M51" s="1524"/>
      <c r="N51" s="1524"/>
      <c r="O51" s="497"/>
      <c r="P51" s="526"/>
      <c r="Q51" s="1490"/>
      <c r="R51" s="1546"/>
      <c r="S51" s="1532"/>
      <c r="T51" s="1533"/>
      <c r="U51" s="1534"/>
      <c r="V51" s="1534"/>
      <c r="W51" s="1534"/>
      <c r="X51" s="1534"/>
      <c r="Y51" s="1534"/>
      <c r="Z51" s="1534"/>
      <c r="AA51" s="1534"/>
      <c r="AB51" s="1534"/>
      <c r="AC51" s="1534"/>
      <c r="AD51" s="1534"/>
      <c r="AE51" s="1534"/>
      <c r="AF51" s="1534"/>
      <c r="AG51" s="1534"/>
      <c r="AH51" s="1534"/>
      <c r="AI51" s="1534"/>
      <c r="AJ51" s="1534"/>
      <c r="AK51" s="1535"/>
      <c r="AL51" s="1782"/>
      <c r="AM51" s="1770"/>
      <c r="AN51" s="1770" t="str">
        <f>IF(T51="","",T51)</f>
        <v/>
      </c>
      <c r="AO51" s="1770"/>
      <c r="AP51" s="1770"/>
      <c r="AQ51" s="1787">
        <v>1</v>
      </c>
    </row>
    <row s="6720" customFormat="1" customHeight="1" ht="1.05">
      <c r="A52" s="1521" t="s">
        <v>228</v>
      </c>
      <c r="B52" s="1521" t="s">
        <v>229</v>
      </c>
      <c r="C52" s="1521" t="s">
        <v>230</v>
      </c>
      <c r="D52" s="1520"/>
      <c r="E52" s="2449"/>
      <c r="F52" s="2449"/>
      <c r="G52" s="2448"/>
      <c r="H52" s="1520"/>
      <c r="I52" s="1520"/>
      <c r="J52" s="1520"/>
      <c r="K52" s="1520"/>
      <c r="L52" s="1523"/>
      <c r="M52" s="1524"/>
      <c r="N52" s="1524"/>
      <c r="O52" s="497"/>
      <c r="P52" s="1462"/>
      <c r="Q52" s="1463"/>
      <c r="R52" s="1462"/>
      <c r="S52" s="1468"/>
      <c r="T52" s="1471" t="s">
        <v>436</v>
      </c>
      <c r="U52" s="1470"/>
      <c r="V52" s="1470"/>
      <c r="W52" s="1470"/>
      <c r="X52" s="1470"/>
      <c r="Y52" s="1470"/>
      <c r="Z52" s="1470"/>
      <c r="AA52" s="1470"/>
      <c r="AB52" s="1470"/>
      <c r="AC52" s="1470"/>
      <c r="AD52" s="1470"/>
      <c r="AE52" s="1470"/>
      <c r="AF52" s="1470"/>
      <c r="AG52" s="1470"/>
      <c r="AH52" s="1470"/>
      <c r="AI52" s="1470"/>
      <c r="AJ52" s="1470"/>
      <c r="AK52" s="1470"/>
      <c r="AM52" s="1397"/>
      <c r="AN52" s="1397" t="str">
        <f>IF(T52="","",T52)</f>
        <v>Добавить источник для дифференциации</v>
      </c>
      <c r="AO52" s="1397"/>
      <c r="AP52" s="1397"/>
      <c r="AQ52" s="1788">
        <v>1</v>
      </c>
    </row>
    <row s="6720" customFormat="1" customHeight="1" ht="1.05">
      <c r="A53" s="1521" t="s">
        <v>228</v>
      </c>
      <c r="B53" s="1521" t="s">
        <v>229</v>
      </c>
      <c r="C53" s="1520"/>
      <c r="D53" s="1520"/>
      <c r="E53" s="2449"/>
      <c r="F53" s="2448"/>
      <c r="G53" s="1520"/>
      <c r="H53" s="1520"/>
      <c r="I53" s="1520"/>
      <c r="J53" s="1520"/>
      <c r="K53" s="1520"/>
      <c r="L53" s="1523"/>
      <c r="M53" s="1525"/>
      <c r="N53" s="1525"/>
      <c r="O53" s="497"/>
      <c r="P53" s="1462"/>
      <c r="Q53" s="1463"/>
      <c r="R53" s="1462"/>
      <c r="S53" s="1468"/>
      <c r="T53" s="1471" t="s">
        <v>437</v>
      </c>
      <c r="U53" s="1470"/>
      <c r="V53" s="1470"/>
      <c r="W53" s="1470"/>
      <c r="X53" s="1470"/>
      <c r="Y53" s="1470"/>
      <c r="Z53" s="1470"/>
      <c r="AA53" s="1470"/>
      <c r="AB53" s="1470"/>
      <c r="AC53" s="1470"/>
      <c r="AD53" s="1470"/>
      <c r="AE53" s="1470"/>
      <c r="AF53" s="1470"/>
      <c r="AG53" s="1470"/>
      <c r="AH53" s="1470"/>
      <c r="AI53" s="1470"/>
      <c r="AJ53" s="1470"/>
      <c r="AK53" s="1470"/>
      <c r="AM53" s="1397"/>
      <c r="AN53" s="1397" t="str">
        <f>IF(T53="","",T53)</f>
        <v>Добавить централизованную систему для дифференциации</v>
      </c>
      <c r="AO53" s="1397"/>
      <c r="AP53" s="1397"/>
      <c r="AQ53" s="1788">
        <v>1</v>
      </c>
    </row>
    <row s="6720" customFormat="1" customHeight="1" ht="1.05">
      <c r="A54" s="1521" t="s">
        <v>228</v>
      </c>
      <c r="B54" s="1521"/>
      <c r="C54" s="1521"/>
      <c r="D54" s="1521"/>
      <c r="E54" s="2449"/>
      <c r="F54" s="1521"/>
      <c r="G54" s="1521"/>
      <c r="H54" s="1521"/>
      <c r="I54" s="1521"/>
      <c r="J54" s="1521"/>
      <c r="K54" s="1521"/>
      <c r="L54" s="1527"/>
      <c r="M54" s="1525"/>
      <c r="N54" s="1525"/>
      <c r="O54" s="497"/>
      <c r="P54" s="526"/>
      <c r="Q54" s="1490"/>
      <c r="R54" s="526"/>
      <c r="S54" s="1468"/>
      <c r="T54" s="1471" t="s">
        <v>438</v>
      </c>
      <c r="U54" s="1470"/>
      <c r="V54" s="1470"/>
      <c r="W54" s="1470"/>
      <c r="X54" s="1470"/>
      <c r="Y54" s="1470"/>
      <c r="Z54" s="1470"/>
      <c r="AA54" s="1470"/>
      <c r="AB54" s="1470"/>
      <c r="AC54" s="1470"/>
      <c r="AD54" s="1470"/>
      <c r="AE54" s="1470"/>
      <c r="AF54" s="1470"/>
      <c r="AG54" s="1470"/>
      <c r="AH54" s="1470"/>
      <c r="AI54" s="1470"/>
      <c r="AJ54" s="1470"/>
      <c r="AK54" s="1470"/>
      <c r="AM54" s="1770"/>
      <c r="AN54" s="1770" t="str">
        <f>IF(T54="","",T54)</f>
        <v>Добавить территорию для дифференциации</v>
      </c>
      <c r="AO54" s="1770"/>
      <c r="AP54" s="1770"/>
      <c r="AQ54" s="1782">
        <v>1</v>
      </c>
    </row>
    <row s="6720" customFormat="1" customHeight="1" ht="1.05">
      <c r="A55" s="1521" t="s">
        <v>228</v>
      </c>
      <c r="B55" s="1521"/>
      <c r="C55" s="1521"/>
      <c r="D55" s="1521"/>
      <c r="E55" s="2448"/>
      <c r="F55" s="1521"/>
      <c r="G55" s="1521"/>
      <c r="H55" s="1521"/>
      <c r="I55" s="1521"/>
      <c r="J55" s="1521"/>
      <c r="K55" s="1521"/>
      <c r="L55" s="1527"/>
      <c r="M55" s="1525"/>
      <c r="N55" s="1525"/>
      <c r="O55" s="497"/>
      <c r="P55" s="526"/>
      <c r="Q55" s="1490"/>
      <c r="R55" s="526"/>
      <c r="S55" s="1468"/>
      <c r="T55" s="1471" t="s">
        <v>438</v>
      </c>
      <c r="U55" s="1470"/>
      <c r="V55" s="1470"/>
      <c r="W55" s="1470"/>
      <c r="X55" s="1470"/>
      <c r="Y55" s="1470"/>
      <c r="Z55" s="1470"/>
      <c r="AA55" s="1470"/>
      <c r="AB55" s="1470"/>
      <c r="AC55" s="1470"/>
      <c r="AD55" s="1470"/>
      <c r="AE55" s="1470"/>
      <c r="AF55" s="1470"/>
      <c r="AG55" s="1470"/>
      <c r="AH55" s="1470"/>
      <c r="AI55" s="1470"/>
      <c r="AJ55" s="1470"/>
      <c r="AK55" s="1470"/>
      <c r="AM55" s="1770"/>
      <c r="AN55" s="1770" t="str">
        <f>IF(T55="","",T55)</f>
        <v>Добавить территорию для дифференциации</v>
      </c>
      <c r="AO55" s="1770"/>
      <c r="AP55" s="1770"/>
      <c r="AQ55" s="1782">
        <v>1</v>
      </c>
    </row>
    <row s="6720" customFormat="1" customHeight="1" ht="1.05">
      <c r="A56" s="1520"/>
      <c r="B56" s="1520"/>
      <c r="C56" s="1520"/>
      <c r="D56" s="1520"/>
      <c r="E56" s="1521"/>
      <c r="F56" s="1520"/>
      <c r="G56" s="1520"/>
      <c r="H56" s="1520"/>
      <c r="I56" s="1520"/>
      <c r="J56" s="1520"/>
      <c r="K56" s="1520"/>
      <c r="L56" s="1523"/>
      <c r="M56" s="1525"/>
      <c r="N56" s="1525"/>
      <c r="O56" s="497"/>
      <c r="P56" s="1462"/>
      <c r="Q56" s="1463"/>
      <c r="R56" s="1462"/>
      <c r="S56" s="1468"/>
      <c r="T56" s="1471" t="s">
        <v>470</v>
      </c>
      <c r="U56" s="1470"/>
      <c r="V56" s="1470"/>
      <c r="W56" s="1470"/>
      <c r="X56" s="1470"/>
      <c r="Y56" s="1470"/>
      <c r="Z56" s="1470"/>
      <c r="AA56" s="1470"/>
      <c r="AB56" s="1470"/>
      <c r="AC56" s="1470"/>
      <c r="AD56" s="1470"/>
      <c r="AE56" s="1470"/>
      <c r="AF56" s="1470"/>
      <c r="AG56" s="1470"/>
      <c r="AH56" s="1470"/>
      <c r="AI56" s="1470"/>
      <c r="AJ56" s="1470"/>
      <c r="AK56" s="1470"/>
      <c r="AM56" s="1397"/>
      <c r="AN56" s="1397" t="str">
        <f>IF(T56="","",T56)</f>
        <v>Добавить наименование тарифа</v>
      </c>
      <c r="AO56" s="1397"/>
      <c r="AP56" s="1397"/>
      <c r="AQ56" s="1788">
        <v>1</v>
      </c>
    </row>
    <row customHeight="1" ht="11.549999999999999">
      <c r="M57" s="1777"/>
      <c r="N57" s="1777"/>
      <c r="O57" s="1781"/>
      <c r="P57" s="1512"/>
      <c r="Q57" s="1512"/>
      <c r="R57" s="1777"/>
      <c r="S57" s="1777"/>
      <c r="AL57" s="1777"/>
      <c r="AM57" s="1777"/>
      <c r="AN57" s="1777"/>
      <c r="AO57" s="1777"/>
      <c r="AP57" s="1777"/>
      <c r="AQ57" s="1777">
        <v>11</v>
      </c>
    </row>
    <row customHeight="1" ht="19.95">
      <c r="O58" s="1781"/>
      <c r="S58" s="1399"/>
      <c r="T58" s="2444"/>
      <c r="U58" s="2444"/>
      <c r="V58" s="2444"/>
      <c r="W58" s="2444"/>
      <c r="X58" s="2444"/>
      <c r="Y58" s="2444"/>
      <c r="Z58" s="2444"/>
      <c r="AA58" s="2444"/>
      <c r="AB58" s="2444"/>
      <c r="AC58" s="2444"/>
      <c r="AD58" s="2444"/>
      <c r="AE58" s="2444"/>
      <c r="AF58" s="2444"/>
      <c r="AG58" s="2444"/>
      <c r="AH58" s="2444"/>
      <c r="AI58" s="2444"/>
      <c r="AJ58" s="2444"/>
      <c r="AK58" s="2444"/>
      <c r="AQ58" s="1777">
        <v>19</v>
      </c>
    </row>
    <row customHeight="1" ht="21">
      <c r="O59" s="1781"/>
      <c r="T59" s="2444"/>
      <c r="U59" s="2444"/>
      <c r="V59" s="2444"/>
      <c r="W59" s="2444"/>
      <c r="X59" s="2444"/>
      <c r="Y59" s="2444"/>
      <c r="Z59" s="2444"/>
      <c r="AA59" s="2444"/>
      <c r="AB59" s="2444"/>
      <c r="AC59" s="2444"/>
      <c r="AD59" s="2444"/>
      <c r="AE59" s="2444"/>
      <c r="AF59" s="2444"/>
      <c r="AG59" s="2444"/>
      <c r="AH59" s="2444"/>
      <c r="AI59" s="2444"/>
      <c r="AJ59" s="2444"/>
      <c r="AK59" s="2444"/>
      <c r="AQ59" s="1777">
        <v>20</v>
      </c>
    </row>
    <row customHeight="1" ht="14.699999999999998">
      <c r="O60" s="1781"/>
      <c r="T60" s="2096"/>
      <c r="U60" s="2096"/>
      <c r="V60" s="2096"/>
      <c r="W60" s="2096"/>
      <c r="X60" s="2096"/>
      <c r="Y60" s="2096"/>
      <c r="Z60" s="2096"/>
      <c r="AA60" s="2096"/>
      <c r="AB60" s="2096"/>
      <c r="AC60" s="2096"/>
      <c r="AD60" s="2096"/>
      <c r="AE60" s="2096"/>
      <c r="AF60" s="2096"/>
      <c r="AG60" s="2096"/>
      <c r="AH60" s="2096"/>
      <c r="AI60" s="2096"/>
      <c r="AJ60" s="2096"/>
      <c r="AK60" s="2096"/>
      <c r="AQ60" s="1777">
        <v>14</v>
      </c>
    </row>
    <row customHeight="1" ht="19.95">
      <c r="O61" s="1781"/>
      <c r="T61" s="2444"/>
      <c r="U61" s="2444"/>
      <c r="V61" s="2444"/>
      <c r="W61" s="2444"/>
      <c r="X61" s="2444"/>
      <c r="Y61" s="2444"/>
      <c r="Z61" s="2444"/>
      <c r="AA61" s="2444"/>
      <c r="AB61" s="2444"/>
      <c r="AC61" s="2444"/>
      <c r="AD61" s="2444"/>
      <c r="AE61" s="2444"/>
      <c r="AF61" s="2444"/>
      <c r="AG61" s="2444"/>
      <c r="AH61" s="2444"/>
      <c r="AI61" s="2444"/>
      <c r="AJ61" s="2444"/>
      <c r="AK61" s="2444"/>
      <c r="AQ61" s="1777">
        <v>19</v>
      </c>
    </row>
    <row customHeight="1" ht="16.8">
      <c r="O62" s="1781"/>
      <c r="T62" s="2444"/>
      <c r="U62" s="2444"/>
      <c r="V62" s="2444"/>
      <c r="W62" s="2444"/>
      <c r="X62" s="2444"/>
      <c r="Y62" s="2444"/>
      <c r="Z62" s="2444"/>
      <c r="AA62" s="2444"/>
      <c r="AB62" s="2444"/>
      <c r="AC62" s="2444"/>
      <c r="AD62" s="2444"/>
      <c r="AE62" s="2444"/>
      <c r="AF62" s="2444"/>
      <c r="AG62" s="2444"/>
      <c r="AH62" s="2444"/>
      <c r="AI62" s="2444"/>
      <c r="AJ62" s="2444"/>
      <c r="AK62" s="2444"/>
      <c r="AQ62" s="1777">
        <v>16</v>
      </c>
    </row>
    <row customHeight="1" ht="14.699999999999998">
      <c r="O63" s="1781"/>
      <c r="AQ63" s="1777">
        <v>14</v>
      </c>
    </row>
    <row customHeight="1" ht="22.5" hidden="1">
      <c r="A64" s="1777" t="s">
        <v>83</v>
      </c>
      <c r="B64" s="1777">
        <v>0</v>
      </c>
      <c r="C64" s="1777">
        <v>0</v>
      </c>
      <c r="D64" s="1777">
        <v>0</v>
      </c>
      <c r="E64" s="1777">
        <v>0</v>
      </c>
      <c r="F64" s="1777">
        <v>0</v>
      </c>
      <c r="G64" s="1777">
        <v>0</v>
      </c>
      <c r="H64" s="1777">
        <v>0</v>
      </c>
      <c r="I64" s="1777">
        <v>0</v>
      </c>
      <c r="J64" s="1777">
        <v>0</v>
      </c>
      <c r="K64" s="1777">
        <v>0</v>
      </c>
      <c r="L64" s="2082">
        <v>0</v>
      </c>
      <c r="M64" s="2108">
        <v>0</v>
      </c>
      <c r="N64" s="2108">
        <v>0</v>
      </c>
      <c r="O64" s="2108">
        <v>0</v>
      </c>
      <c r="P64" s="1508">
        <v>3</v>
      </c>
      <c r="Q64" s="1517">
        <v>3</v>
      </c>
      <c r="R64" s="490">
        <v>3</v>
      </c>
      <c r="S64" s="727">
        <v>12</v>
      </c>
      <c r="T64" s="1777">
        <v>31</v>
      </c>
      <c r="U64" s="1777">
        <v>0</v>
      </c>
      <c r="V64" s="1777">
        <v>0</v>
      </c>
      <c r="W64" s="1777">
        <v>0</v>
      </c>
      <c r="X64" s="1777">
        <v>0</v>
      </c>
      <c r="Y64" s="1777">
        <v>0</v>
      </c>
      <c r="Z64" s="1777">
        <v>0</v>
      </c>
      <c r="AA64" s="1777">
        <v>0</v>
      </c>
      <c r="AB64" s="1777">
        <v>27</v>
      </c>
      <c r="AC64" s="1777">
        <v>24</v>
      </c>
      <c r="AD64" s="1777">
        <v>21</v>
      </c>
      <c r="AE64" s="1777">
        <v>21</v>
      </c>
      <c r="AF64" s="1777">
        <v>11</v>
      </c>
      <c r="AG64" s="1777">
        <v>3</v>
      </c>
      <c r="AH64" s="1777">
        <v>11</v>
      </c>
      <c r="AI64" s="1777">
        <v>8</v>
      </c>
      <c r="AJ64" s="1777">
        <v>4</v>
      </c>
      <c r="AK64" s="1777">
        <v>115</v>
      </c>
      <c r="AL64" s="1782">
        <v>10</v>
      </c>
      <c r="AM64" s="1782">
        <v>10</v>
      </c>
      <c r="AN64" s="1782">
        <v>10</v>
      </c>
      <c r="AO64" s="1782">
        <v>10</v>
      </c>
      <c r="AP64" s="1782">
        <v>10</v>
      </c>
      <c r="AQ64" s="1777">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C1305C-F9BC-4EB7-FBDB-0.A09B5136}"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7180" width="11.57421875" hidden="1" customWidth="1"/>
    <col min="2" max="2" style="7180" width="11.00390625" hidden="1" customWidth="1"/>
    <col min="3" max="3" style="7180" width="10.57421875" hidden="1"/>
    <col min="4" max="4" style="7180" width="12.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6396" width="3.7109375" hidden="1" customWidth="1"/>
    <col min="17" max="17" style="6462" width="3.7109375" hidden="1" customWidth="1"/>
    <col min="18" max="18" style="7205" width="3.00390625" customWidth="1"/>
    <col min="19" max="19" style="7910" width="12.00390625" customWidth="1"/>
    <col min="20" max="20" style="7235" width="31.00390625" customWidth="1"/>
    <col min="21" max="21" style="7235" width="0.140625" customWidth="1"/>
    <col min="22" max="25" style="7235" width="21.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3.7109375" customWidth="1"/>
    <col min="31" max="32" style="7235" width="3.00390625" customWidth="1"/>
    <col min="33" max="33" style="7235" width="24.00390625" customWidth="1"/>
    <col min="34" max="34" style="7235" width="3.7109375" customWidth="1"/>
    <col min="35" max="36" style="7235" width="3.00390625" customWidth="1"/>
    <col min="37" max="37" style="7235" width="24.00390625" customWidth="1"/>
    <col min="38" max="38" style="7235" width="3.7109375" customWidth="1"/>
    <col min="39" max="40" style="7235" width="3.00390625" customWidth="1"/>
    <col min="41" max="41" style="7235" width="18.00390625" customWidth="1"/>
    <col min="42" max="42" style="7235" width="3.7109375" customWidth="1"/>
    <col min="43" max="44" style="7235" width="3.00390625" customWidth="1"/>
    <col min="45" max="45" style="7235" width="18.00390625" customWidth="1"/>
    <col min="46" max="49" style="7235" width="21.00390625" customWidth="1"/>
    <col min="50" max="50" style="7235" width="11.00390625" customWidth="1"/>
    <col min="51" max="51" style="7235" width="3.7109375" customWidth="1"/>
    <col min="52" max="52" style="7235" width="11.00390625" customWidth="1"/>
    <col min="53" max="53" style="7235" width="8.57421875" hidden="1" customWidth="1"/>
    <col min="54" max="54" style="7235" width="4.00390625" customWidth="1"/>
    <col min="55" max="55" style="7235" width="115.00390625" customWidth="1"/>
    <col min="56" max="60" style="6720" width="10.00390625" customWidth="1"/>
    <col min="61" max="61" style="7235" width="10.57421875" hidden="1"/>
  </cols>
  <sheetData>
    <row customHeight="1" ht="22.5" hidden="1">
      <c r="W1" s="473"/>
      <c r="Y1" s="473"/>
      <c r="Z1" s="473"/>
      <c r="AW1" s="473"/>
      <c r="AX1" s="473"/>
      <c r="BI1" s="1301" t="s">
        <v>14</v>
      </c>
    </row>
    <row customHeight="1" ht="21" hidden="1">
      <c r="A2" s="1509"/>
      <c r="B2" s="1509"/>
      <c r="C2" s="1509"/>
      <c r="D2" s="1509"/>
      <c r="E2" s="2417">
        <v>1</v>
      </c>
      <c r="F2" s="1509"/>
      <c r="G2" s="1509"/>
      <c r="H2" s="1509"/>
      <c r="I2" s="1509"/>
      <c r="J2" s="1509"/>
      <c r="K2" s="1509"/>
      <c r="L2" s="1510"/>
      <c r="M2" s="1511"/>
      <c r="N2" s="1511"/>
      <c r="O2" s="1511"/>
      <c r="P2" s="1555"/>
      <c r="Q2" s="1019"/>
      <c r="R2" s="501"/>
      <c r="S2" s="1611">
        <f>INDEX(PT_DIFFERENTIATION_NUM_NTAR,MATCH(A2,PT_DIFFERENTIATION_NTAR_ID,0))</f>
      </c>
      <c r="T2" s="444" t="s">
        <v>147</v>
      </c>
      <c r="U2" s="446"/>
      <c r="V2" s="2402"/>
      <c r="W2" s="2402"/>
      <c r="X2" s="2402"/>
      <c r="Y2" s="2402"/>
      <c r="Z2" s="2402"/>
      <c r="AA2" s="2402"/>
      <c r="AB2" s="2402"/>
      <c r="AC2" s="2403"/>
      <c r="AD2" s="2401">
        <f>INDEX(PT_DIFFERENTIATION_NTAR,MATCH(A2,PT_DIFFERENTIATION_NTAR_ID,0))</f>
      </c>
      <c r="AE2" s="2402"/>
      <c r="AF2" s="2402"/>
      <c r="AG2" s="2402"/>
      <c r="AH2" s="2402"/>
      <c r="AI2" s="2402"/>
      <c r="AJ2" s="2402"/>
      <c r="AK2" s="2402"/>
      <c r="AL2" s="2402"/>
      <c r="AM2" s="2402"/>
      <c r="AN2" s="2402"/>
      <c r="AO2" s="2402"/>
      <c r="AP2" s="2402"/>
      <c r="AQ2" s="2402"/>
      <c r="AR2" s="2402"/>
      <c r="AS2" s="2402"/>
      <c r="AT2" s="2402"/>
      <c r="AU2" s="2402"/>
      <c r="AV2" s="2402"/>
      <c r="AW2" s="2402"/>
      <c r="AX2" s="2402"/>
      <c r="AY2" s="2402"/>
      <c r="AZ2" s="2402"/>
      <c r="BA2" s="2402"/>
      <c r="BB2" s="2403"/>
      <c r="BC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46"/>
      <c r="BF2" s="646" t="str">
        <f>IF(T2="","",T2)</f>
        <v>Наименование тарифа</v>
      </c>
      <c r="BG2" s="646"/>
      <c r="BH2" s="646"/>
      <c r="BI2" s="1301">
        <v>0</v>
      </c>
    </row>
    <row customHeight="1" ht="21" hidden="1">
      <c r="A3" s="1509"/>
      <c r="B3" s="1509"/>
      <c r="C3" s="1509"/>
      <c r="D3" s="1509"/>
      <c r="E3" s="2418"/>
      <c r="F3" s="2417">
        <v>1</v>
      </c>
      <c r="G3" s="1509"/>
      <c r="H3" s="1509"/>
      <c r="I3" s="1509"/>
      <c r="J3" s="1509"/>
      <c r="K3" s="1509"/>
      <c r="L3" s="1510"/>
      <c r="M3" s="1511"/>
      <c r="N3" s="1511"/>
      <c r="O3" s="1511"/>
      <c r="P3" s="1556"/>
      <c r="Q3" s="1557"/>
      <c r="R3" s="499"/>
      <c r="S3" s="1611">
        <f>INDEX(PT_DIFFERENTIATION_NUM_TER,MATCH(B3,PT_DIFFERENTIATION_TER_ID,0))</f>
      </c>
      <c r="T3" s="454" t="s">
        <v>419</v>
      </c>
      <c r="U3" s="446"/>
      <c r="V3" s="2402"/>
      <c r="W3" s="2402"/>
      <c r="X3" s="2402"/>
      <c r="Y3" s="2402"/>
      <c r="Z3" s="2402"/>
      <c r="AA3" s="2402"/>
      <c r="AB3" s="2402"/>
      <c r="AC3" s="2403"/>
      <c r="AD3" s="2401">
        <f>INDEX(PT_DIFFERENTIATION_TER,MATCH(B3,PT_DIFFERENTIATION_TER_ID,0))</f>
      </c>
      <c r="AE3" s="2402"/>
      <c r="AF3" s="2402"/>
      <c r="AG3" s="2402"/>
      <c r="AH3" s="2402"/>
      <c r="AI3" s="2402"/>
      <c r="AJ3" s="2402"/>
      <c r="AK3" s="2402"/>
      <c r="AL3" s="2402"/>
      <c r="AM3" s="2402"/>
      <c r="AN3" s="2402"/>
      <c r="AO3" s="2402"/>
      <c r="AP3" s="2402"/>
      <c r="AQ3" s="2402"/>
      <c r="AR3" s="2402"/>
      <c r="AS3" s="2402"/>
      <c r="AT3" s="2402"/>
      <c r="AU3" s="2402"/>
      <c r="AV3" s="2402"/>
      <c r="AW3" s="2402"/>
      <c r="AX3" s="2402"/>
      <c r="AY3" s="2402"/>
      <c r="AZ3" s="2402"/>
      <c r="BA3" s="2402"/>
      <c r="BB3" s="2403"/>
      <c r="BC3" s="1404" t="s">
        <v>420</v>
      </c>
      <c r="BE3" s="646"/>
      <c r="BF3" s="646" t="str">
        <f>IF(T3="","",T3)</f>
        <v>Территория действия тарифа</v>
      </c>
      <c r="BG3" s="646"/>
      <c r="BH3" s="646"/>
      <c r="BI3" s="1301">
        <v>0</v>
      </c>
    </row>
    <row customHeight="1" ht="42" hidden="1">
      <c r="A4" s="1509"/>
      <c r="B4" s="1509"/>
      <c r="C4" s="1509"/>
      <c r="D4" s="1509"/>
      <c r="E4" s="2418"/>
      <c r="F4" s="2418"/>
      <c r="G4" s="2417">
        <v>1</v>
      </c>
      <c r="H4" s="1509"/>
      <c r="I4" s="1509"/>
      <c r="J4" s="1509"/>
      <c r="K4" s="1509"/>
      <c r="L4" s="1510"/>
      <c r="M4" s="1511"/>
      <c r="N4" s="1511"/>
      <c r="O4" s="1511"/>
      <c r="P4" s="1558"/>
      <c r="Q4" s="1557"/>
      <c r="R4" s="499"/>
      <c r="S4" s="1611">
        <f>INDEX(PT_DIFFERENTIATION_NUM_CS,MATCH(C4,PT_DIFFERENTIATION_CS_ID,0))</f>
      </c>
      <c r="T4" s="455" t="s">
        <v>503</v>
      </c>
      <c r="U4" s="446"/>
      <c r="V4" s="2402"/>
      <c r="W4" s="2402"/>
      <c r="X4" s="2402"/>
      <c r="Y4" s="2402"/>
      <c r="Z4" s="2402"/>
      <c r="AA4" s="2402"/>
      <c r="AB4" s="2402"/>
      <c r="AC4" s="2403"/>
      <c r="AD4" s="2401">
        <f>INDEX(PT_DIFFERENTIATION_CS,MATCH(C4,PT_DIFFERENTIATION_CS_ID,0))</f>
      </c>
      <c r="AE4" s="2402"/>
      <c r="AF4" s="2402"/>
      <c r="AG4" s="2402"/>
      <c r="AH4" s="2402"/>
      <c r="AI4" s="2402"/>
      <c r="AJ4" s="2402"/>
      <c r="AK4" s="2402"/>
      <c r="AL4" s="2402"/>
      <c r="AM4" s="2402"/>
      <c r="AN4" s="2402"/>
      <c r="AO4" s="2402"/>
      <c r="AP4" s="2402"/>
      <c r="AQ4" s="2402"/>
      <c r="AR4" s="2402"/>
      <c r="AS4" s="2402"/>
      <c r="AT4" s="2402"/>
      <c r="AU4" s="2402"/>
      <c r="AV4" s="2402"/>
      <c r="AW4" s="2402"/>
      <c r="AX4" s="2402"/>
      <c r="AY4" s="2402"/>
      <c r="AZ4" s="2402"/>
      <c r="BA4" s="2402"/>
      <c r="BB4" s="2403"/>
      <c r="BC4" s="1404" t="s">
        <v>504</v>
      </c>
      <c r="BE4" s="646"/>
      <c r="BF4" s="646" t="str">
        <f>IF(T4="","",T4)</f>
        <v>Наименование централизованной системы холодного водоснабжения</v>
      </c>
      <c r="BG4" s="646"/>
      <c r="BH4" s="646"/>
      <c r="BI4" s="1301">
        <v>0</v>
      </c>
    </row>
    <row s="6720" customFormat="1" customHeight="1" ht="14.25" hidden="1">
      <c r="A5" s="1489"/>
      <c r="B5" s="1489"/>
      <c r="C5" s="1489"/>
      <c r="D5" s="1489"/>
      <c r="E5" s="2418"/>
      <c r="F5" s="2418"/>
      <c r="G5" s="2418"/>
      <c r="H5" s="2417">
        <v>1</v>
      </c>
      <c r="I5" s="1489"/>
      <c r="J5" s="1489"/>
      <c r="K5" s="1489"/>
      <c r="L5" s="1492"/>
      <c r="M5" s="1461"/>
      <c r="N5" s="1461"/>
      <c r="O5" s="1461"/>
      <c r="P5" s="1643"/>
      <c r="Q5" s="1644"/>
      <c r="R5" s="503"/>
      <c r="S5" s="1188"/>
      <c r="T5" s="1645"/>
      <c r="U5" s="1530"/>
      <c r="V5" s="2456"/>
      <c r="W5" s="2456"/>
      <c r="X5" s="2456"/>
      <c r="Y5" s="2456"/>
      <c r="Z5" s="2456"/>
      <c r="AA5" s="2456"/>
      <c r="AB5" s="2456"/>
      <c r="AC5" s="2457"/>
      <c r="AD5" s="2455"/>
      <c r="AE5" s="2456"/>
      <c r="AF5" s="2456"/>
      <c r="AG5" s="2456"/>
      <c r="AH5" s="2456"/>
      <c r="AI5" s="2456"/>
      <c r="AJ5" s="2456"/>
      <c r="AK5" s="2456"/>
      <c r="AL5" s="2456"/>
      <c r="AM5" s="2456"/>
      <c r="AN5" s="2456"/>
      <c r="AO5" s="2456"/>
      <c r="AP5" s="2456"/>
      <c r="AQ5" s="2456"/>
      <c r="AR5" s="2456"/>
      <c r="AS5" s="2456"/>
      <c r="AT5" s="2456"/>
      <c r="AU5" s="2456"/>
      <c r="AV5" s="2456"/>
      <c r="AW5" s="2456"/>
      <c r="AX5" s="2456"/>
      <c r="AY5" s="2456"/>
      <c r="AZ5" s="2456"/>
      <c r="BA5" s="2456"/>
      <c r="BB5" s="2457"/>
      <c r="BC5" s="1531" t="s">
        <v>424</v>
      </c>
      <c r="BE5" s="646"/>
      <c r="BF5" s="646" t="str">
        <f>IF(T5="","",T5)</f>
        <v/>
      </c>
      <c r="BG5" s="646"/>
      <c r="BH5" s="646"/>
      <c r="BI5" s="657">
        <v>0</v>
      </c>
    </row>
    <row s="6720" customFormat="1" customHeight="1" ht="14.25" hidden="1">
      <c r="A6" s="1489"/>
      <c r="B6" s="1489"/>
      <c r="C6" s="1489"/>
      <c r="D6" s="1489"/>
      <c r="E6" s="2418"/>
      <c r="F6" s="2418"/>
      <c r="G6" s="2418"/>
      <c r="H6" s="2418"/>
      <c r="I6" s="2415" t="str">
        <f>S5&amp;".1"</f>
        <v>.1</v>
      </c>
      <c r="J6" s="1489"/>
      <c r="K6" s="1489"/>
      <c r="L6" s="1492" t="s">
        <v>425</v>
      </c>
      <c r="M6" s="656"/>
      <c r="N6" s="656"/>
      <c r="O6" s="656"/>
      <c r="P6" s="2416">
        <v>1</v>
      </c>
      <c r="Q6" s="1608"/>
      <c r="R6" s="502"/>
      <c r="S6" s="1188"/>
      <c r="T6" s="1529"/>
      <c r="U6" s="1530"/>
      <c r="V6" s="2456"/>
      <c r="W6" s="2456"/>
      <c r="X6" s="2456"/>
      <c r="Y6" s="2456"/>
      <c r="Z6" s="2456"/>
      <c r="AA6" s="2456"/>
      <c r="AB6" s="2456"/>
      <c r="AC6" s="2457"/>
      <c r="AD6" s="2455"/>
      <c r="AE6" s="2456"/>
      <c r="AF6" s="2456"/>
      <c r="AG6" s="2456"/>
      <c r="AH6" s="2456"/>
      <c r="AI6" s="2456"/>
      <c r="AJ6" s="2456"/>
      <c r="AK6" s="2456"/>
      <c r="AL6" s="2456"/>
      <c r="AM6" s="2456"/>
      <c r="AN6" s="2456"/>
      <c r="AO6" s="2456"/>
      <c r="AP6" s="2456"/>
      <c r="AQ6" s="2456"/>
      <c r="AR6" s="2456"/>
      <c r="AS6" s="2456"/>
      <c r="AT6" s="2456"/>
      <c r="AU6" s="2456"/>
      <c r="AV6" s="2456"/>
      <c r="AW6" s="2456"/>
      <c r="AX6" s="2456"/>
      <c r="AY6" s="2456"/>
      <c r="AZ6" s="2456"/>
      <c r="BA6" s="2456"/>
      <c r="BB6" s="2457"/>
      <c r="BC6" s="1531"/>
      <c r="BE6" s="646"/>
      <c r="BF6" s="646" t="str">
        <f>IF(T6="","",T6)</f>
        <v/>
      </c>
      <c r="BG6" s="646"/>
      <c r="BH6" s="646"/>
      <c r="BI6" s="657">
        <v>0</v>
      </c>
    </row>
    <row s="6720" customFormat="1" customHeight="1" ht="14.25" hidden="1">
      <c r="A7" s="1489"/>
      <c r="B7" s="1489"/>
      <c r="C7" s="1489"/>
      <c r="D7" s="1489"/>
      <c r="E7" s="2418"/>
      <c r="F7" s="2418"/>
      <c r="G7" s="2418"/>
      <c r="H7" s="2418"/>
      <c r="I7" s="2445"/>
      <c r="J7" s="2415" t="str">
        <f>S5&amp;".1"</f>
        <v>.1</v>
      </c>
      <c r="K7" s="1489"/>
      <c r="L7" s="1492"/>
      <c r="M7" s="656"/>
      <c r="N7" s="656"/>
      <c r="O7" s="656"/>
      <c r="P7" s="2416"/>
      <c r="Q7" s="2416">
        <v>1</v>
      </c>
      <c r="R7" s="503"/>
      <c r="S7" s="1188"/>
      <c r="T7" s="1545"/>
      <c r="U7" s="1530"/>
      <c r="V7" s="2456"/>
      <c r="W7" s="2456"/>
      <c r="X7" s="2456"/>
      <c r="Y7" s="2456"/>
      <c r="Z7" s="2456"/>
      <c r="AA7" s="2456"/>
      <c r="AB7" s="2456"/>
      <c r="AC7" s="2457"/>
      <c r="AD7" s="2455"/>
      <c r="AE7" s="2456"/>
      <c r="AF7" s="2456"/>
      <c r="AG7" s="2456"/>
      <c r="AH7" s="2456"/>
      <c r="AI7" s="2456"/>
      <c r="AJ7" s="2456"/>
      <c r="AK7" s="2456"/>
      <c r="AL7" s="2456"/>
      <c r="AM7" s="2456"/>
      <c r="AN7" s="2456"/>
      <c r="AO7" s="2456"/>
      <c r="AP7" s="2456"/>
      <c r="AQ7" s="2456"/>
      <c r="AR7" s="2456"/>
      <c r="AS7" s="2456"/>
      <c r="AT7" s="2456"/>
      <c r="AU7" s="2456"/>
      <c r="AV7" s="2456"/>
      <c r="AW7" s="2456"/>
      <c r="AX7" s="2456"/>
      <c r="AY7" s="2456"/>
      <c r="AZ7" s="2456"/>
      <c r="BA7" s="2456"/>
      <c r="BB7" s="2457"/>
      <c r="BC7" s="1531"/>
      <c r="BE7" s="646"/>
      <c r="BF7" s="646" t="str">
        <f>IF(T7="","",T7)</f>
        <v/>
      </c>
      <c r="BG7" s="646"/>
      <c r="BH7" s="646"/>
      <c r="BI7" s="657">
        <v>0</v>
      </c>
    </row>
    <row customHeight="1" ht="11.25" hidden="1">
      <c r="A8" s="1509"/>
      <c r="B8" s="1509"/>
      <c r="C8" s="1509"/>
      <c r="D8" s="1509"/>
      <c r="E8" s="2418"/>
      <c r="F8" s="2418"/>
      <c r="G8" s="2418"/>
      <c r="H8" s="2418"/>
      <c r="I8" s="2445"/>
      <c r="J8" s="2445"/>
      <c r="K8" s="2415">
        <f>S4&amp;".1"</f>
      </c>
      <c r="L8" s="1510"/>
      <c r="P8" s="2416"/>
      <c r="Q8" s="2416"/>
      <c r="R8" s="2506">
        <v>1</v>
      </c>
      <c r="S8" s="2500">
        <f>$K8</f>
      </c>
      <c r="T8" s="2519"/>
      <c r="U8" s="446"/>
      <c r="V8" s="897"/>
      <c r="W8" s="1403"/>
      <c r="X8" s="897"/>
      <c r="Y8" s="1403"/>
      <c r="Z8" s="1879"/>
      <c r="AA8" s="1605" t="s">
        <v>63</v>
      </c>
      <c r="AB8" s="1879"/>
      <c r="AC8" s="1605" t="s">
        <v>63</v>
      </c>
      <c r="AD8" s="2344" t="s">
        <v>63</v>
      </c>
      <c r="AE8" s="2485"/>
      <c r="AF8" s="2364">
        <v>1</v>
      </c>
      <c r="AG8" s="2522"/>
      <c r="AH8" s="2266" t="s">
        <v>63</v>
      </c>
      <c r="AI8" s="2485"/>
      <c r="AJ8" s="2364">
        <v>1</v>
      </c>
      <c r="AK8" s="2486" t="s">
        <v>22</v>
      </c>
      <c r="AL8" s="2266" t="s">
        <v>63</v>
      </c>
      <c r="AM8" s="2351"/>
      <c r="AN8" s="2364">
        <v>1</v>
      </c>
      <c r="AO8" s="2516"/>
      <c r="AP8" s="2517" t="s">
        <v>63</v>
      </c>
      <c r="AQ8" s="457"/>
      <c r="AR8" s="1609">
        <v>1</v>
      </c>
      <c r="AS8" s="1612" t="s">
        <v>22</v>
      </c>
      <c r="AT8" s="897"/>
      <c r="AU8" s="1403"/>
      <c r="AV8" s="897"/>
      <c r="AW8" s="1403"/>
      <c r="AX8" s="1879"/>
      <c r="AY8" s="1605" t="s">
        <v>63</v>
      </c>
      <c r="AZ8" s="1879"/>
      <c r="BA8" s="1605" t="s">
        <v>63</v>
      </c>
      <c r="BB8" s="1494"/>
      <c r="BC8" s="2412" t="s">
        <v>523</v>
      </c>
      <c r="BE8" s="646"/>
      <c r="BF8" s="646" t="str">
        <f>IF(T8="","",T8)</f>
        <v/>
      </c>
      <c r="BG8" s="646"/>
      <c r="BH8" s="646"/>
      <c r="BI8" s="1301">
        <v>0</v>
      </c>
    </row>
    <row customHeight="1" ht="11.25" hidden="1">
      <c r="A9" s="1509"/>
      <c r="B9" s="1509"/>
      <c r="C9" s="1509"/>
      <c r="D9" s="1509"/>
      <c r="E9" s="2418"/>
      <c r="F9" s="2418"/>
      <c r="G9" s="2418"/>
      <c r="H9" s="2418"/>
      <c r="I9" s="2445"/>
      <c r="J9" s="2445"/>
      <c r="K9" s="2415"/>
      <c r="L9" s="1510"/>
      <c r="P9" s="2416"/>
      <c r="Q9" s="2416"/>
      <c r="R9" s="2506"/>
      <c r="S9" s="2501"/>
      <c r="T9" s="2520"/>
      <c r="U9" s="446"/>
      <c r="V9" s="1539"/>
      <c r="W9" s="1642"/>
      <c r="X9" s="1539"/>
      <c r="Y9" s="1642"/>
      <c r="Z9" s="1539"/>
      <c r="AA9" s="1539"/>
      <c r="AB9" s="1539"/>
      <c r="AC9" s="1539"/>
      <c r="AD9" s="2345"/>
      <c r="AE9" s="2485"/>
      <c r="AF9" s="2364"/>
      <c r="AG9" s="2522"/>
      <c r="AH9" s="2266"/>
      <c r="AI9" s="2485"/>
      <c r="AJ9" s="2364"/>
      <c r="AK9" s="2486"/>
      <c r="AL9" s="2266"/>
      <c r="AM9" s="2359"/>
      <c r="AN9" s="2364"/>
      <c r="AO9" s="2516"/>
      <c r="AP9" s="2518"/>
      <c r="AQ9" s="462"/>
      <c r="AR9" s="562"/>
      <c r="AS9" s="562" t="s">
        <v>524</v>
      </c>
      <c r="AT9" s="1539"/>
      <c r="AU9" s="1642"/>
      <c r="AV9" s="1539"/>
      <c r="AW9" s="1642"/>
      <c r="AX9" s="1539"/>
      <c r="AY9" s="1539"/>
      <c r="AZ9" s="1539"/>
      <c r="BA9" s="1539"/>
      <c r="BB9" s="1543"/>
      <c r="BC9" s="2413"/>
      <c r="BE9" s="646"/>
      <c r="BF9" s="646"/>
      <c r="BG9" s="646"/>
      <c r="BH9" s="646"/>
      <c r="BI9" s="1301">
        <v>0</v>
      </c>
    </row>
    <row customHeight="1" ht="11.25" hidden="1">
      <c r="A10" s="1509"/>
      <c r="B10" s="1509"/>
      <c r="C10" s="1509"/>
      <c r="D10" s="1509"/>
      <c r="E10" s="2418"/>
      <c r="F10" s="2418"/>
      <c r="G10" s="2418"/>
      <c r="H10" s="2418"/>
      <c r="I10" s="2445"/>
      <c r="J10" s="2445"/>
      <c r="K10" s="2415"/>
      <c r="L10" s="1510"/>
      <c r="P10" s="2416"/>
      <c r="Q10" s="2416"/>
      <c r="R10" s="2506"/>
      <c r="S10" s="2501"/>
      <c r="T10" s="2520"/>
      <c r="U10" s="446"/>
      <c r="V10" s="1539"/>
      <c r="W10" s="1642"/>
      <c r="X10" s="1539"/>
      <c r="Y10" s="1642"/>
      <c r="Z10" s="1539"/>
      <c r="AA10" s="1539"/>
      <c r="AB10" s="1539"/>
      <c r="AC10" s="1539"/>
      <c r="AD10" s="2345"/>
      <c r="AE10" s="2485"/>
      <c r="AF10" s="2364"/>
      <c r="AG10" s="2522"/>
      <c r="AH10" s="2266"/>
      <c r="AI10" s="2485"/>
      <c r="AJ10" s="2364"/>
      <c r="AK10" s="2486"/>
      <c r="AL10" s="2266"/>
      <c r="AM10" s="462"/>
      <c r="AN10" s="1646"/>
      <c r="AO10" s="1646" t="s">
        <v>525</v>
      </c>
      <c r="AP10" s="562"/>
      <c r="AQ10" s="562"/>
      <c r="AR10" s="562"/>
      <c r="AS10" s="1539"/>
      <c r="AT10" s="1539"/>
      <c r="AU10" s="1642"/>
      <c r="AV10" s="1539"/>
      <c r="AW10" s="1642"/>
      <c r="AX10" s="1539"/>
      <c r="AY10" s="1539"/>
      <c r="AZ10" s="1539"/>
      <c r="BA10" s="1539"/>
      <c r="BB10" s="1543"/>
      <c r="BC10" s="2413"/>
      <c r="BE10" s="646"/>
      <c r="BF10" s="646"/>
      <c r="BG10" s="646"/>
      <c r="BH10" s="646"/>
      <c r="BI10" s="1301">
        <v>0</v>
      </c>
    </row>
    <row customHeight="1" ht="11.25" hidden="1">
      <c r="A11" s="1509"/>
      <c r="B11" s="1509"/>
      <c r="C11" s="1509"/>
      <c r="D11" s="1509"/>
      <c r="E11" s="2418"/>
      <c r="F11" s="2418"/>
      <c r="G11" s="2418"/>
      <c r="H11" s="2418"/>
      <c r="I11" s="2445"/>
      <c r="J11" s="2445"/>
      <c r="K11" s="2415"/>
      <c r="L11" s="1510"/>
      <c r="P11" s="2416"/>
      <c r="Q11" s="2416"/>
      <c r="R11" s="2506"/>
      <c r="S11" s="2501"/>
      <c r="T11" s="2520"/>
      <c r="U11" s="446"/>
      <c r="V11" s="1539"/>
      <c r="W11" s="1642"/>
      <c r="X11" s="1539"/>
      <c r="Y11" s="1642"/>
      <c r="Z11" s="1539"/>
      <c r="AA11" s="1539"/>
      <c r="AB11" s="1539"/>
      <c r="AC11" s="1539"/>
      <c r="AD11" s="2345"/>
      <c r="AE11" s="2485"/>
      <c r="AF11" s="2364"/>
      <c r="AG11" s="2522"/>
      <c r="AH11" s="2266"/>
      <c r="AI11" s="440"/>
      <c r="AJ11" s="561"/>
      <c r="AK11" s="459" t="s">
        <v>526</v>
      </c>
      <c r="AL11" s="1539"/>
      <c r="AM11" s="1539"/>
      <c r="AN11" s="1539"/>
      <c r="AO11" s="1539"/>
      <c r="AP11" s="1539"/>
      <c r="AQ11" s="1539"/>
      <c r="AR11" s="1539"/>
      <c r="AS11" s="1539"/>
      <c r="AT11" s="1539"/>
      <c r="AU11" s="1642"/>
      <c r="AV11" s="1539"/>
      <c r="AW11" s="1642"/>
      <c r="AX11" s="1539"/>
      <c r="AY11" s="1539"/>
      <c r="AZ11" s="1539"/>
      <c r="BA11" s="1539"/>
      <c r="BB11" s="1543"/>
      <c r="BC11" s="2413"/>
      <c r="BE11" s="646"/>
      <c r="BF11" s="646"/>
      <c r="BG11" s="646"/>
      <c r="BH11" s="646"/>
      <c r="BI11" s="1301">
        <v>0</v>
      </c>
    </row>
    <row customHeight="1" ht="11.25" hidden="1">
      <c r="A12" s="1509"/>
      <c r="B12" s="1509"/>
      <c r="C12" s="1509"/>
      <c r="D12" s="1509"/>
      <c r="E12" s="2418"/>
      <c r="F12" s="2418"/>
      <c r="G12" s="2418"/>
      <c r="H12" s="2418"/>
      <c r="I12" s="2445"/>
      <c r="J12" s="2445"/>
      <c r="K12" s="2415"/>
      <c r="L12" s="1510"/>
      <c r="P12" s="2416"/>
      <c r="Q12" s="2416"/>
      <c r="R12" s="2506"/>
      <c r="S12" s="2502"/>
      <c r="T12" s="2521"/>
      <c r="U12" s="446"/>
      <c r="V12" s="1539"/>
      <c r="W12" s="1540" t="str">
        <f>Z8&amp;"-"&amp;AB8</f>
        <v>-</v>
      </c>
      <c r="X12" s="1539"/>
      <c r="Y12" s="1540" t="str">
        <f>AB8&amp;"-"&amp;AD8</f>
        <v>-да</v>
      </c>
      <c r="Z12" s="1539"/>
      <c r="AA12" s="1539"/>
      <c r="AB12" s="1539"/>
      <c r="AC12" s="1539"/>
      <c r="AD12" s="2271"/>
      <c r="AE12" s="458"/>
      <c r="AF12" s="460"/>
      <c r="AG12" s="562" t="s">
        <v>527</v>
      </c>
      <c r="AH12" s="1539"/>
      <c r="AI12" s="1539"/>
      <c r="AJ12" s="1539"/>
      <c r="AK12" s="1539"/>
      <c r="AL12" s="1539"/>
      <c r="AM12" s="1539"/>
      <c r="AN12" s="1539"/>
      <c r="AO12" s="1539"/>
      <c r="AP12" s="1539"/>
      <c r="AQ12" s="1539"/>
      <c r="AR12" s="1539"/>
      <c r="AS12" s="1539"/>
      <c r="AT12" s="1539"/>
      <c r="AU12" s="1540" t="str">
        <f>AX8&amp;"-"&amp;AZ8</f>
        <v>-</v>
      </c>
      <c r="AV12" s="1539"/>
      <c r="AW12" s="1540" t="str">
        <f>AZ8&amp;"-"&amp;BB8</f>
        <v>-</v>
      </c>
      <c r="AX12" s="1539"/>
      <c r="AY12" s="1539"/>
      <c r="AZ12" s="1539"/>
      <c r="BA12" s="1539"/>
      <c r="BB12" s="1542" t="str">
        <f>BE8&amp;"-"&amp;BG8</f>
        <v>-</v>
      </c>
      <c r="BC12" s="2413"/>
      <c r="BE12" s="646"/>
      <c r="BF12" s="646" t="str">
        <f>IF(T12="","",T12)</f>
        <v/>
      </c>
      <c r="BG12" s="646"/>
      <c r="BH12" s="646"/>
      <c r="BI12" s="1301">
        <v>0</v>
      </c>
    </row>
    <row customHeight="1" ht="11.25" hidden="1">
      <c r="A13" s="1509"/>
      <c r="B13" s="1509"/>
      <c r="C13" s="1509"/>
      <c r="D13" s="1509"/>
      <c r="E13" s="2418"/>
      <c r="F13" s="2418"/>
      <c r="G13" s="2418"/>
      <c r="H13" s="2418"/>
      <c r="I13" s="2445"/>
      <c r="J13" s="2415"/>
      <c r="K13" s="1509"/>
      <c r="L13" s="1510"/>
      <c r="P13" s="2416"/>
      <c r="Q13" s="2416"/>
      <c r="R13" s="502"/>
      <c r="S13" s="1424"/>
      <c r="T13" s="433" t="s">
        <v>490</v>
      </c>
      <c r="U13" s="513"/>
      <c r="V13" s="513"/>
      <c r="W13" s="513"/>
      <c r="X13" s="513"/>
      <c r="Y13" s="513"/>
      <c r="Z13" s="513"/>
      <c r="AA13" s="513"/>
      <c r="AB13" s="513"/>
      <c r="AC13" s="513"/>
      <c r="AD13" s="1651"/>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470"/>
      <c r="BC13" s="2414"/>
      <c r="BE13" s="646"/>
      <c r="BF13" s="646" t="str">
        <f>IF(T13="","",T13)</f>
        <v>Добавить строку</v>
      </c>
      <c r="BG13" s="646"/>
      <c r="BH13" s="646"/>
      <c r="BI13" s="1301">
        <v>0</v>
      </c>
    </row>
    <row s="6720" customFormat="1" customHeight="1" ht="14.25" hidden="1">
      <c r="A14" s="1489"/>
      <c r="B14" s="1489"/>
      <c r="C14" s="1489"/>
      <c r="D14" s="1489"/>
      <c r="E14" s="2418"/>
      <c r="F14" s="2418"/>
      <c r="G14" s="2418"/>
      <c r="H14" s="2418"/>
      <c r="I14" s="2415"/>
      <c r="J14" s="1489"/>
      <c r="K14" s="1489"/>
      <c r="L14" s="1492"/>
      <c r="M14" s="656"/>
      <c r="N14" s="656"/>
      <c r="O14" s="656"/>
      <c r="P14" s="2416"/>
      <c r="Q14" s="1608"/>
      <c r="R14" s="502"/>
      <c r="S14" s="1532"/>
      <c r="T14" s="1533"/>
      <c r="U14" s="1534"/>
      <c r="V14" s="1534"/>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5"/>
      <c r="BE14" s="646"/>
      <c r="BF14" s="646" t="str">
        <f>IF(T14="","",T14)</f>
        <v/>
      </c>
      <c r="BG14" s="646"/>
      <c r="BH14" s="646"/>
      <c r="BI14" s="657">
        <v>0</v>
      </c>
    </row>
    <row s="6720" customFormat="1" customHeight="1" ht="14.25" hidden="1">
      <c r="A15" s="1489"/>
      <c r="B15" s="1489"/>
      <c r="C15" s="1489"/>
      <c r="D15" s="1489"/>
      <c r="E15" s="2418"/>
      <c r="F15" s="2418"/>
      <c r="G15" s="2418"/>
      <c r="H15" s="2417"/>
      <c r="I15" s="1489"/>
      <c r="J15" s="1489"/>
      <c r="K15" s="1489"/>
      <c r="L15" s="1492"/>
      <c r="M15" s="1461"/>
      <c r="N15" s="1461"/>
      <c r="O15" s="664"/>
      <c r="P15" s="526"/>
      <c r="Q15" s="1490"/>
      <c r="R15" s="1547"/>
      <c r="S15" s="1532"/>
      <c r="T15" s="1533"/>
      <c r="U15" s="1534"/>
      <c r="V15" s="1534"/>
      <c r="W15" s="1534"/>
      <c r="X15" s="1534"/>
      <c r="Y15" s="1534"/>
      <c r="Z15" s="1534"/>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5"/>
      <c r="BE15" s="646"/>
      <c r="BF15" s="646" t="str">
        <f>IF(T15="","",T15)</f>
        <v/>
      </c>
      <c r="BG15" s="646"/>
      <c r="BH15" s="646"/>
      <c r="BI15" s="657">
        <v>0</v>
      </c>
    </row>
    <row s="6720" customFormat="1" customHeight="1" ht="14.25" hidden="1">
      <c r="A16" s="1489"/>
      <c r="B16" s="1489"/>
      <c r="C16" s="1489"/>
      <c r="D16" s="1460"/>
      <c r="E16" s="2418"/>
      <c r="F16" s="2418"/>
      <c r="G16" s="2417"/>
      <c r="H16" s="1460"/>
      <c r="I16" s="1460"/>
      <c r="J16" s="1460"/>
      <c r="K16" s="1460"/>
      <c r="L16" s="1610"/>
      <c r="M16" s="1461"/>
      <c r="N16" s="1461"/>
      <c r="P16" s="1462"/>
      <c r="Q16" s="1463"/>
      <c r="R16" s="1462"/>
      <c r="S16" s="1468"/>
      <c r="T16" s="1471"/>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V16" s="1470"/>
      <c r="AW16" s="1470"/>
      <c r="AX16" s="1470"/>
      <c r="AY16" s="1470"/>
      <c r="AZ16" s="1470"/>
      <c r="BA16" s="1470"/>
      <c r="BB16" s="1470"/>
      <c r="BC16" s="1470"/>
      <c r="BE16" s="935"/>
      <c r="BF16" s="935" t="str">
        <f>IF(T16="","",T16)</f>
        <v/>
      </c>
      <c r="BG16" s="935"/>
      <c r="BH16" s="935"/>
      <c r="BI16" s="664">
        <v>0</v>
      </c>
    </row>
    <row s="6720" customFormat="1" customHeight="1" ht="14.25" hidden="1">
      <c r="A17" s="1489"/>
      <c r="B17" s="1489"/>
      <c r="C17" s="1460"/>
      <c r="D17" s="1460"/>
      <c r="E17" s="2418"/>
      <c r="F17" s="2417"/>
      <c r="G17" s="1460"/>
      <c r="H17" s="1460"/>
      <c r="I17" s="1460"/>
      <c r="J17" s="1460"/>
      <c r="K17" s="1460"/>
      <c r="L17" s="1610"/>
      <c r="M17" s="1467"/>
      <c r="N17" s="1467"/>
      <c r="P17" s="1462"/>
      <c r="Q17" s="1463"/>
      <c r="R17" s="1462"/>
      <c r="S17" s="1468"/>
      <c r="T17" s="1471" t="s">
        <v>437</v>
      </c>
      <c r="U17" s="1470"/>
      <c r="V17" s="1470"/>
      <c r="W17" s="1470"/>
      <c r="X17" s="1470"/>
      <c r="Y17" s="1470"/>
      <c r="Z17" s="1470"/>
      <c r="AA17" s="1470"/>
      <c r="AB17" s="1470"/>
      <c r="AC17" s="1470"/>
      <c r="AD17" s="1470"/>
      <c r="AE17" s="1470"/>
      <c r="AF17" s="1470"/>
      <c r="AG17" s="1470"/>
      <c r="AH17" s="1470"/>
      <c r="AI17" s="1470"/>
      <c r="AJ17" s="1470"/>
      <c r="AK17" s="1470"/>
      <c r="AL17" s="1470"/>
      <c r="AM17" s="1470"/>
      <c r="AN17" s="1470"/>
      <c r="AO17" s="1470"/>
      <c r="AP17" s="1470"/>
      <c r="AQ17" s="1470"/>
      <c r="AR17" s="1470"/>
      <c r="AS17" s="1470"/>
      <c r="AT17" s="1470"/>
      <c r="AU17" s="1470"/>
      <c r="AV17" s="1470"/>
      <c r="AW17" s="1470"/>
      <c r="AX17" s="1470"/>
      <c r="AY17" s="1470"/>
      <c r="AZ17" s="1470"/>
      <c r="BA17" s="1470"/>
      <c r="BB17" s="1470"/>
      <c r="BC17" s="1470"/>
      <c r="BE17" s="935"/>
      <c r="BF17" s="935" t="str">
        <f>IF(T17="","",T17)</f>
        <v>Добавить централизованную систему для дифференциации</v>
      </c>
      <c r="BG17" s="935"/>
      <c r="BH17" s="935"/>
      <c r="BI17" s="664">
        <v>0</v>
      </c>
    </row>
    <row s="6720" customFormat="1" customHeight="1" ht="14.25" hidden="1">
      <c r="A18" s="1489"/>
      <c r="B18" s="1489"/>
      <c r="C18" s="1489"/>
      <c r="D18" s="1489"/>
      <c r="E18" s="2417"/>
      <c r="F18" s="1489"/>
      <c r="G18" s="1489"/>
      <c r="H18" s="1489"/>
      <c r="I18" s="1489"/>
      <c r="J18" s="1489"/>
      <c r="K18" s="1489"/>
      <c r="L18" s="1492"/>
      <c r="M18" s="1467"/>
      <c r="N18" s="1467"/>
      <c r="O18" s="664"/>
      <c r="P18" s="526"/>
      <c r="Q18" s="1490"/>
      <c r="R18" s="526"/>
      <c r="S18" s="1468"/>
      <c r="T18" s="1471" t="s">
        <v>438</v>
      </c>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1470"/>
      <c r="AS18" s="1470"/>
      <c r="AT18" s="1470"/>
      <c r="AU18" s="1470"/>
      <c r="AV18" s="1470"/>
      <c r="AW18" s="1470"/>
      <c r="AX18" s="1470"/>
      <c r="AY18" s="1470"/>
      <c r="AZ18" s="1470"/>
      <c r="BA18" s="1470"/>
      <c r="BB18" s="1470"/>
      <c r="BC18" s="1470"/>
      <c r="BE18" s="646"/>
      <c r="BF18" s="646" t="str">
        <f>IF(T18="","",T18)</f>
        <v>Добавить территорию для дифференциации</v>
      </c>
      <c r="BG18" s="646"/>
      <c r="BH18" s="646"/>
      <c r="BI18" s="657">
        <v>0</v>
      </c>
    </row>
    <row customHeight="1" ht="14.25" hidden="1">
      <c r="AC19" s="473"/>
      <c r="BA19" s="473"/>
      <c r="BI19" s="1301">
        <v>0</v>
      </c>
    </row>
    <row customHeight="1" ht="14.25" hidden="1">
      <c r="AD20" s="1470" t="s">
        <v>19</v>
      </c>
      <c r="AE20" s="1647"/>
      <c r="AF20" s="694">
        <v>1</v>
      </c>
      <c r="AG20" s="1648"/>
      <c r="AH20" s="1470" t="s">
        <v>19</v>
      </c>
      <c r="AI20" s="1647"/>
      <c r="AJ20" s="694">
        <v>1</v>
      </c>
      <c r="AK20" s="1648"/>
      <c r="AL20" s="1470" t="s">
        <v>19</v>
      </c>
      <c r="AM20" s="1649"/>
      <c r="AN20" s="694">
        <v>1</v>
      </c>
      <c r="AO20" s="1650"/>
      <c r="AP20" s="1470" t="s">
        <v>19</v>
      </c>
      <c r="AQ20" s="1649"/>
      <c r="AR20" s="694">
        <v>1</v>
      </c>
      <c r="AS20" s="1650"/>
      <c r="AT20" s="471"/>
      <c r="AU20" s="530"/>
      <c r="AV20" s="471"/>
      <c r="AW20" s="530"/>
      <c r="AX20" s="1881"/>
      <c r="AY20" s="1606" t="s">
        <v>63</v>
      </c>
      <c r="AZ20" s="1881"/>
      <c r="BA20" s="1606" t="s">
        <v>63</v>
      </c>
      <c r="BI20" s="1301">
        <v>0</v>
      </c>
    </row>
    <row customHeight="1" ht="14.25" hidden="1">
      <c r="BD21" s="642"/>
      <c r="BE21" s="642"/>
      <c r="BF21" s="642"/>
      <c r="BG21" s="642"/>
      <c r="BH21" s="642"/>
      <c r="BI21" s="1301">
        <v>0</v>
      </c>
    </row>
    <row customHeight="1" ht="14.25" hidden="1">
      <c r="O22" s="1513" t="s">
        <v>439</v>
      </c>
      <c r="Z22" s="1491"/>
      <c r="AB22" s="1491"/>
      <c r="AC22" s="473"/>
      <c r="AX22" s="1491"/>
      <c r="AZ22" s="1491"/>
      <c r="BA22" s="473"/>
      <c r="BD22" s="642"/>
      <c r="BE22" s="642"/>
      <c r="BF22" s="642"/>
      <c r="BG22" s="642"/>
      <c r="BH22" s="642"/>
      <c r="BI22" s="1301">
        <v>0</v>
      </c>
    </row>
    <row customHeight="1" ht="14.25" hidden="1">
      <c r="AC23" s="473"/>
      <c r="BA23" s="473"/>
      <c r="BD23" s="642"/>
      <c r="BE23" s="642"/>
      <c r="BF23" s="642"/>
      <c r="BG23" s="642"/>
      <c r="BH23" s="642"/>
      <c r="BI23" s="1301">
        <v>0</v>
      </c>
    </row>
    <row s="6437" customFormat="1" customHeight="1" ht="14.25" hidden="1">
      <c r="M24" s="1654"/>
      <c r="N24" s="1654"/>
      <c r="O24" s="1655" t="s">
        <v>440</v>
      </c>
      <c r="P24" s="1654"/>
      <c r="Q24" s="1656"/>
      <c r="R24" s="1656"/>
      <c r="AA24" s="1653" t="s">
        <v>442</v>
      </c>
      <c r="AC24" s="1653" t="s">
        <v>443</v>
      </c>
      <c r="AD24" s="1653" t="s">
        <v>491</v>
      </c>
      <c r="AH24" s="1653" t="s">
        <v>491</v>
      </c>
      <c r="AK24" s="1653" t="s">
        <v>528</v>
      </c>
      <c r="AL24" s="1653" t="s">
        <v>491</v>
      </c>
      <c r="AP24" s="1653" t="s">
        <v>491</v>
      </c>
      <c r="AY24" s="1653" t="s">
        <v>442</v>
      </c>
      <c r="BA24" s="1653" t="s">
        <v>443</v>
      </c>
      <c r="BD24" s="1657"/>
      <c r="BE24" s="1657"/>
      <c r="BF24" s="1657"/>
      <c r="BG24" s="1657"/>
      <c r="BH24" s="1657"/>
      <c r="BI24" s="1653">
        <v>0</v>
      </c>
    </row>
    <row customHeight="1" ht="14.25" hidden="1">
      <c r="O25" s="1510"/>
      <c r="BD25" s="642"/>
      <c r="BE25" s="642"/>
      <c r="BF25" s="642"/>
      <c r="BG25" s="642"/>
      <c r="BH25" s="642"/>
      <c r="BI25" s="1301">
        <v>0</v>
      </c>
    </row>
    <row customHeight="1" ht="14.25" hidden="1">
      <c r="O26" s="1510"/>
      <c r="BD26" s="642"/>
      <c r="BE26" s="642"/>
      <c r="BF26" s="642"/>
      <c r="BG26" s="642"/>
      <c r="BH26" s="642"/>
      <c r="BI26" s="1301">
        <v>0</v>
      </c>
    </row>
    <row customHeight="1" ht="14.699999999999998">
      <c r="Q27" s="437"/>
      <c r="R27" s="522"/>
      <c r="S27" s="1421"/>
      <c r="T27" s="509"/>
      <c r="U27" s="509"/>
      <c r="V27" s="655"/>
      <c r="W27" s="655"/>
      <c r="X27" s="655"/>
      <c r="Y27" s="655"/>
      <c r="Z27" s="655"/>
      <c r="AA27" s="655"/>
      <c r="AB27" s="655"/>
      <c r="AC27" s="655"/>
      <c r="AD27" s="655"/>
      <c r="AE27" s="655"/>
      <c r="AF27" s="655"/>
      <c r="AG27" s="655"/>
      <c r="AH27" s="655"/>
      <c r="AI27" s="655"/>
      <c r="AJ27" s="655"/>
      <c r="AK27" s="655"/>
      <c r="AL27" s="655"/>
      <c r="AM27" s="655"/>
      <c r="AN27" s="655"/>
      <c r="AO27" s="655"/>
      <c r="AP27" s="655"/>
      <c r="AQ27" s="655"/>
      <c r="AR27" s="655"/>
      <c r="AS27" s="655"/>
      <c r="AT27" s="655"/>
      <c r="AU27" s="655"/>
      <c r="AV27" s="655"/>
      <c r="AW27" s="655"/>
      <c r="AX27" s="655"/>
      <c r="AY27" s="655"/>
      <c r="AZ27" s="655"/>
      <c r="BA27" s="655"/>
      <c r="BI27" s="1301">
        <v>14</v>
      </c>
    </row>
    <row customHeight="1" ht="14.699999999999998">
      <c r="Q28" s="437"/>
      <c r="R28" s="522"/>
      <c r="S28" s="240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407"/>
      <c r="AT28" s="2407"/>
      <c r="AU28" s="2407"/>
      <c r="AV28" s="2407"/>
      <c r="AW28" s="2407"/>
      <c r="AX28" s="2407"/>
      <c r="AY28" s="2407"/>
      <c r="AZ28" s="2407"/>
      <c r="BA28" s="1389"/>
      <c r="BI28" s="1301">
        <v>14</v>
      </c>
    </row>
    <row customHeight="1" ht="14.699999999999998">
      <c r="Q29" s="437"/>
      <c r="R29" s="522"/>
      <c r="S29" s="2408" t="str">
        <f>IF(org=0,"Не определено",org)</f>
        <v>ПАО "ТГК-14"</v>
      </c>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408"/>
      <c r="AT29" s="2408"/>
      <c r="AU29" s="2408"/>
      <c r="AV29" s="2408"/>
      <c r="AW29" s="2408"/>
      <c r="AX29" s="2408"/>
      <c r="AY29" s="2408"/>
      <c r="AZ29" s="2408"/>
      <c r="BA29" s="1389"/>
      <c r="BI29" s="1301">
        <v>14</v>
      </c>
    </row>
    <row customHeight="1" ht="14.25" hidden="1">
      <c r="Q30" s="437"/>
      <c r="R30" s="522"/>
      <c r="S30" s="1421"/>
      <c r="T30" s="509"/>
      <c r="U30" s="509"/>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655"/>
      <c r="BI30" s="1301">
        <v>0</v>
      </c>
    </row>
    <row s="7809" customFormat="1" customHeight="1" ht="25.5" hidden="1">
      <c r="A31" s="1514"/>
      <c r="B31" s="1514"/>
      <c r="C31" s="1514"/>
      <c r="D31" s="1514"/>
      <c r="E31" s="1514"/>
      <c r="F31" s="1514"/>
      <c r="G31" s="1514"/>
      <c r="H31" s="1514"/>
      <c r="I31" s="1514"/>
      <c r="J31" s="1514"/>
      <c r="K31" s="1514"/>
      <c r="L31" s="1515"/>
      <c r="M31" s="1514"/>
      <c r="N31" s="1514"/>
      <c r="O31" s="1514"/>
      <c r="P31" s="1514"/>
      <c r="Q31" s="1514"/>
      <c r="S31" s="2409" t="s">
        <v>42</v>
      </c>
      <c r="T31" s="2409"/>
      <c r="U31" s="1518"/>
      <c r="V31" s="2410" t="str">
        <f>IF(TITLE_NAME_OR_PR_CHANGE="",IF(TITLE_NAME_OR_PR="","",TITLE_NAME_OR_PR),TITLE_NAME_OR_PR_CHANGE)</f>
        <v/>
      </c>
      <c r="W31" s="2410"/>
      <c r="X31" s="2410"/>
      <c r="Y31" s="2410"/>
      <c r="Z31" s="2410"/>
      <c r="AA31" s="2410"/>
      <c r="AB31" s="2410"/>
      <c r="AC31" s="472"/>
      <c r="AD31" s="2410" t="str">
        <f>IF(TITLE_NAME_OR_PR_CHANGE="",IF(TITLE_NAME_OR_PR="","",TITLE_NAME_OR_PR),TITLE_NAME_OR_PR_CHANGE)</f>
        <v/>
      </c>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472"/>
      <c r="BB31" s="472"/>
      <c r="BC31" s="426"/>
      <c r="BD31" s="514"/>
      <c r="BE31" s="514"/>
      <c r="BF31" s="514"/>
      <c r="BG31" s="514"/>
      <c r="BH31" s="514"/>
      <c r="BI31" s="564">
        <v>0</v>
      </c>
    </row>
    <row s="7809" customFormat="1" customHeight="1" ht="18.75" hidden="1">
      <c r="A32" s="1514"/>
      <c r="B32" s="1514"/>
      <c r="C32" s="1514"/>
      <c r="D32" s="1514"/>
      <c r="E32" s="1514"/>
      <c r="F32" s="1514"/>
      <c r="G32" s="1514"/>
      <c r="H32" s="1514"/>
      <c r="I32" s="1514"/>
      <c r="J32" s="1514"/>
      <c r="K32" s="1514"/>
      <c r="L32" s="1515"/>
      <c r="M32" s="1514"/>
      <c r="N32" s="1514"/>
      <c r="O32" s="1514"/>
      <c r="P32" s="1514"/>
      <c r="Q32" s="1514"/>
      <c r="S32" s="2409" t="s">
        <v>445</v>
      </c>
      <c r="T32" s="2409"/>
      <c r="U32" s="1518"/>
      <c r="V32" s="2423" t="str">
        <f>IF(TITLE_DATE_PR_CHANGE="",IF(TITLE_DATE_PR="","",TITLE_DATE_PR),TITLE_DATE_PR_CHANGE)</f>
        <v/>
      </c>
      <c r="W32" s="2423"/>
      <c r="X32" s="2423"/>
      <c r="Y32" s="2423"/>
      <c r="Z32" s="2423"/>
      <c r="AA32" s="2423"/>
      <c r="AB32" s="2423"/>
      <c r="AC32" s="472"/>
      <c r="AD32" s="2423" t="str">
        <f>IF(TITLE_DATE_PR_CHANGE="",IF(TITLE_DATE_PR="","",TITLE_DATE_PR),TITLE_DATE_PR_CHANGE)</f>
        <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472"/>
      <c r="BB32" s="472"/>
      <c r="BC32" s="426"/>
      <c r="BD32" s="514"/>
      <c r="BE32" s="514"/>
      <c r="BF32" s="514"/>
      <c r="BG32" s="514"/>
      <c r="BH32" s="514"/>
      <c r="BI32" s="564">
        <v>0</v>
      </c>
    </row>
    <row s="7809" customFormat="1" customHeight="1" ht="18.75" hidden="1">
      <c r="A33" s="1514"/>
      <c r="B33" s="1514"/>
      <c r="C33" s="1514"/>
      <c r="D33" s="1514"/>
      <c r="E33" s="1514"/>
      <c r="F33" s="1514"/>
      <c r="G33" s="1514"/>
      <c r="H33" s="1514"/>
      <c r="I33" s="1514"/>
      <c r="J33" s="1514"/>
      <c r="K33" s="1514"/>
      <c r="L33" s="1515"/>
      <c r="M33" s="1514"/>
      <c r="N33" s="1514"/>
      <c r="O33" s="1514"/>
      <c r="P33" s="1514"/>
      <c r="Q33" s="1514"/>
      <c r="S33" s="2409" t="s">
        <v>446</v>
      </c>
      <c r="T33" s="2409"/>
      <c r="U33" s="1518"/>
      <c r="V33" s="2410" t="str">
        <f>IF(TITLE_NUMBER_PR_CHANGE="",IF(TITLE_NUMBER_PR="","",TITLE_NUMBER_PR),TITLE_NUMBER_PR_CHANGE)</f>
        <v/>
      </c>
      <c r="W33" s="2410"/>
      <c r="X33" s="2410"/>
      <c r="Y33" s="2410"/>
      <c r="Z33" s="2410"/>
      <c r="AA33" s="2410"/>
      <c r="AB33" s="2410"/>
      <c r="AC33" s="472"/>
      <c r="AD33" s="2410" t="str">
        <f>IF(TITLE_NUMBER_PR_CHANGE="",IF(TITLE_NUMBER_PR="","",TITLE_NUMBER_PR),TITLE_NUMBER_PR_CHANGE)</f>
        <v/>
      </c>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0"/>
      <c r="BA33" s="472"/>
      <c r="BB33" s="472"/>
      <c r="BC33" s="426"/>
      <c r="BD33" s="514"/>
      <c r="BE33" s="514"/>
      <c r="BF33" s="514"/>
      <c r="BG33" s="514"/>
      <c r="BH33" s="514"/>
      <c r="BI33" s="564">
        <v>0</v>
      </c>
    </row>
    <row s="7809" customFormat="1" customHeight="1" ht="18.75" hidden="1">
      <c r="A34" s="1514"/>
      <c r="B34" s="1514"/>
      <c r="C34" s="1514"/>
      <c r="D34" s="1514"/>
      <c r="E34" s="1514"/>
      <c r="F34" s="1514"/>
      <c r="G34" s="1514"/>
      <c r="H34" s="1514"/>
      <c r="I34" s="1514"/>
      <c r="J34" s="1514"/>
      <c r="K34" s="1514"/>
      <c r="L34" s="1515"/>
      <c r="M34" s="1514"/>
      <c r="N34" s="1514"/>
      <c r="O34" s="1514"/>
      <c r="P34" s="1514"/>
      <c r="Q34" s="1514"/>
      <c r="S34" s="2409" t="s">
        <v>43</v>
      </c>
      <c r="T34" s="2409"/>
      <c r="U34" s="1518"/>
      <c r="V34" s="2410" t="str">
        <f>IF(TITLE_IST_PUB_CHANGE="",IF(TITLE_IST_PUB="","",TITLE_IST_PUB),TITLE_IST_PUB_CHANGE)</f>
        <v/>
      </c>
      <c r="W34" s="2410"/>
      <c r="X34" s="2410"/>
      <c r="Y34" s="2410"/>
      <c r="Z34" s="2410"/>
      <c r="AA34" s="2410"/>
      <c r="AB34" s="2410"/>
      <c r="AC34" s="472"/>
      <c r="AD34" s="2410" t="str">
        <f>IF(TITLE_IST_PUB_CHANGE="",IF(TITLE_IST_PUB="","",TITLE_IST_PUB),TITLE_IST_PUB_CHANGE)</f>
        <v/>
      </c>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0"/>
      <c r="BA34" s="472"/>
      <c r="BB34" s="472"/>
      <c r="BC34" s="426"/>
      <c r="BD34" s="514"/>
      <c r="BE34" s="514"/>
      <c r="BF34" s="514"/>
      <c r="BG34" s="514"/>
      <c r="BH34" s="514"/>
      <c r="BI34" s="564">
        <v>0</v>
      </c>
    </row>
    <row customHeight="1" ht="14.25" hidden="1">
      <c r="Q35" s="437"/>
      <c r="R35" s="522"/>
      <c r="S35" s="1421"/>
      <c r="T35" s="509"/>
      <c r="U35" s="509"/>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655"/>
      <c r="BI35" s="1301">
        <v>0</v>
      </c>
    </row>
    <row s="7809" customFormat="1" customHeight="1" ht="18.75" hidden="1">
      <c r="A36" s="1514"/>
      <c r="B36" s="1514"/>
      <c r="C36" s="1514"/>
      <c r="D36" s="1514"/>
      <c r="E36" s="1514"/>
      <c r="F36" s="1514"/>
      <c r="G36" s="1514"/>
      <c r="H36" s="1514"/>
      <c r="I36" s="1514"/>
      <c r="J36" s="1514"/>
      <c r="K36" s="1514"/>
      <c r="L36" s="1515"/>
      <c r="M36" s="1514"/>
      <c r="N36" s="1514"/>
      <c r="O36" s="1514"/>
      <c r="P36" s="1514"/>
      <c r="Q36" s="1514"/>
      <c r="S36" s="2409" t="s">
        <v>445</v>
      </c>
      <c r="T36" s="2409"/>
      <c r="U36" s="1518"/>
      <c r="V36" s="2423" t="str">
        <f>IF(TITLE_DATE_PR_CHANGE="",IF(TITLE_DATE_PR="","",TITLE_DATE_PR),TITLE_DATE_PR_CHANGE)</f>
        <v/>
      </c>
      <c r="W36" s="2423"/>
      <c r="X36" s="2423"/>
      <c r="Y36" s="2423"/>
      <c r="Z36" s="2423"/>
      <c r="AA36" s="2423"/>
      <c r="AB36" s="2423"/>
      <c r="AC36" s="472"/>
      <c r="AD36" s="2423" t="str">
        <f>IF(TITLE_DATE_PR_CHANGE="",IF(TITLE_DATE_PR="","",TITLE_DATE_PR),TITLE_DATE_PR_CHANGE)</f>
        <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472"/>
      <c r="BB36" s="472"/>
      <c r="BC36" s="426"/>
      <c r="BD36" s="514"/>
      <c r="BE36" s="514"/>
      <c r="BF36" s="514"/>
      <c r="BG36" s="514"/>
      <c r="BH36" s="514"/>
      <c r="BI36" s="564">
        <v>0</v>
      </c>
    </row>
    <row s="7809" customFormat="1" customHeight="1" ht="18.75" hidden="1">
      <c r="A37" s="1514"/>
      <c r="B37" s="1514"/>
      <c r="C37" s="1514"/>
      <c r="D37" s="1514"/>
      <c r="E37" s="1514"/>
      <c r="F37" s="1514"/>
      <c r="G37" s="1514"/>
      <c r="H37" s="1514"/>
      <c r="I37" s="1514"/>
      <c r="J37" s="1514"/>
      <c r="K37" s="1514"/>
      <c r="L37" s="1515"/>
      <c r="M37" s="1514"/>
      <c r="N37" s="1514"/>
      <c r="O37" s="1514"/>
      <c r="P37" s="1514"/>
      <c r="Q37" s="1514"/>
      <c r="S37" s="2409" t="s">
        <v>446</v>
      </c>
      <c r="T37" s="2409"/>
      <c r="U37" s="1518"/>
      <c r="V37" s="2410" t="str">
        <f>IF(TITLE_NUMBER_PR_CHANGE="",IF(TITLE_NUMBER_PR="","",TITLE_NUMBER_PR),TITLE_NUMBER_PR_CHANGE)</f>
        <v/>
      </c>
      <c r="W37" s="2410"/>
      <c r="X37" s="2410"/>
      <c r="Y37" s="2410"/>
      <c r="Z37" s="2410"/>
      <c r="AA37" s="2410"/>
      <c r="AB37" s="2410"/>
      <c r="AC37" s="472"/>
      <c r="AD37" s="2410" t="str">
        <f>IF(TITLE_NUMBER_PR_CHANGE="",IF(TITLE_NUMBER_PR="","",TITLE_NUMBER_PR),TITLE_NUMBER_PR_CHANGE)</f>
        <v/>
      </c>
      <c r="AE37" s="2410"/>
      <c r="AF37" s="2410"/>
      <c r="AG37" s="2410"/>
      <c r="AH37" s="2410"/>
      <c r="AI37" s="2410"/>
      <c r="AJ37" s="2410"/>
      <c r="AK37" s="2410"/>
      <c r="AL37" s="2410"/>
      <c r="AM37" s="2410"/>
      <c r="AN37" s="2410"/>
      <c r="AO37" s="2410"/>
      <c r="AP37" s="2410"/>
      <c r="AQ37" s="2410"/>
      <c r="AR37" s="2410"/>
      <c r="AS37" s="2410"/>
      <c r="AT37" s="2410"/>
      <c r="AU37" s="2410"/>
      <c r="AV37" s="2410"/>
      <c r="AW37" s="2410"/>
      <c r="AX37" s="2410"/>
      <c r="AY37" s="2410"/>
      <c r="AZ37" s="2410"/>
      <c r="BA37" s="472"/>
      <c r="BB37" s="472"/>
      <c r="BC37" s="426"/>
      <c r="BD37" s="514"/>
      <c r="BE37" s="514"/>
      <c r="BF37" s="514"/>
      <c r="BG37" s="514"/>
      <c r="BH37" s="514"/>
      <c r="BI37" s="564">
        <v>0</v>
      </c>
    </row>
    <row s="7809" customFormat="1" customHeight="1" ht="0">
      <c r="A38" s="1514"/>
      <c r="B38" s="1514"/>
      <c r="C38" s="1514"/>
      <c r="D38" s="1514"/>
      <c r="E38" s="1514"/>
      <c r="F38" s="1514"/>
      <c r="G38" s="1514"/>
      <c r="H38" s="1514"/>
      <c r="I38" s="1514"/>
      <c r="J38" s="1514"/>
      <c r="K38" s="1514"/>
      <c r="L38" s="1515"/>
      <c r="M38" s="1514"/>
      <c r="N38" s="1514"/>
      <c r="O38" s="1514"/>
      <c r="P38" s="1514"/>
      <c r="Q38" s="1514"/>
      <c r="S38" s="469"/>
      <c r="T38" s="469"/>
      <c r="U38" s="1600"/>
      <c r="V38" s="472"/>
      <c r="W38" s="472"/>
      <c r="X38" s="472"/>
      <c r="Y38" s="472"/>
      <c r="Z38" s="472"/>
      <c r="AA38" s="472"/>
      <c r="AB38" s="472"/>
      <c r="AC38" s="424" t="s">
        <v>449</v>
      </c>
      <c r="AD38" s="472"/>
      <c r="AE38" s="472"/>
      <c r="AF38" s="472"/>
      <c r="AG38" s="472"/>
      <c r="AH38" s="472"/>
      <c r="AI38" s="472"/>
      <c r="AJ38" s="472"/>
      <c r="AK38" s="472"/>
      <c r="AL38" s="472"/>
      <c r="AM38" s="472"/>
      <c r="AN38" s="472"/>
      <c r="AO38" s="472"/>
      <c r="AP38" s="472"/>
      <c r="AQ38" s="472"/>
      <c r="AR38" s="472"/>
      <c r="AS38" s="472"/>
      <c r="AT38" s="472"/>
      <c r="AU38" s="472"/>
      <c r="AV38" s="472"/>
      <c r="AW38" s="472"/>
      <c r="AX38" s="472"/>
      <c r="AY38" s="472"/>
      <c r="AZ38" s="472"/>
      <c r="BA38" s="424" t="s">
        <v>449</v>
      </c>
      <c r="BD38" s="514"/>
      <c r="BE38" s="514"/>
      <c r="BF38" s="514"/>
      <c r="BG38" s="514"/>
      <c r="BH38" s="514"/>
      <c r="BI38" s="564">
        <v>0</v>
      </c>
    </row>
    <row customHeight="1" ht="14.699999999999998">
      <c r="Q39" s="437"/>
      <c r="R39" s="522"/>
      <c r="S39" s="1421"/>
      <c r="T39" s="509"/>
      <c r="U39" s="1390"/>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2411"/>
      <c r="AT39" s="2411"/>
      <c r="AU39" s="2411"/>
      <c r="AV39" s="2411"/>
      <c r="AW39" s="2411"/>
      <c r="AX39" s="2411"/>
      <c r="AY39" s="2411"/>
      <c r="AZ39" s="2411"/>
      <c r="BA39" s="2411"/>
      <c r="BI39" s="1301">
        <v>14</v>
      </c>
    </row>
    <row customHeight="1" ht="14.699999999999998">
      <c r="Q40" s="437"/>
      <c r="R40" s="522"/>
      <c r="S40" s="2286" t="s">
        <v>322</v>
      </c>
      <c r="T40" s="2286"/>
      <c r="U40" s="2286"/>
      <c r="V40" s="2286"/>
      <c r="W40" s="2286"/>
      <c r="X40" s="2286"/>
      <c r="Y40" s="2286"/>
      <c r="Z40" s="2286"/>
      <c r="AA40" s="2286"/>
      <c r="AB40" s="2286"/>
      <c r="AC40" s="2286"/>
      <c r="AD40" s="2286"/>
      <c r="AE40" s="2286"/>
      <c r="AF40" s="2286"/>
      <c r="AG40" s="2286"/>
      <c r="AH40" s="2286"/>
      <c r="AI40" s="2286"/>
      <c r="AJ40" s="2286"/>
      <c r="AK40" s="2286"/>
      <c r="AL40" s="2286"/>
      <c r="AM40" s="2286"/>
      <c r="AN40" s="2286"/>
      <c r="AO40" s="2286"/>
      <c r="AP40" s="2286"/>
      <c r="AQ40" s="2286"/>
      <c r="AR40" s="2286"/>
      <c r="AS40" s="2286"/>
      <c r="AT40" s="2286"/>
      <c r="AU40" s="2286"/>
      <c r="AV40" s="2286"/>
      <c r="AW40" s="2286"/>
      <c r="AX40" s="2286"/>
      <c r="AY40" s="2286"/>
      <c r="AZ40" s="2286"/>
      <c r="BA40" s="2286"/>
      <c r="BB40" s="2286"/>
      <c r="BC40" s="2286" t="s">
        <v>323</v>
      </c>
      <c r="BI40" s="1301">
        <v>14</v>
      </c>
    </row>
    <row customHeight="1" ht="14.699999999999998">
      <c r="Q41" s="437"/>
      <c r="R41" s="522"/>
      <c r="S41" s="2432" t="s">
        <v>89</v>
      </c>
      <c r="T41" s="2368" t="s">
        <v>529</v>
      </c>
      <c r="U41" s="447"/>
      <c r="V41" s="2433" t="s">
        <v>451</v>
      </c>
      <c r="W41" s="2434"/>
      <c r="X41" s="2434"/>
      <c r="Y41" s="2434"/>
      <c r="Z41" s="2434"/>
      <c r="AA41" s="2434"/>
      <c r="AB41" s="2435"/>
      <c r="AC41" s="2436" t="s">
        <v>452</v>
      </c>
      <c r="AD41" s="2487" t="s">
        <v>530</v>
      </c>
      <c r="AE41" s="2450"/>
      <c r="AF41" s="2450"/>
      <c r="AG41" s="2488"/>
      <c r="AH41" s="2487" t="s">
        <v>531</v>
      </c>
      <c r="AI41" s="2450"/>
      <c r="AJ41" s="2450"/>
      <c r="AK41" s="2488"/>
      <c r="AL41" s="2487" t="s">
        <v>532</v>
      </c>
      <c r="AM41" s="2450"/>
      <c r="AN41" s="2450"/>
      <c r="AO41" s="2488"/>
      <c r="AP41" s="2487" t="s">
        <v>533</v>
      </c>
      <c r="AQ41" s="2450"/>
      <c r="AR41" s="2450"/>
      <c r="AS41" s="2488"/>
      <c r="AT41" s="2433" t="s">
        <v>451</v>
      </c>
      <c r="AU41" s="2434"/>
      <c r="AV41" s="2434"/>
      <c r="AW41" s="2434"/>
      <c r="AX41" s="2434"/>
      <c r="AY41" s="2434"/>
      <c r="AZ41" s="2435"/>
      <c r="BA41" s="2436" t="s">
        <v>452</v>
      </c>
      <c r="BB41" s="2439" t="s">
        <v>454</v>
      </c>
      <c r="BC41" s="2286"/>
      <c r="BI41" s="1301">
        <v>14</v>
      </c>
    </row>
    <row customHeight="1" ht="35.699999999999996">
      <c r="Q42" s="437"/>
      <c r="R42" s="522"/>
      <c r="S42" s="2432"/>
      <c r="T42" s="2368"/>
      <c r="U42" s="1177"/>
      <c r="V42" s="2351" t="s">
        <v>534</v>
      </c>
      <c r="W42" s="2352"/>
      <c r="X42" s="2351" t="s">
        <v>535</v>
      </c>
      <c r="Y42" s="2352"/>
      <c r="Z42" s="2453" t="s">
        <v>536</v>
      </c>
      <c r="AA42" s="2472"/>
      <c r="AB42" s="2473"/>
      <c r="AC42" s="2437"/>
      <c r="AD42" s="2489"/>
      <c r="AE42" s="2490"/>
      <c r="AF42" s="2490"/>
      <c r="AG42" s="2491"/>
      <c r="AH42" s="2489"/>
      <c r="AI42" s="2490"/>
      <c r="AJ42" s="2490"/>
      <c r="AK42" s="2491"/>
      <c r="AL42" s="2489"/>
      <c r="AM42" s="2490"/>
      <c r="AN42" s="2490"/>
      <c r="AO42" s="2491"/>
      <c r="AP42" s="2489"/>
      <c r="AQ42" s="2490"/>
      <c r="AR42" s="2490"/>
      <c r="AS42" s="2491"/>
      <c r="AT42" s="2351" t="s">
        <v>534</v>
      </c>
      <c r="AU42" s="2352"/>
      <c r="AV42" s="2351" t="s">
        <v>535</v>
      </c>
      <c r="AW42" s="2352"/>
      <c r="AX42" s="2453" t="s">
        <v>536</v>
      </c>
      <c r="AY42" s="2472"/>
      <c r="AZ42" s="2473"/>
      <c r="BA42" s="2437"/>
      <c r="BB42" s="2440"/>
      <c r="BC42" s="2286"/>
      <c r="BI42" s="1301">
        <v>34</v>
      </c>
    </row>
    <row customHeight="1" ht="14.699999999999998">
      <c r="Q43" s="437"/>
      <c r="R43" s="522"/>
      <c r="S43" s="2432"/>
      <c r="T43" s="2368"/>
      <c r="U43" s="1177"/>
      <c r="V43" s="2359"/>
      <c r="W43" s="2360"/>
      <c r="X43" s="2359"/>
      <c r="Y43" s="2360"/>
      <c r="Z43" s="2454"/>
      <c r="AA43" s="2474"/>
      <c r="AB43" s="2475"/>
      <c r="AC43" s="2437"/>
      <c r="AD43" s="2489"/>
      <c r="AE43" s="2490"/>
      <c r="AF43" s="2490"/>
      <c r="AG43" s="2491"/>
      <c r="AH43" s="2489"/>
      <c r="AI43" s="2490"/>
      <c r="AJ43" s="2490"/>
      <c r="AK43" s="2491"/>
      <c r="AL43" s="2489"/>
      <c r="AM43" s="2490"/>
      <c r="AN43" s="2490"/>
      <c r="AO43" s="2491"/>
      <c r="AP43" s="2489"/>
      <c r="AQ43" s="2490"/>
      <c r="AR43" s="2490"/>
      <c r="AS43" s="2491"/>
      <c r="AT43" s="2359"/>
      <c r="AU43" s="2360"/>
      <c r="AV43" s="2359"/>
      <c r="AW43" s="2360"/>
      <c r="AX43" s="2454"/>
      <c r="AY43" s="2474"/>
      <c r="AZ43" s="2475"/>
      <c r="BA43" s="2437"/>
      <c r="BB43" s="2440"/>
      <c r="BC43" s="2286"/>
      <c r="BI43" s="1301">
        <v>14</v>
      </c>
    </row>
    <row customHeight="1" ht="14.699999999999998">
      <c r="A44" s="1516"/>
      <c r="B44" s="1516" t="s">
        <v>159</v>
      </c>
      <c r="C44" s="1516" t="s">
        <v>160</v>
      </c>
      <c r="D44" s="1516" t="s">
        <v>161</v>
      </c>
      <c r="E44" s="1510" t="s">
        <v>459</v>
      </c>
      <c r="F44" s="1510" t="s">
        <v>460</v>
      </c>
      <c r="G44" s="1510" t="s">
        <v>461</v>
      </c>
      <c r="H44" s="1510" t="s">
        <v>462</v>
      </c>
      <c r="I44" s="1510" t="s">
        <v>463</v>
      </c>
      <c r="J44" s="1510" t="s">
        <v>464</v>
      </c>
      <c r="K44" s="1510" t="s">
        <v>465</v>
      </c>
      <c r="L44" s="1510" t="s">
        <v>440</v>
      </c>
      <c r="Q44" s="437"/>
      <c r="R44" s="522"/>
      <c r="S44" s="2432"/>
      <c r="T44" s="2368"/>
      <c r="U44" s="448"/>
      <c r="V44" s="1594" t="s">
        <v>500</v>
      </c>
      <c r="W44" s="1594" t="s">
        <v>501</v>
      </c>
      <c r="X44" s="1594" t="s">
        <v>500</v>
      </c>
      <c r="Y44" s="1594" t="s">
        <v>501</v>
      </c>
      <c r="Z44" s="1601" t="s">
        <v>468</v>
      </c>
      <c r="AA44" s="2429" t="s">
        <v>469</v>
      </c>
      <c r="AB44" s="2430"/>
      <c r="AC44" s="2438"/>
      <c r="AD44" s="2492"/>
      <c r="AE44" s="2493"/>
      <c r="AF44" s="2493"/>
      <c r="AG44" s="2494"/>
      <c r="AH44" s="2492"/>
      <c r="AI44" s="2493"/>
      <c r="AJ44" s="2493"/>
      <c r="AK44" s="2494"/>
      <c r="AL44" s="2492"/>
      <c r="AM44" s="2493"/>
      <c r="AN44" s="2493"/>
      <c r="AO44" s="2494"/>
      <c r="AP44" s="2492"/>
      <c r="AQ44" s="2493"/>
      <c r="AR44" s="2493"/>
      <c r="AS44" s="2494"/>
      <c r="AT44" s="1594" t="s">
        <v>500</v>
      </c>
      <c r="AU44" s="1594" t="s">
        <v>501</v>
      </c>
      <c r="AV44" s="1594" t="s">
        <v>500</v>
      </c>
      <c r="AW44" s="1594" t="s">
        <v>501</v>
      </c>
      <c r="AX44" s="1601" t="s">
        <v>468</v>
      </c>
      <c r="AY44" s="2429" t="s">
        <v>469</v>
      </c>
      <c r="AZ44" s="2430"/>
      <c r="BA44" s="2438"/>
      <c r="BB44" s="2441"/>
      <c r="BC44" s="2286"/>
      <c r="BI44" s="1301">
        <v>14</v>
      </c>
    </row>
    <row s="6314" customFormat="1" customHeight="1" ht="11.25" hidden="1">
      <c r="A45" s="1516"/>
      <c r="B45" s="1516"/>
      <c r="C45" s="1516"/>
      <c r="D45" s="1516"/>
      <c r="E45" s="1516"/>
      <c r="F45" s="1516"/>
      <c r="G45" s="1516"/>
      <c r="H45" s="1516"/>
      <c r="I45" s="1516"/>
      <c r="J45" s="1516"/>
      <c r="K45" s="1516"/>
      <c r="L45" s="1510"/>
      <c r="M45" s="1508"/>
      <c r="N45" s="1508"/>
      <c r="O45" s="1508"/>
      <c r="P45" s="656"/>
      <c r="Q45" s="1400"/>
      <c r="R45" s="1400">
        <v>1</v>
      </c>
      <c r="S45" s="1423" t="s">
        <v>121</v>
      </c>
      <c r="T45" s="1401" t="s">
        <v>105</v>
      </c>
      <c r="U45" s="1391" t="str">
        <f>OFFSET(U45,0,-1)</f>
        <v>2</v>
      </c>
      <c r="V45" s="1597">
        <f>OFFSET(V45,0,-1)+1</f>
        <v>3</v>
      </c>
      <c r="W45" s="1597">
        <f>OFFSET(W45,0,-1)+1</f>
        <v>4</v>
      </c>
      <c r="X45" s="1597">
        <f>OFFSET(X45,0,-1)+1</f>
        <v>5</v>
      </c>
      <c r="Y45" s="1597">
        <f>OFFSET(Y45,0,-1)+1</f>
        <v>6</v>
      </c>
      <c r="Z45" s="1597">
        <f>OFFSET(Z45,0,-1)+1</f>
        <v>7</v>
      </c>
      <c r="AA45" s="2431">
        <f>OFFSET(AA45,0,-1)+1</f>
        <v>8</v>
      </c>
      <c r="AB45" s="2431"/>
      <c r="AC45" s="1597">
        <f>OFFSET(AC45,0,-2)+1</f>
        <v>9</v>
      </c>
      <c r="AD45" s="1597">
        <f>OFFSET(AD45,0,-1)+1</f>
        <v>10</v>
      </c>
      <c r="AE45" s="1597"/>
      <c r="AF45" s="1597"/>
      <c r="AG45" s="1597"/>
      <c r="AH45" s="1597"/>
      <c r="AI45" s="1597"/>
      <c r="AJ45" s="1597"/>
      <c r="AK45" s="1597"/>
      <c r="AL45" s="1597"/>
      <c r="AM45" s="1597"/>
      <c r="AN45" s="1597"/>
      <c r="AO45" s="1597"/>
      <c r="AP45" s="1597"/>
      <c r="AQ45" s="1597"/>
      <c r="AR45" s="1597"/>
      <c r="AS45" s="1597"/>
      <c r="AT45" s="1597"/>
      <c r="AU45" s="1597"/>
      <c r="AV45" s="1597"/>
      <c r="AW45" s="1597">
        <f>OFFSET(AW45,0,-1)+1</f>
        <v>1</v>
      </c>
      <c r="AX45" s="1597">
        <f>OFFSET(AX45,0,-1)+1</f>
        <v>2</v>
      </c>
      <c r="AY45" s="2431">
        <f>OFFSET(AY45,0,-1)+1</f>
        <v>3</v>
      </c>
      <c r="AZ45" s="2431"/>
      <c r="BA45" s="1597">
        <f>OFFSET(BA45,0,-2)+1</f>
        <v>4</v>
      </c>
      <c r="BB45" s="1391">
        <f>OFFSET(BB45,0,-1)</f>
        <v>4</v>
      </c>
      <c r="BC45" s="1597">
        <f>OFFSET(BC45,0,-1)+1</f>
        <v>5</v>
      </c>
      <c r="BD45" s="657"/>
      <c r="BE45" s="657"/>
      <c r="BF45" s="657"/>
      <c r="BG45" s="657"/>
      <c r="BH45" s="657"/>
      <c r="BI45" s="642">
        <v>0</v>
      </c>
    </row>
    <row customHeight="1" ht="22.049999999999997">
      <c r="A46" s="1509" t="s">
        <v>268</v>
      </c>
      <c r="B46" s="1509"/>
      <c r="C46" s="1509"/>
      <c r="D46" s="1509"/>
      <c r="E46" s="2417">
        <v>1</v>
      </c>
      <c r="F46" s="1509"/>
      <c r="G46" s="1509"/>
      <c r="H46" s="1509"/>
      <c r="I46" s="1509"/>
      <c r="J46" s="1509"/>
      <c r="K46" s="1509"/>
      <c r="L46" s="1510"/>
      <c r="M46" s="1511"/>
      <c r="N46" s="1511"/>
      <c r="O46" s="1511"/>
      <c r="P46" s="1555"/>
      <c r="Q46" s="1019"/>
      <c r="R46" s="501"/>
      <c r="S46" s="1603">
        <f>INDEX(PT_DIFFERENTIATION_NUM_NTAR,MATCH(A46,PT_DIFFERENTIATION_NTAR_ID,0))</f>
        <v>0</v>
      </c>
      <c r="T46" s="444" t="s">
        <v>147</v>
      </c>
      <c r="U46" s="446"/>
      <c r="V46" s="2402"/>
      <c r="W46" s="2402"/>
      <c r="X46" s="2402"/>
      <c r="Y46" s="2402"/>
      <c r="Z46" s="2402"/>
      <c r="AA46" s="2402"/>
      <c r="AB46" s="2402"/>
      <c r="AC46" s="2403"/>
      <c r="AD46" s="2401" t="str">
        <f>INDEX(PT_DIFFERENTIATION_NTAR,MATCH(A46,PT_DIFFERENTIATION_NTAR_ID,0))</f>
        <v/>
      </c>
      <c r="AE46" s="2402"/>
      <c r="AF46" s="2402"/>
      <c r="AG46" s="2402"/>
      <c r="AH46" s="2402"/>
      <c r="AI46" s="2402"/>
      <c r="AJ46" s="2402"/>
      <c r="AK46" s="2402"/>
      <c r="AL46" s="2402"/>
      <c r="AM46" s="2402"/>
      <c r="AN46" s="2402"/>
      <c r="AO46" s="2402"/>
      <c r="AP46" s="2402"/>
      <c r="AQ46" s="2402"/>
      <c r="AR46" s="2402"/>
      <c r="AS46" s="2402"/>
      <c r="AT46" s="2402"/>
      <c r="AU46" s="2402"/>
      <c r="AV46" s="2402"/>
      <c r="AW46" s="2402"/>
      <c r="AX46" s="2402"/>
      <c r="AY46" s="2402"/>
      <c r="AZ46" s="2402"/>
      <c r="BA46" s="2402"/>
      <c r="BB46" s="2403"/>
      <c r="BC46"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46"/>
      <c r="BF46" s="646" t="str">
        <f>IF(T46="","",T46)</f>
        <v>Наименование тарифа</v>
      </c>
      <c r="BG46" s="646"/>
      <c r="BH46" s="646"/>
      <c r="BI46" s="1301">
        <v>21</v>
      </c>
    </row>
    <row customHeight="1" ht="22.049999999999997">
      <c r="A47" s="1509" t="s">
        <v>268</v>
      </c>
      <c r="B47" s="1509" t="s">
        <v>269</v>
      </c>
      <c r="C47" s="1509"/>
      <c r="D47" s="1509"/>
      <c r="E47" s="2418"/>
      <c r="F47" s="2417">
        <v>1</v>
      </c>
      <c r="G47" s="1509"/>
      <c r="H47" s="1509"/>
      <c r="I47" s="1509"/>
      <c r="J47" s="1509"/>
      <c r="K47" s="1509"/>
      <c r="L47" s="1510"/>
      <c r="M47" s="1511"/>
      <c r="N47" s="1511"/>
      <c r="O47" s="1511"/>
      <c r="P47" s="1556"/>
      <c r="Q47" s="1557"/>
      <c r="R47" s="499"/>
      <c r="S47" s="1603" t="str">
        <f>INDEX(PT_DIFFERENTIATION_NUM_TER,MATCH(B47,PT_DIFFERENTIATION_TER_ID,0))</f>
        <v>.</v>
      </c>
      <c r="T47" s="454" t="s">
        <v>419</v>
      </c>
      <c r="U47" s="446"/>
      <c r="V47" s="2402"/>
      <c r="W47" s="2402"/>
      <c r="X47" s="2402"/>
      <c r="Y47" s="2402"/>
      <c r="Z47" s="2402"/>
      <c r="AA47" s="2402"/>
      <c r="AB47" s="2402"/>
      <c r="AC47" s="2403"/>
      <c r="AD47" s="2401" t="str">
        <f>INDEX(PT_DIFFERENTIATION_TER,MATCH(B47,PT_DIFFERENTIATION_TER_ID,0))</f>
        <v/>
      </c>
      <c r="AE47" s="2402"/>
      <c r="AF47" s="2402"/>
      <c r="AG47" s="2402"/>
      <c r="AH47" s="2402"/>
      <c r="AI47" s="2402"/>
      <c r="AJ47" s="2402"/>
      <c r="AK47" s="2402"/>
      <c r="AL47" s="2402"/>
      <c r="AM47" s="2402"/>
      <c r="AN47" s="2402"/>
      <c r="AO47" s="2402"/>
      <c r="AP47" s="2402"/>
      <c r="AQ47" s="2402"/>
      <c r="AR47" s="2402"/>
      <c r="AS47" s="2402"/>
      <c r="AT47" s="2402"/>
      <c r="AU47" s="2402"/>
      <c r="AV47" s="2402"/>
      <c r="AW47" s="2402"/>
      <c r="AX47" s="2402"/>
      <c r="AY47" s="2402"/>
      <c r="AZ47" s="2402"/>
      <c r="BA47" s="2402"/>
      <c r="BB47" s="2403"/>
      <c r="BC47" s="1404" t="s">
        <v>420</v>
      </c>
      <c r="BE47" s="646"/>
      <c r="BF47" s="646" t="str">
        <f>IF(T47="","",T47)</f>
        <v>Территория действия тарифа</v>
      </c>
      <c r="BG47" s="646"/>
      <c r="BH47" s="646"/>
      <c r="BI47" s="1301">
        <v>21</v>
      </c>
    </row>
    <row customHeight="1" ht="43.050000000000004">
      <c r="A48" s="1509" t="s">
        <v>268</v>
      </c>
      <c r="B48" s="1509" t="s">
        <v>269</v>
      </c>
      <c r="C48" s="1509" t="s">
        <v>270</v>
      </c>
      <c r="D48" s="1509"/>
      <c r="E48" s="2418"/>
      <c r="F48" s="2418"/>
      <c r="G48" s="2417">
        <v>1</v>
      </c>
      <c r="H48" s="1509"/>
      <c r="I48" s="1509"/>
      <c r="J48" s="1509"/>
      <c r="K48" s="1509"/>
      <c r="L48" s="1510"/>
      <c r="M48" s="1511"/>
      <c r="N48" s="1511"/>
      <c r="O48" s="1511"/>
      <c r="P48" s="1558"/>
      <c r="Q48" s="1557"/>
      <c r="R48" s="499"/>
      <c r="S48" s="1603" t="str">
        <f>INDEX(PT_DIFFERENTIATION_NUM_CS,MATCH(C48,PT_DIFFERENTIATION_CS_ID,0))</f>
        <v>..</v>
      </c>
      <c r="T48" s="455" t="s">
        <v>503</v>
      </c>
      <c r="U48" s="446"/>
      <c r="V48" s="2402"/>
      <c r="W48" s="2402"/>
      <c r="X48" s="2402"/>
      <c r="Y48" s="2402"/>
      <c r="Z48" s="2402"/>
      <c r="AA48" s="2402"/>
      <c r="AB48" s="2402"/>
      <c r="AC48" s="2403"/>
      <c r="AD48" s="2401" t="str">
        <f>INDEX(PT_DIFFERENTIATION_CS,MATCH(C48,PT_DIFFERENTIATION_CS_ID,0))</f>
        <v/>
      </c>
      <c r="AE48" s="2402"/>
      <c r="AF48" s="2402"/>
      <c r="AG48" s="2402"/>
      <c r="AH48" s="2402"/>
      <c r="AI48" s="2402"/>
      <c r="AJ48" s="2402"/>
      <c r="AK48" s="2402"/>
      <c r="AL48" s="2402"/>
      <c r="AM48" s="2402"/>
      <c r="AN48" s="2402"/>
      <c r="AO48" s="2402"/>
      <c r="AP48" s="2402"/>
      <c r="AQ48" s="2402"/>
      <c r="AR48" s="2402"/>
      <c r="AS48" s="2402"/>
      <c r="AT48" s="2402"/>
      <c r="AU48" s="2402"/>
      <c r="AV48" s="2402"/>
      <c r="AW48" s="2402"/>
      <c r="AX48" s="2402"/>
      <c r="AY48" s="2402"/>
      <c r="AZ48" s="2402"/>
      <c r="BA48" s="2402"/>
      <c r="BB48" s="2403"/>
      <c r="BC48" s="1404" t="s">
        <v>504</v>
      </c>
      <c r="BE48" s="646"/>
      <c r="BF48" s="646" t="str">
        <f>IF(T48="","",T48)</f>
        <v>Наименование централизованной системы холодного водоснабжения</v>
      </c>
      <c r="BG48" s="646"/>
      <c r="BH48" s="646"/>
      <c r="BI48" s="1301">
        <v>41</v>
      </c>
    </row>
    <row s="6720" customFormat="1" customHeight="1" ht="0">
      <c r="A49" s="1489" t="s">
        <v>268</v>
      </c>
      <c r="B49" s="1489" t="s">
        <v>269</v>
      </c>
      <c r="C49" s="1489" t="s">
        <v>270</v>
      </c>
      <c r="D49" s="1489" t="s">
        <v>537</v>
      </c>
      <c r="E49" s="2418"/>
      <c r="F49" s="2418"/>
      <c r="G49" s="2418"/>
      <c r="H49" s="2417">
        <v>1</v>
      </c>
      <c r="I49" s="1489"/>
      <c r="J49" s="1489"/>
      <c r="K49" s="1489"/>
      <c r="L49" s="1492"/>
      <c r="M49" s="1461"/>
      <c r="N49" s="1461"/>
      <c r="O49" s="1461"/>
      <c r="P49" s="1643"/>
      <c r="Q49" s="1644"/>
      <c r="R49" s="503"/>
      <c r="S49" s="1188"/>
      <c r="T49" s="1645"/>
      <c r="U49" s="1530"/>
      <c r="V49" s="2456"/>
      <c r="W49" s="2456"/>
      <c r="X49" s="2456"/>
      <c r="Y49" s="2456"/>
      <c r="Z49" s="2456"/>
      <c r="AA49" s="2456"/>
      <c r="AB49" s="2456"/>
      <c r="AC49" s="2457"/>
      <c r="AD49" s="2455"/>
      <c r="AE49" s="2456"/>
      <c r="AF49" s="2456"/>
      <c r="AG49" s="2456"/>
      <c r="AH49" s="2456"/>
      <c r="AI49" s="2456"/>
      <c r="AJ49" s="2456"/>
      <c r="AK49" s="2456"/>
      <c r="AL49" s="2456"/>
      <c r="AM49" s="2456"/>
      <c r="AN49" s="2456"/>
      <c r="AO49" s="2456"/>
      <c r="AP49" s="2456"/>
      <c r="AQ49" s="2456"/>
      <c r="AR49" s="2456"/>
      <c r="AS49" s="2456"/>
      <c r="AT49" s="2456"/>
      <c r="AU49" s="2456"/>
      <c r="AV49" s="2456"/>
      <c r="AW49" s="2456"/>
      <c r="AX49" s="2456"/>
      <c r="AY49" s="2456"/>
      <c r="AZ49" s="2456"/>
      <c r="BA49" s="2456"/>
      <c r="BB49" s="2457"/>
      <c r="BC49" s="1531" t="s">
        <v>424</v>
      </c>
      <c r="BE49" s="646"/>
      <c r="BF49" s="646" t="str">
        <f>IF(T49="","",T49)</f>
        <v/>
      </c>
      <c r="BG49" s="646"/>
      <c r="BH49" s="646"/>
      <c r="BI49" s="657">
        <v>0</v>
      </c>
    </row>
    <row s="6720" customFormat="1" customHeight="1" ht="0">
      <c r="A50" s="1489" t="s">
        <v>268</v>
      </c>
      <c r="B50" s="1489" t="s">
        <v>269</v>
      </c>
      <c r="C50" s="1489" t="s">
        <v>270</v>
      </c>
      <c r="D50" s="1489" t="s">
        <v>537</v>
      </c>
      <c r="E50" s="2418"/>
      <c r="F50" s="2418"/>
      <c r="G50" s="2418"/>
      <c r="H50" s="2418"/>
      <c r="I50" s="2415" t="str">
        <f>S49&amp;".1"</f>
        <v>.1</v>
      </c>
      <c r="J50" s="1489"/>
      <c r="K50" s="1489"/>
      <c r="L50" s="1492" t="s">
        <v>425</v>
      </c>
      <c r="M50" s="656"/>
      <c r="N50" s="656"/>
      <c r="O50" s="656"/>
      <c r="P50" s="2416">
        <v>1</v>
      </c>
      <c r="Q50" s="1608"/>
      <c r="R50" s="502"/>
      <c r="S50" s="1188"/>
      <c r="T50" s="1529"/>
      <c r="U50" s="1530"/>
      <c r="V50" s="2456"/>
      <c r="W50" s="2456"/>
      <c r="X50" s="2456"/>
      <c r="Y50" s="2456"/>
      <c r="Z50" s="2456"/>
      <c r="AA50" s="2456"/>
      <c r="AB50" s="2456"/>
      <c r="AC50" s="2457"/>
      <c r="AD50" s="2455"/>
      <c r="AE50" s="2456"/>
      <c r="AF50" s="2456"/>
      <c r="AG50" s="2456"/>
      <c r="AH50" s="2456"/>
      <c r="AI50" s="2456"/>
      <c r="AJ50" s="2456"/>
      <c r="AK50" s="2456"/>
      <c r="AL50" s="2456"/>
      <c r="AM50" s="2456"/>
      <c r="AN50" s="2456"/>
      <c r="AO50" s="2456"/>
      <c r="AP50" s="2456"/>
      <c r="AQ50" s="2456"/>
      <c r="AR50" s="2456"/>
      <c r="AS50" s="2456"/>
      <c r="AT50" s="2456"/>
      <c r="AU50" s="2456"/>
      <c r="AV50" s="2456"/>
      <c r="AW50" s="2456"/>
      <c r="AX50" s="2456"/>
      <c r="AY50" s="2456"/>
      <c r="AZ50" s="2456"/>
      <c r="BA50" s="2456"/>
      <c r="BB50" s="2457"/>
      <c r="BC50" s="1531"/>
      <c r="BE50" s="646"/>
      <c r="BF50" s="646" t="str">
        <f>IF(T50="","",T50)</f>
        <v/>
      </c>
      <c r="BG50" s="646"/>
      <c r="BH50" s="646"/>
      <c r="BI50" s="657">
        <v>0</v>
      </c>
    </row>
    <row s="6720" customFormat="1" customHeight="1" ht="0">
      <c r="A51" s="1489" t="s">
        <v>268</v>
      </c>
      <c r="B51" s="1489" t="s">
        <v>269</v>
      </c>
      <c r="C51" s="1489" t="s">
        <v>270</v>
      </c>
      <c r="D51" s="1489" t="s">
        <v>537</v>
      </c>
      <c r="E51" s="2418"/>
      <c r="F51" s="2418"/>
      <c r="G51" s="2418"/>
      <c r="H51" s="2418"/>
      <c r="I51" s="2445"/>
      <c r="J51" s="2415" t="str">
        <f>S49&amp;".1"</f>
        <v>.1</v>
      </c>
      <c r="K51" s="1489"/>
      <c r="L51" s="1492"/>
      <c r="M51" s="656"/>
      <c r="N51" s="656"/>
      <c r="O51" s="656"/>
      <c r="P51" s="2416"/>
      <c r="Q51" s="2416">
        <v>1</v>
      </c>
      <c r="R51" s="503"/>
      <c r="S51" s="1188"/>
      <c r="T51" s="1545"/>
      <c r="U51" s="1530"/>
      <c r="V51" s="2456"/>
      <c r="W51" s="2456"/>
      <c r="X51" s="2456"/>
      <c r="Y51" s="2456"/>
      <c r="Z51" s="2456"/>
      <c r="AA51" s="2456"/>
      <c r="AB51" s="2456"/>
      <c r="AC51" s="2457"/>
      <c r="AD51" s="2455"/>
      <c r="AE51" s="2456"/>
      <c r="AF51" s="2456"/>
      <c r="AG51" s="2456"/>
      <c r="AH51" s="2456"/>
      <c r="AI51" s="2456"/>
      <c r="AJ51" s="2456"/>
      <c r="AK51" s="2456"/>
      <c r="AL51" s="2456"/>
      <c r="AM51" s="2456"/>
      <c r="AN51" s="2523"/>
      <c r="AO51" s="2523"/>
      <c r="AP51" s="2456"/>
      <c r="AQ51" s="2456"/>
      <c r="AR51" s="2456"/>
      <c r="AS51" s="2456"/>
      <c r="AT51" s="2456"/>
      <c r="AU51" s="2456"/>
      <c r="AV51" s="2456"/>
      <c r="AW51" s="2456"/>
      <c r="AX51" s="2456"/>
      <c r="AY51" s="2456"/>
      <c r="AZ51" s="2456"/>
      <c r="BA51" s="2456"/>
      <c r="BB51" s="2457"/>
      <c r="BC51" s="1531"/>
      <c r="BE51" s="646"/>
      <c r="BF51" s="646" t="str">
        <f>IF(T51="","",T51)</f>
        <v/>
      </c>
      <c r="BG51" s="646"/>
      <c r="BH51" s="646"/>
      <c r="BI51" s="657">
        <v>0</v>
      </c>
    </row>
    <row customHeight="1" ht="11.549999999999999">
      <c r="A52" s="1509" t="s">
        <v>268</v>
      </c>
      <c r="B52" s="1509" t="s">
        <v>269</v>
      </c>
      <c r="C52" s="1509" t="s">
        <v>270</v>
      </c>
      <c r="D52" s="1509" t="s">
        <v>537</v>
      </c>
      <c r="E52" s="2418"/>
      <c r="F52" s="2418"/>
      <c r="G52" s="2418"/>
      <c r="H52" s="2418"/>
      <c r="I52" s="2445"/>
      <c r="J52" s="2445"/>
      <c r="K52" s="2415" t="str">
        <f>S48&amp;".1"</f>
        <v>...1</v>
      </c>
      <c r="L52" s="1510"/>
      <c r="P52" s="2416"/>
      <c r="Q52" s="2416"/>
      <c r="R52" s="503">
        <v>1</v>
      </c>
      <c r="S52" s="2500" t="str">
        <f>$K52</f>
        <v>...1</v>
      </c>
      <c r="T52" s="2519"/>
      <c r="U52" s="446"/>
      <c r="V52" s="897"/>
      <c r="W52" s="1403"/>
      <c r="X52" s="897"/>
      <c r="Y52" s="1403"/>
      <c r="Z52" s="1879"/>
      <c r="AA52" s="1605" t="s">
        <v>63</v>
      </c>
      <c r="AB52" s="1879"/>
      <c r="AC52" s="1605" t="s">
        <v>63</v>
      </c>
      <c r="AD52" s="2344" t="s">
        <v>63</v>
      </c>
      <c r="AE52" s="2485"/>
      <c r="AF52" s="2364">
        <v>1</v>
      </c>
      <c r="AG52" s="2522"/>
      <c r="AH52" s="2266" t="s">
        <v>63</v>
      </c>
      <c r="AI52" s="2485"/>
      <c r="AJ52" s="2364">
        <v>1</v>
      </c>
      <c r="AK52" s="2486" t="s">
        <v>22</v>
      </c>
      <c r="AL52" s="2266" t="s">
        <v>63</v>
      </c>
      <c r="AM52" s="2351"/>
      <c r="AN52" s="2364">
        <v>1</v>
      </c>
      <c r="AO52" s="2516"/>
      <c r="AP52" s="2517" t="s">
        <v>63</v>
      </c>
      <c r="AQ52" s="457"/>
      <c r="AR52" s="1609">
        <v>1</v>
      </c>
      <c r="AS52" s="1612" t="s">
        <v>22</v>
      </c>
      <c r="AT52" s="897"/>
      <c r="AU52" s="1403"/>
      <c r="AV52" s="897"/>
      <c r="AW52" s="1403"/>
      <c r="AX52" s="1879"/>
      <c r="AY52" s="1605" t="s">
        <v>63</v>
      </c>
      <c r="AZ52" s="1879"/>
      <c r="BA52" s="1605" t="s">
        <v>63</v>
      </c>
      <c r="BB52" s="1494"/>
      <c r="BC52" s="2412" t="s">
        <v>523</v>
      </c>
      <c r="BE52" s="646"/>
      <c r="BF52" s="646" t="str">
        <f>IF(T52="","",T52)</f>
        <v/>
      </c>
      <c r="BG52" s="646"/>
      <c r="BH52" s="646"/>
      <c r="BI52" s="1301">
        <v>11</v>
      </c>
    </row>
    <row customHeight="1" ht="11.549999999999999">
      <c r="A53" s="1509"/>
      <c r="B53" s="1509"/>
      <c r="C53" s="1509"/>
      <c r="D53" s="1509"/>
      <c r="E53" s="2418"/>
      <c r="F53" s="2418"/>
      <c r="G53" s="2418"/>
      <c r="H53" s="2418"/>
      <c r="I53" s="2445"/>
      <c r="J53" s="2445"/>
      <c r="K53" s="2415"/>
      <c r="L53" s="1510"/>
      <c r="P53" s="2416"/>
      <c r="Q53" s="2416"/>
      <c r="R53" s="503"/>
      <c r="S53" s="2501"/>
      <c r="T53" s="2520"/>
      <c r="U53" s="446"/>
      <c r="V53" s="1539"/>
      <c r="W53" s="1642"/>
      <c r="X53" s="1539"/>
      <c r="Y53" s="1642"/>
      <c r="Z53" s="1539"/>
      <c r="AA53" s="1539"/>
      <c r="AB53" s="1539"/>
      <c r="AC53" s="1539"/>
      <c r="AD53" s="2345"/>
      <c r="AE53" s="2485"/>
      <c r="AF53" s="2364"/>
      <c r="AG53" s="2522"/>
      <c r="AH53" s="2266"/>
      <c r="AI53" s="2485"/>
      <c r="AJ53" s="2364"/>
      <c r="AK53" s="2486"/>
      <c r="AL53" s="2266"/>
      <c r="AM53" s="2359"/>
      <c r="AN53" s="2364"/>
      <c r="AO53" s="2516"/>
      <c r="AP53" s="2518"/>
      <c r="AQ53" s="462"/>
      <c r="AR53" s="562"/>
      <c r="AS53" s="562" t="s">
        <v>524</v>
      </c>
      <c r="AT53" s="1539"/>
      <c r="AU53" s="1642"/>
      <c r="AV53" s="1539"/>
      <c r="AW53" s="1642"/>
      <c r="AX53" s="1539"/>
      <c r="AY53" s="1539"/>
      <c r="AZ53" s="1539"/>
      <c r="BA53" s="1539"/>
      <c r="BB53" s="1543"/>
      <c r="BC53" s="2413"/>
      <c r="BE53" s="646"/>
      <c r="BF53" s="646"/>
      <c r="BG53" s="646"/>
      <c r="BH53" s="646"/>
      <c r="BI53" s="1301">
        <v>11</v>
      </c>
    </row>
    <row customHeight="1" ht="11.549999999999999">
      <c r="A54" s="1509" t="s">
        <v>268</v>
      </c>
      <c r="B54" s="1509"/>
      <c r="C54" s="1509"/>
      <c r="D54" s="1509"/>
      <c r="E54" s="2418"/>
      <c r="F54" s="2418"/>
      <c r="G54" s="2418"/>
      <c r="H54" s="2418"/>
      <c r="I54" s="2445"/>
      <c r="J54" s="2445"/>
      <c r="K54" s="2415"/>
      <c r="L54" s="1510"/>
      <c r="P54" s="2416"/>
      <c r="Q54" s="2416"/>
      <c r="R54" s="503"/>
      <c r="S54" s="2501"/>
      <c r="T54" s="2520"/>
      <c r="U54" s="446"/>
      <c r="V54" s="1539"/>
      <c r="W54" s="1642"/>
      <c r="X54" s="1539"/>
      <c r="Y54" s="1642"/>
      <c r="Z54" s="1539"/>
      <c r="AA54" s="1539"/>
      <c r="AB54" s="1539"/>
      <c r="AC54" s="1539"/>
      <c r="AD54" s="2345"/>
      <c r="AE54" s="2485"/>
      <c r="AF54" s="2364"/>
      <c r="AG54" s="2522"/>
      <c r="AH54" s="2266"/>
      <c r="AI54" s="2485"/>
      <c r="AJ54" s="2364"/>
      <c r="AK54" s="2486"/>
      <c r="AL54" s="2266"/>
      <c r="AM54" s="462"/>
      <c r="AN54" s="1646"/>
      <c r="AO54" s="1646" t="s">
        <v>525</v>
      </c>
      <c r="AP54" s="562"/>
      <c r="AQ54" s="562"/>
      <c r="AR54" s="562"/>
      <c r="AS54" s="1539"/>
      <c r="AT54" s="1539"/>
      <c r="AU54" s="1642"/>
      <c r="AV54" s="1539"/>
      <c r="AW54" s="1642"/>
      <c r="AX54" s="1539"/>
      <c r="AY54" s="1539"/>
      <c r="AZ54" s="1539"/>
      <c r="BA54" s="1539"/>
      <c r="BB54" s="1543"/>
      <c r="BC54" s="2413"/>
      <c r="BE54" s="646"/>
      <c r="BF54" s="646"/>
      <c r="BG54" s="646"/>
      <c r="BH54" s="646"/>
      <c r="BI54" s="1301">
        <v>11</v>
      </c>
    </row>
    <row customHeight="1" ht="11.549999999999999">
      <c r="A55" s="1509" t="s">
        <v>268</v>
      </c>
      <c r="B55" s="1509"/>
      <c r="C55" s="1509"/>
      <c r="D55" s="1509"/>
      <c r="E55" s="2418"/>
      <c r="F55" s="2418"/>
      <c r="G55" s="2418"/>
      <c r="H55" s="2418"/>
      <c r="I55" s="2445"/>
      <c r="J55" s="2445"/>
      <c r="K55" s="2415"/>
      <c r="L55" s="1510"/>
      <c r="P55" s="2416"/>
      <c r="Q55" s="2416"/>
      <c r="R55" s="503"/>
      <c r="S55" s="2501"/>
      <c r="T55" s="2520"/>
      <c r="U55" s="446"/>
      <c r="V55" s="1539"/>
      <c r="W55" s="1642"/>
      <c r="X55" s="1539"/>
      <c r="Y55" s="1642"/>
      <c r="Z55" s="1539"/>
      <c r="AA55" s="1539"/>
      <c r="AB55" s="1539"/>
      <c r="AC55" s="1539"/>
      <c r="AD55" s="2345"/>
      <c r="AE55" s="2485"/>
      <c r="AF55" s="2364"/>
      <c r="AG55" s="2522"/>
      <c r="AH55" s="2266"/>
      <c r="AI55" s="440"/>
      <c r="AJ55" s="561"/>
      <c r="AK55" s="459" t="s">
        <v>526</v>
      </c>
      <c r="AL55" s="1539"/>
      <c r="AM55" s="1539"/>
      <c r="AN55" s="1539"/>
      <c r="AO55" s="1539"/>
      <c r="AP55" s="1539"/>
      <c r="AQ55" s="1539"/>
      <c r="AR55" s="1539"/>
      <c r="AS55" s="1539"/>
      <c r="AT55" s="1539"/>
      <c r="AU55" s="1642"/>
      <c r="AV55" s="1539"/>
      <c r="AW55" s="1642"/>
      <c r="AX55" s="1539"/>
      <c r="AY55" s="1539"/>
      <c r="AZ55" s="1539"/>
      <c r="BA55" s="1539"/>
      <c r="BB55" s="1543"/>
      <c r="BC55" s="2413"/>
      <c r="BE55" s="646"/>
      <c r="BF55" s="646"/>
      <c r="BG55" s="646"/>
      <c r="BH55" s="646"/>
      <c r="BI55" s="1301">
        <v>11</v>
      </c>
    </row>
    <row customHeight="1" ht="11.549999999999999">
      <c r="A56" s="1509" t="s">
        <v>268</v>
      </c>
      <c r="B56" s="1509" t="s">
        <v>269</v>
      </c>
      <c r="C56" s="1509" t="s">
        <v>270</v>
      </c>
      <c r="D56" s="1509" t="s">
        <v>537</v>
      </c>
      <c r="E56" s="2418"/>
      <c r="F56" s="2418"/>
      <c r="G56" s="2418"/>
      <c r="H56" s="2418"/>
      <c r="I56" s="2445"/>
      <c r="J56" s="2445"/>
      <c r="K56" s="2415"/>
      <c r="L56" s="1510"/>
      <c r="P56" s="2416"/>
      <c r="Q56" s="2416"/>
      <c r="R56" s="503"/>
      <c r="S56" s="2502"/>
      <c r="T56" s="2521"/>
      <c r="U56" s="446"/>
      <c r="V56" s="1539"/>
      <c r="W56" s="1540" t="str">
        <f>Z52&amp;"-"&amp;AB52</f>
        <v>-</v>
      </c>
      <c r="X56" s="1539"/>
      <c r="Y56" s="1540" t="str">
        <f>AB52&amp;"-"&amp;AD52</f>
        <v>-да</v>
      </c>
      <c r="Z56" s="1539"/>
      <c r="AA56" s="1539"/>
      <c r="AB56" s="1539"/>
      <c r="AC56" s="1539"/>
      <c r="AD56" s="2271"/>
      <c r="AE56" s="458"/>
      <c r="AF56" s="460"/>
      <c r="AG56" s="562" t="s">
        <v>527</v>
      </c>
      <c r="AH56" s="1539"/>
      <c r="AI56" s="1539"/>
      <c r="AJ56" s="1539"/>
      <c r="AK56" s="1539"/>
      <c r="AL56" s="1539"/>
      <c r="AM56" s="1539"/>
      <c r="AN56" s="1539"/>
      <c r="AO56" s="1539"/>
      <c r="AP56" s="1539"/>
      <c r="AQ56" s="1539"/>
      <c r="AR56" s="1539"/>
      <c r="AS56" s="1539"/>
      <c r="AT56" s="1539"/>
      <c r="AU56" s="1540" t="str">
        <f>AX52&amp;"-"&amp;AZ52</f>
        <v>-</v>
      </c>
      <c r="AV56" s="1539"/>
      <c r="AW56" s="1540" t="str">
        <f>AZ52&amp;"-"&amp;BB52</f>
        <v>-</v>
      </c>
      <c r="AX56" s="1539"/>
      <c r="AY56" s="1539"/>
      <c r="AZ56" s="1539"/>
      <c r="BA56" s="1539"/>
      <c r="BB56" s="1542" t="str">
        <f>BE52&amp;"-"&amp;BG52</f>
        <v>-</v>
      </c>
      <c r="BC56" s="2413"/>
      <c r="BE56" s="646"/>
      <c r="BF56" s="646" t="str">
        <f>IF(T56="","",T56)</f>
        <v/>
      </c>
      <c r="BG56" s="646"/>
      <c r="BH56" s="646"/>
      <c r="BI56" s="1301">
        <v>11</v>
      </c>
    </row>
    <row customHeight="1" ht="11.549999999999999">
      <c r="A57" s="1509" t="s">
        <v>268</v>
      </c>
      <c r="B57" s="1509" t="s">
        <v>269</v>
      </c>
      <c r="C57" s="1509" t="s">
        <v>270</v>
      </c>
      <c r="D57" s="1509" t="s">
        <v>537</v>
      </c>
      <c r="E57" s="2418"/>
      <c r="F57" s="2418"/>
      <c r="G57" s="2418"/>
      <c r="H57" s="2418"/>
      <c r="I57" s="2445"/>
      <c r="J57" s="2415"/>
      <c r="K57" s="1509"/>
      <c r="L57" s="1510"/>
      <c r="P57" s="2416"/>
      <c r="Q57" s="2416"/>
      <c r="R57" s="502"/>
      <c r="S57" s="1424"/>
      <c r="T57" s="433" t="s">
        <v>490</v>
      </c>
      <c r="U57" s="513"/>
      <c r="V57" s="513"/>
      <c r="W57" s="513"/>
      <c r="X57" s="513"/>
      <c r="Y57" s="513"/>
      <c r="Z57" s="513"/>
      <c r="AA57" s="513"/>
      <c r="AB57" s="513"/>
      <c r="AC57" s="470"/>
      <c r="AD57" s="1651"/>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470"/>
      <c r="BC57" s="2414"/>
      <c r="BE57" s="646"/>
      <c r="BF57" s="646" t="str">
        <f>IF(T57="","",T57)</f>
        <v>Добавить строку</v>
      </c>
      <c r="BG57" s="646"/>
      <c r="BH57" s="646"/>
      <c r="BI57" s="1301">
        <v>11</v>
      </c>
    </row>
    <row s="6720" customFormat="1" customHeight="1" ht="0">
      <c r="A58" s="1489" t="s">
        <v>268</v>
      </c>
      <c r="B58" s="1489" t="s">
        <v>269</v>
      </c>
      <c r="C58" s="1489" t="s">
        <v>270</v>
      </c>
      <c r="D58" s="1489" t="s">
        <v>537</v>
      </c>
      <c r="E58" s="2418"/>
      <c r="F58" s="2418"/>
      <c r="G58" s="2418"/>
      <c r="H58" s="2418"/>
      <c r="I58" s="2415"/>
      <c r="J58" s="1489"/>
      <c r="K58" s="1489"/>
      <c r="L58" s="1492"/>
      <c r="M58" s="656"/>
      <c r="N58" s="656"/>
      <c r="O58" s="656"/>
      <c r="P58" s="2416"/>
      <c r="Q58" s="1608"/>
      <c r="R58" s="502"/>
      <c r="S58" s="1532"/>
      <c r="T58" s="1533"/>
      <c r="U58" s="1534"/>
      <c r="V58" s="1534"/>
      <c r="W58" s="1534"/>
      <c r="X58" s="1534"/>
      <c r="Y58" s="1534"/>
      <c r="Z58" s="1534"/>
      <c r="AA58" s="1534"/>
      <c r="AB58" s="1534"/>
      <c r="AC58" s="1534"/>
      <c r="AD58" s="1534"/>
      <c r="AE58" s="1534"/>
      <c r="AF58" s="1534"/>
      <c r="AG58" s="1534"/>
      <c r="AH58" s="1534"/>
      <c r="AI58" s="1534"/>
      <c r="AJ58" s="1534"/>
      <c r="AK58" s="1534"/>
      <c r="AL58" s="1534"/>
      <c r="AM58" s="1534"/>
      <c r="AN58" s="1534"/>
      <c r="AO58" s="1534"/>
      <c r="AP58" s="1534"/>
      <c r="AQ58" s="1534"/>
      <c r="AR58" s="1534"/>
      <c r="AS58" s="1534"/>
      <c r="AT58" s="1534"/>
      <c r="AU58" s="1534"/>
      <c r="AV58" s="1534"/>
      <c r="AW58" s="1534"/>
      <c r="AX58" s="1534"/>
      <c r="AY58" s="1534"/>
      <c r="AZ58" s="1534"/>
      <c r="BA58" s="1534"/>
      <c r="BB58" s="1534"/>
      <c r="BC58" s="1535"/>
      <c r="BE58" s="646"/>
      <c r="BF58" s="646" t="str">
        <f>IF(T58="","",T58)</f>
        <v/>
      </c>
      <c r="BG58" s="646"/>
      <c r="BH58" s="646"/>
      <c r="BI58" s="657">
        <v>0</v>
      </c>
    </row>
    <row s="6720" customFormat="1" customHeight="1" ht="0">
      <c r="A59" s="1489" t="s">
        <v>268</v>
      </c>
      <c r="B59" s="1489" t="s">
        <v>269</v>
      </c>
      <c r="C59" s="1489" t="s">
        <v>270</v>
      </c>
      <c r="D59" s="1489" t="s">
        <v>537</v>
      </c>
      <c r="E59" s="2418"/>
      <c r="F59" s="2418"/>
      <c r="G59" s="2418"/>
      <c r="H59" s="2417"/>
      <c r="I59" s="1489"/>
      <c r="J59" s="1489"/>
      <c r="K59" s="1489"/>
      <c r="L59" s="1492"/>
      <c r="M59" s="1461"/>
      <c r="N59" s="1461"/>
      <c r="O59" s="664"/>
      <c r="P59" s="526"/>
      <c r="Q59" s="1490"/>
      <c r="R59" s="1547"/>
      <c r="S59" s="1532"/>
      <c r="T59" s="1533"/>
      <c r="U59" s="1534"/>
      <c r="V59" s="1534"/>
      <c r="W59" s="1534"/>
      <c r="X59" s="1534"/>
      <c r="Y59" s="1534"/>
      <c r="Z59" s="1534"/>
      <c r="AA59" s="1534"/>
      <c r="AB59" s="1534"/>
      <c r="AC59" s="1534"/>
      <c r="AD59" s="1534"/>
      <c r="AE59" s="1534"/>
      <c r="AF59" s="1534"/>
      <c r="AG59" s="1534"/>
      <c r="AH59" s="1534"/>
      <c r="AI59" s="1534"/>
      <c r="AJ59" s="1534"/>
      <c r="AK59" s="1534"/>
      <c r="AL59" s="1534"/>
      <c r="AM59" s="1534"/>
      <c r="AN59" s="1534"/>
      <c r="AO59" s="1534"/>
      <c r="AP59" s="1534"/>
      <c r="AQ59" s="1534"/>
      <c r="AR59" s="1534"/>
      <c r="AS59" s="1534"/>
      <c r="AT59" s="1534"/>
      <c r="AU59" s="1534"/>
      <c r="AV59" s="1534"/>
      <c r="AW59" s="1534"/>
      <c r="AX59" s="1534"/>
      <c r="AY59" s="1534"/>
      <c r="AZ59" s="1534"/>
      <c r="BA59" s="1534"/>
      <c r="BB59" s="1534"/>
      <c r="BC59" s="1535"/>
      <c r="BE59" s="646"/>
      <c r="BF59" s="646" t="str">
        <f>IF(T59="","",T59)</f>
        <v/>
      </c>
      <c r="BG59" s="646"/>
      <c r="BH59" s="646"/>
      <c r="BI59" s="657">
        <v>0</v>
      </c>
    </row>
    <row s="6720" customFormat="1" customHeight="1" ht="0">
      <c r="A60" s="1489" t="s">
        <v>268</v>
      </c>
      <c r="B60" s="1489" t="s">
        <v>269</v>
      </c>
      <c r="C60" s="1489" t="s">
        <v>270</v>
      </c>
      <c r="D60" s="1460"/>
      <c r="E60" s="2418"/>
      <c r="F60" s="2418"/>
      <c r="G60" s="2417"/>
      <c r="H60" s="1460"/>
      <c r="I60" s="1460"/>
      <c r="J60" s="1460"/>
      <c r="K60" s="1460"/>
      <c r="L60" s="1610"/>
      <c r="M60" s="1461"/>
      <c r="N60" s="1461"/>
      <c r="P60" s="1462"/>
      <c r="Q60" s="1463"/>
      <c r="R60" s="1462"/>
      <c r="S60" s="1468"/>
      <c r="T60" s="1471"/>
      <c r="U60" s="1470"/>
      <c r="V60" s="1470"/>
      <c r="W60" s="1470"/>
      <c r="X60" s="1470"/>
      <c r="Y60" s="1470"/>
      <c r="Z60" s="1470"/>
      <c r="AA60" s="1470"/>
      <c r="AB60" s="1470"/>
      <c r="AC60" s="1470"/>
      <c r="AD60" s="1470"/>
      <c r="AE60" s="1470"/>
      <c r="AF60" s="1470"/>
      <c r="AG60" s="1470"/>
      <c r="AH60" s="1470"/>
      <c r="AI60" s="1470"/>
      <c r="AJ60" s="1470"/>
      <c r="AK60" s="1470"/>
      <c r="AL60" s="1470"/>
      <c r="AM60" s="1470"/>
      <c r="AN60" s="1470"/>
      <c r="AO60" s="1470"/>
      <c r="AP60" s="1470"/>
      <c r="AQ60" s="1470"/>
      <c r="AR60" s="1470"/>
      <c r="AS60" s="1470"/>
      <c r="AT60" s="1470"/>
      <c r="AU60" s="1470"/>
      <c r="AV60" s="1470"/>
      <c r="AW60" s="1470"/>
      <c r="AX60" s="1470"/>
      <c r="AY60" s="1470"/>
      <c r="AZ60" s="1470"/>
      <c r="BA60" s="1470"/>
      <c r="BB60" s="1470"/>
      <c r="BC60" s="1470"/>
      <c r="BE60" s="935"/>
      <c r="BF60" s="935" t="str">
        <f>IF(T60="","",T60)</f>
        <v/>
      </c>
      <c r="BG60" s="935"/>
      <c r="BH60" s="935"/>
      <c r="BI60" s="664">
        <v>0</v>
      </c>
    </row>
    <row s="6720" customFormat="1" customHeight="1" ht="0">
      <c r="A61" s="1489" t="s">
        <v>268</v>
      </c>
      <c r="B61" s="1489" t="s">
        <v>269</v>
      </c>
      <c r="C61" s="1460"/>
      <c r="D61" s="1460"/>
      <c r="E61" s="2418"/>
      <c r="F61" s="2417"/>
      <c r="G61" s="1460"/>
      <c r="H61" s="1460"/>
      <c r="I61" s="1460"/>
      <c r="J61" s="1460"/>
      <c r="K61" s="1460"/>
      <c r="L61" s="1610"/>
      <c r="M61" s="1467"/>
      <c r="N61" s="1467"/>
      <c r="P61" s="1462"/>
      <c r="Q61" s="1463"/>
      <c r="R61" s="1462"/>
      <c r="S61" s="1468"/>
      <c r="T61" s="1471" t="s">
        <v>437</v>
      </c>
      <c r="U61" s="1470"/>
      <c r="V61" s="1470"/>
      <c r="W61" s="1470"/>
      <c r="X61" s="1470"/>
      <c r="Y61" s="1470"/>
      <c r="Z61" s="1470"/>
      <c r="AA61" s="1470"/>
      <c r="AB61" s="1470"/>
      <c r="AC61" s="1470"/>
      <c r="AD61" s="1470"/>
      <c r="AE61" s="1470"/>
      <c r="AF61" s="1470"/>
      <c r="AG61" s="1470"/>
      <c r="AH61" s="1470"/>
      <c r="AI61" s="1470"/>
      <c r="AJ61" s="1470"/>
      <c r="AK61" s="1470"/>
      <c r="AL61" s="1470"/>
      <c r="AM61" s="1470"/>
      <c r="AN61" s="1470"/>
      <c r="AO61" s="1470"/>
      <c r="AP61" s="1470"/>
      <c r="AQ61" s="1470"/>
      <c r="AR61" s="1470"/>
      <c r="AS61" s="1470"/>
      <c r="AT61" s="1470"/>
      <c r="AU61" s="1470"/>
      <c r="AV61" s="1470"/>
      <c r="AW61" s="1470"/>
      <c r="AX61" s="1470"/>
      <c r="AY61" s="1470"/>
      <c r="AZ61" s="1470"/>
      <c r="BA61" s="1470"/>
      <c r="BB61" s="1470"/>
      <c r="BC61" s="1470"/>
      <c r="BE61" s="935"/>
      <c r="BF61" s="935" t="str">
        <f>IF(T61="","",T61)</f>
        <v>Добавить централизованную систему для дифференциации</v>
      </c>
      <c r="BG61" s="935"/>
      <c r="BH61" s="935"/>
      <c r="BI61" s="664">
        <v>0</v>
      </c>
    </row>
    <row s="6720" customFormat="1" customHeight="1" ht="0">
      <c r="A62" s="1489" t="s">
        <v>268</v>
      </c>
      <c r="B62" s="1489"/>
      <c r="C62" s="1489"/>
      <c r="D62" s="1489"/>
      <c r="E62" s="2417"/>
      <c r="F62" s="1489"/>
      <c r="G62" s="1489"/>
      <c r="H62" s="1489"/>
      <c r="I62" s="1489"/>
      <c r="J62" s="1489"/>
      <c r="K62" s="1489"/>
      <c r="L62" s="1492"/>
      <c r="M62" s="1467"/>
      <c r="N62" s="1467"/>
      <c r="O62" s="664"/>
      <c r="P62" s="526"/>
      <c r="Q62" s="1490"/>
      <c r="R62" s="526"/>
      <c r="S62" s="1468"/>
      <c r="T62" s="1471" t="s">
        <v>438</v>
      </c>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70"/>
      <c r="AW62" s="1470"/>
      <c r="AX62" s="1470"/>
      <c r="AY62" s="1470"/>
      <c r="AZ62" s="1470"/>
      <c r="BA62" s="1470"/>
      <c r="BB62" s="1470"/>
      <c r="BC62" s="1470"/>
      <c r="BE62" s="646"/>
      <c r="BF62" s="646" t="str">
        <f>IF(T62="","",T62)</f>
        <v>Добавить территорию для дифференциации</v>
      </c>
      <c r="BG62" s="646"/>
      <c r="BH62" s="646"/>
      <c r="BI62" s="657">
        <v>0</v>
      </c>
    </row>
    <row s="6720" customFormat="1" customHeight="1" ht="0">
      <c r="A63" s="1460"/>
      <c r="B63" s="1460"/>
      <c r="C63" s="1460"/>
      <c r="D63" s="1460"/>
      <c r="E63" s="1489"/>
      <c r="F63" s="1460"/>
      <c r="G63" s="1460"/>
      <c r="H63" s="1460"/>
      <c r="I63" s="1460"/>
      <c r="J63" s="1460"/>
      <c r="K63" s="1460"/>
      <c r="L63" s="1610"/>
      <c r="M63" s="1467"/>
      <c r="N63" s="1467"/>
      <c r="P63" s="1462"/>
      <c r="Q63" s="1463"/>
      <c r="R63" s="1462"/>
      <c r="S63" s="1468"/>
      <c r="T63" s="1471" t="s">
        <v>470</v>
      </c>
      <c r="U63" s="1470"/>
      <c r="V63" s="1470"/>
      <c r="W63" s="1470"/>
      <c r="X63" s="1470"/>
      <c r="Y63" s="1470"/>
      <c r="Z63" s="1470"/>
      <c r="AA63" s="1470"/>
      <c r="AB63" s="1470"/>
      <c r="AC63" s="1470"/>
      <c r="AD63" s="1470"/>
      <c r="AE63" s="1470"/>
      <c r="AF63" s="1470"/>
      <c r="AG63" s="1470"/>
      <c r="AH63" s="1470"/>
      <c r="AI63" s="1470"/>
      <c r="AJ63" s="1470"/>
      <c r="AK63" s="1470"/>
      <c r="AL63" s="1470"/>
      <c r="AM63" s="1470"/>
      <c r="AN63" s="1470"/>
      <c r="AO63" s="1470"/>
      <c r="AP63" s="1470"/>
      <c r="AQ63" s="1470"/>
      <c r="AR63" s="1470"/>
      <c r="AS63" s="1470"/>
      <c r="AT63" s="1470"/>
      <c r="AU63" s="1470"/>
      <c r="AV63" s="1470"/>
      <c r="AW63" s="1470"/>
      <c r="AX63" s="1470"/>
      <c r="AY63" s="1470"/>
      <c r="AZ63" s="1470"/>
      <c r="BA63" s="1470"/>
      <c r="BB63" s="1470"/>
      <c r="BC63" s="1470"/>
      <c r="BE63" s="935"/>
      <c r="BF63" s="935" t="str">
        <f>IF(T63="","",T63)</f>
        <v>Добавить наименование тарифа</v>
      </c>
      <c r="BG63" s="935"/>
      <c r="BH63" s="935"/>
      <c r="BI63" s="664">
        <v>0</v>
      </c>
    </row>
    <row customHeight="1" ht="11.549999999999999">
      <c r="M64" s="1306"/>
      <c r="N64" s="1306"/>
      <c r="O64" s="683"/>
      <c r="P64" s="1306"/>
      <c r="Q64" s="1306"/>
      <c r="R64" s="1301"/>
      <c r="S64" s="1301"/>
      <c r="BD64" s="1301"/>
      <c r="BE64" s="1301"/>
      <c r="BF64" s="1301"/>
      <c r="BG64" s="1301"/>
      <c r="BH64" s="1301"/>
      <c r="BI64" s="1301">
        <v>11</v>
      </c>
    </row>
    <row customHeight="1" ht="19.95">
      <c r="O65" s="683"/>
      <c r="S65" s="1399"/>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c r="AS65" s="2444"/>
      <c r="AT65" s="2444"/>
      <c r="AU65" s="2444"/>
      <c r="AV65" s="2444"/>
      <c r="AW65" s="2444"/>
      <c r="AX65" s="2444"/>
      <c r="AY65" s="2444"/>
      <c r="AZ65" s="2444"/>
      <c r="BA65" s="2444"/>
      <c r="BB65" s="2444"/>
      <c r="BC65" s="2444"/>
      <c r="BI65" s="1301">
        <v>19</v>
      </c>
    </row>
    <row customHeight="1" ht="14.699999999999998">
      <c r="O66" s="683"/>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I66" s="1301">
        <v>14</v>
      </c>
    </row>
    <row customHeight="1" ht="19.95">
      <c r="O67" s="683"/>
      <c r="S67" s="1399"/>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c r="AS67" s="2444"/>
      <c r="AT67" s="2444"/>
      <c r="AU67" s="2444"/>
      <c r="AV67" s="2444"/>
      <c r="AW67" s="2444"/>
      <c r="AX67" s="2444"/>
      <c r="AY67" s="2444"/>
      <c r="AZ67" s="2444"/>
      <c r="BA67" s="2444"/>
      <c r="BB67" s="2444"/>
      <c r="BC67" s="2444"/>
      <c r="BI67" s="1301">
        <v>19</v>
      </c>
    </row>
    <row customHeight="1" ht="14.699999999999998">
      <c r="O68" s="683"/>
      <c r="BI68" s="1301">
        <v>14</v>
      </c>
    </row>
    <row customHeight="1" ht="14.25" hidden="1">
      <c r="A69" s="1306" t="s">
        <v>83</v>
      </c>
      <c r="B69" s="1306">
        <v>0</v>
      </c>
      <c r="C69" s="1306">
        <v>0</v>
      </c>
      <c r="D69" s="1306">
        <v>0</v>
      </c>
      <c r="E69" s="1306">
        <v>0</v>
      </c>
      <c r="F69" s="1306">
        <v>0</v>
      </c>
      <c r="G69" s="1306">
        <v>0</v>
      </c>
      <c r="H69" s="1306">
        <v>0</v>
      </c>
      <c r="I69" s="1306">
        <v>0</v>
      </c>
      <c r="J69" s="1306">
        <v>0</v>
      </c>
      <c r="K69" s="1306">
        <v>0</v>
      </c>
      <c r="L69" s="1607">
        <v>0</v>
      </c>
      <c r="M69" s="1508">
        <v>0</v>
      </c>
      <c r="N69" s="1508">
        <v>0</v>
      </c>
      <c r="O69" s="1508">
        <v>0</v>
      </c>
      <c r="P69" s="1508">
        <v>0</v>
      </c>
      <c r="Q69" s="1517">
        <v>0</v>
      </c>
      <c r="R69" s="490">
        <v>3</v>
      </c>
      <c r="S69" s="727">
        <v>12</v>
      </c>
      <c r="T69" s="1301">
        <v>31</v>
      </c>
      <c r="U69" s="1301">
        <v>0</v>
      </c>
      <c r="V69" s="1301">
        <v>0</v>
      </c>
      <c r="W69" s="1301">
        <v>0</v>
      </c>
      <c r="X69" s="1301">
        <v>0</v>
      </c>
      <c r="Y69" s="1301">
        <v>0</v>
      </c>
      <c r="Z69" s="1301">
        <v>0</v>
      </c>
      <c r="AA69" s="1301">
        <v>0</v>
      </c>
      <c r="AB69" s="1301">
        <v>0</v>
      </c>
      <c r="AC69" s="1301">
        <v>0</v>
      </c>
      <c r="AD69" s="1301">
        <v>3</v>
      </c>
      <c r="AE69" s="1301">
        <v>3</v>
      </c>
      <c r="AF69" s="1301">
        <v>3</v>
      </c>
      <c r="AG69" s="1301">
        <v>24</v>
      </c>
      <c r="AH69" s="1301">
        <v>3</v>
      </c>
      <c r="AI69" s="1301">
        <v>3</v>
      </c>
      <c r="AJ69" s="1301">
        <v>3</v>
      </c>
      <c r="AK69" s="1301">
        <v>24</v>
      </c>
      <c r="AL69" s="1301">
        <v>3</v>
      </c>
      <c r="AM69" s="1301">
        <v>3</v>
      </c>
      <c r="AN69" s="1301">
        <v>3</v>
      </c>
      <c r="AO69" s="1301">
        <v>18</v>
      </c>
      <c r="AP69" s="1301">
        <v>3</v>
      </c>
      <c r="AQ69" s="1301">
        <v>3</v>
      </c>
      <c r="AR69" s="1301">
        <v>3</v>
      </c>
      <c r="AS69" s="1301">
        <v>18</v>
      </c>
      <c r="AT69" s="1301">
        <v>21</v>
      </c>
      <c r="AU69" s="1301">
        <v>21</v>
      </c>
      <c r="AV69" s="1301">
        <v>21</v>
      </c>
      <c r="AW69" s="1301">
        <v>21</v>
      </c>
      <c r="AX69" s="1301">
        <v>11</v>
      </c>
      <c r="AY69" s="1301">
        <v>3</v>
      </c>
      <c r="AZ69" s="1301">
        <v>11</v>
      </c>
      <c r="BA69" s="1301">
        <v>0</v>
      </c>
      <c r="BB69" s="1301">
        <v>4</v>
      </c>
      <c r="BC69" s="1301">
        <v>115</v>
      </c>
      <c r="BD69" s="657">
        <v>10</v>
      </c>
      <c r="BE69" s="657">
        <v>10</v>
      </c>
      <c r="BF69" s="657">
        <v>10</v>
      </c>
      <c r="BG69" s="657">
        <v>10</v>
      </c>
      <c r="BH69" s="657">
        <v>10</v>
      </c>
      <c r="BI69" s="1301">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CB626C-7411-6CD1-635F-0.94FF2A0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4" style="7235" width="24.7109375" hidden="1" customWidth="1"/>
    <col min="25" max="25" style="7235" width="11.7109375" hidden="1" customWidth="1"/>
    <col min="26" max="26" style="7235" width="3.7109375" hidden="1" customWidth="1"/>
    <col min="27" max="27" style="7235" width="11.7109375" hidden="1" customWidth="1"/>
    <col min="28" max="28" style="7235" width="8.57421875" hidden="1" customWidth="1"/>
    <col min="29" max="29" style="7235" width="24.7109375" customWidth="1"/>
    <col min="30" max="31" style="7235" width="24.00390625" customWidth="1"/>
    <col min="32" max="32" style="7235" width="11.00390625" customWidth="1"/>
    <col min="33" max="33" style="7235" width="3.7109375" customWidth="1"/>
    <col min="34" max="34" style="7235" width="11.00390625" customWidth="1"/>
    <col min="35" max="35" style="7235" width="8.57421875" hidden="1" customWidth="1"/>
    <col min="36" max="36" style="7235" width="4.00390625" customWidth="1"/>
    <col min="37" max="37" style="7235" width="115.00390625" customWidth="1"/>
    <col min="38" max="42" style="6720" width="10.00390625" customWidth="1"/>
    <col min="43" max="43" style="7235" width="10.57421875" hidden="1"/>
  </cols>
  <sheetData>
    <row customHeight="1" ht="22.5" hidden="1">
      <c r="X1" s="473"/>
      <c r="Y1" s="473"/>
      <c r="AE1" s="473"/>
      <c r="AF1" s="473"/>
      <c r="AQ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639">
        <f>INDEX(PT_DIFFERENTIATION_NUM_NTAR,MATCH(A2,PT_DIFFERENTIATION_NTAR_ID,0))</f>
      </c>
      <c r="T2" s="444" t="s">
        <v>147</v>
      </c>
      <c r="U2" s="446"/>
      <c r="V2" s="2401"/>
      <c r="W2" s="2402"/>
      <c r="X2" s="2402"/>
      <c r="Y2" s="2402"/>
      <c r="Z2" s="2402"/>
      <c r="AA2" s="2402"/>
      <c r="AB2" s="2403"/>
      <c r="AC2" s="2401">
        <f>INDEX(PT_DIFFERENTIATION_NTAR,MATCH(A2,PT_DIFFERENTIATION_NTAR_ID,0))</f>
      </c>
      <c r="AD2" s="2402"/>
      <c r="AE2" s="2402"/>
      <c r="AF2" s="2402"/>
      <c r="AG2" s="2402"/>
      <c r="AH2" s="2402"/>
      <c r="AI2" s="2402"/>
      <c r="AJ2" s="2403"/>
      <c r="AK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46"/>
      <c r="AN2" s="646" t="str">
        <f>IF(T2="","",T2)</f>
        <v>Наименование тарифа</v>
      </c>
      <c r="AO2" s="646"/>
      <c r="AP2" s="646"/>
      <c r="AQ2" s="1301">
        <v>0</v>
      </c>
    </row>
    <row customHeight="1" ht="23.25" hidden="1">
      <c r="A3" s="1509"/>
      <c r="B3" s="1509"/>
      <c r="C3" s="1509"/>
      <c r="D3" s="1509"/>
      <c r="E3" s="2418"/>
      <c r="F3" s="2417">
        <v>1</v>
      </c>
      <c r="G3" s="1509"/>
      <c r="H3" s="1509"/>
      <c r="I3" s="1509"/>
      <c r="J3" s="1509"/>
      <c r="K3" s="1509"/>
      <c r="L3" s="1510"/>
      <c r="M3" s="1511"/>
      <c r="N3" s="1511"/>
      <c r="O3" s="1511"/>
      <c r="P3" s="1633"/>
      <c r="Q3" s="498"/>
      <c r="R3" s="499"/>
      <c r="S3" s="1639">
        <f>INDEX(PT_DIFFERENTIATION_NUM_TER,MATCH(B3,PT_DIFFERENTIATION_TER_ID,0))</f>
      </c>
      <c r="T3" s="454" t="s">
        <v>419</v>
      </c>
      <c r="U3" s="446"/>
      <c r="V3" s="2401"/>
      <c r="W3" s="2402"/>
      <c r="X3" s="2402"/>
      <c r="Y3" s="2402"/>
      <c r="Z3" s="2402"/>
      <c r="AA3" s="2402"/>
      <c r="AB3" s="2403"/>
      <c r="AC3" s="2401">
        <f>INDEX(PT_DIFFERENTIATION_TER,MATCH(B3,PT_DIFFERENTIATION_TER_ID,0))</f>
      </c>
      <c r="AD3" s="2402"/>
      <c r="AE3" s="2402"/>
      <c r="AF3" s="2402"/>
      <c r="AG3" s="2402"/>
      <c r="AH3" s="2402"/>
      <c r="AI3" s="2402"/>
      <c r="AJ3" s="2403"/>
      <c r="AK3" s="1404" t="s">
        <v>420</v>
      </c>
      <c r="AM3" s="646"/>
      <c r="AN3" s="646" t="str">
        <f>IF(T3="","",T3)</f>
        <v>Территория действия тарифа</v>
      </c>
      <c r="AO3" s="646"/>
      <c r="AP3" s="646"/>
      <c r="AQ3" s="1301">
        <v>0</v>
      </c>
    </row>
    <row customHeight="1" ht="23.25" hidden="1">
      <c r="A4" s="1509"/>
      <c r="B4" s="1509"/>
      <c r="C4" s="1509"/>
      <c r="D4" s="1509"/>
      <c r="E4" s="2418"/>
      <c r="F4" s="2418"/>
      <c r="G4" s="2417">
        <v>1</v>
      </c>
      <c r="H4" s="1509"/>
      <c r="I4" s="1509"/>
      <c r="J4" s="1509"/>
      <c r="K4" s="1509"/>
      <c r="L4" s="1510"/>
      <c r="M4" s="1511"/>
      <c r="N4" s="1511"/>
      <c r="O4" s="1511"/>
      <c r="P4" s="500"/>
      <c r="Q4" s="498"/>
      <c r="R4" s="499"/>
      <c r="S4" s="1639">
        <f>INDEX(PT_DIFFERENTIATION_NUM_CS,MATCH(C4,PT_DIFFERENTIATION_CS_ID,0))</f>
      </c>
      <c r="T4" s="455" t="s">
        <v>538</v>
      </c>
      <c r="U4" s="446"/>
      <c r="V4" s="2401"/>
      <c r="W4" s="2402"/>
      <c r="X4" s="2402"/>
      <c r="Y4" s="2402"/>
      <c r="Z4" s="2402"/>
      <c r="AA4" s="2402"/>
      <c r="AB4" s="2403"/>
      <c r="AC4" s="2401">
        <f>INDEX(PT_DIFFERENTIATION_CS,MATCH(C4,PT_DIFFERENTIATION_CS_ID,0))</f>
      </c>
      <c r="AD4" s="2402"/>
      <c r="AE4" s="2402"/>
      <c r="AF4" s="2402"/>
      <c r="AG4" s="2402"/>
      <c r="AH4" s="2402"/>
      <c r="AI4" s="2402"/>
      <c r="AJ4" s="2403"/>
      <c r="AK4" s="1404" t="s">
        <v>539</v>
      </c>
      <c r="AM4" s="646"/>
      <c r="AN4" s="646" t="str">
        <f>IF(T4="","",T4)</f>
        <v>Наименование централизованной системы водоотведения</v>
      </c>
      <c r="AO4" s="646"/>
      <c r="AP4" s="646"/>
      <c r="AQ4" s="1301">
        <v>0</v>
      </c>
    </row>
    <row customHeight="1" ht="23.25" hidden="1">
      <c r="A5" s="1509"/>
      <c r="B5" s="1509"/>
      <c r="C5" s="1509"/>
      <c r="D5" s="1509"/>
      <c r="E5" s="2418"/>
      <c r="F5" s="2418"/>
      <c r="G5" s="2418"/>
      <c r="H5" s="2418"/>
      <c r="I5" s="2415">
        <f>S4&amp;".1"</f>
      </c>
      <c r="J5" s="1509"/>
      <c r="K5" s="1509"/>
      <c r="L5" s="1510"/>
      <c r="P5" s="2416">
        <v>1</v>
      </c>
      <c r="Q5" s="1627"/>
      <c r="R5" s="502"/>
      <c r="S5" s="1639">
        <f>$I5</f>
      </c>
      <c r="T5" s="431" t="s">
        <v>505</v>
      </c>
      <c r="U5" s="446"/>
      <c r="V5" s="2509"/>
      <c r="W5" s="2510"/>
      <c r="X5" s="2510"/>
      <c r="Y5" s="2510"/>
      <c r="Z5" s="2510"/>
      <c r="AA5" s="2510"/>
      <c r="AB5" s="2511"/>
      <c r="AC5" s="2512"/>
      <c r="AD5" s="2513"/>
      <c r="AE5" s="2513"/>
      <c r="AF5" s="2513"/>
      <c r="AG5" s="2513"/>
      <c r="AH5" s="2513"/>
      <c r="AI5" s="2513"/>
      <c r="AJ5" s="2514"/>
      <c r="AK5" s="1404" t="s">
        <v>506</v>
      </c>
      <c r="AM5" s="646"/>
      <c r="AN5" s="646" t="str">
        <f>IF(T5="","",T5)</f>
        <v>Наименование признака дифференциации</v>
      </c>
      <c r="AO5" s="646"/>
      <c r="AP5" s="646"/>
      <c r="AQ5" s="1301">
        <v>0</v>
      </c>
    </row>
    <row customHeight="1" ht="23.25" hidden="1">
      <c r="A6" s="1509"/>
      <c r="B6" s="1509"/>
      <c r="C6" s="1509"/>
      <c r="D6" s="1509"/>
      <c r="E6" s="2418"/>
      <c r="F6" s="2418"/>
      <c r="G6" s="2418"/>
      <c r="H6" s="2418"/>
      <c r="I6" s="2445"/>
      <c r="J6" s="2415">
        <f>I5&amp;".1"</f>
      </c>
      <c r="K6" s="1509"/>
      <c r="L6" s="1510" t="s">
        <v>428</v>
      </c>
      <c r="P6" s="2416"/>
      <c r="Q6" s="2416">
        <v>1</v>
      </c>
      <c r="R6" s="503"/>
      <c r="S6" s="1639">
        <f>$J6</f>
      </c>
      <c r="T6" s="432" t="s">
        <v>429</v>
      </c>
      <c r="U6" s="446"/>
      <c r="V6" s="2404"/>
      <c r="W6" s="2405"/>
      <c r="X6" s="2405"/>
      <c r="Y6" s="2405"/>
      <c r="Z6" s="2405"/>
      <c r="AA6" s="2405"/>
      <c r="AB6" s="2406"/>
      <c r="AC6" s="2404"/>
      <c r="AD6" s="2405"/>
      <c r="AE6" s="2405"/>
      <c r="AF6" s="2405"/>
      <c r="AG6" s="2405"/>
      <c r="AH6" s="2405"/>
      <c r="AI6" s="2405"/>
      <c r="AJ6" s="2406"/>
      <c r="AK6" s="1453" t="s">
        <v>507</v>
      </c>
      <c r="AM6" s="646"/>
      <c r="AN6" s="646" t="str">
        <f>IF(T6="","",T6)</f>
        <v>Группа потребителей</v>
      </c>
      <c r="AO6" s="646"/>
      <c r="AP6" s="646"/>
      <c r="AQ6" s="1301">
        <v>0</v>
      </c>
    </row>
    <row customHeight="1" ht="23.25" hidden="1">
      <c r="A7" s="1509"/>
      <c r="B7" s="1509"/>
      <c r="C7" s="1509"/>
      <c r="D7" s="1509"/>
      <c r="E7" s="2418"/>
      <c r="F7" s="2418"/>
      <c r="G7" s="2418"/>
      <c r="H7" s="2418"/>
      <c r="I7" s="2445"/>
      <c r="J7" s="2445"/>
      <c r="K7" s="2415">
        <f>J6&amp;".1"</f>
      </c>
      <c r="L7" s="1510"/>
      <c r="P7" s="2416"/>
      <c r="Q7" s="2416"/>
      <c r="R7" s="503">
        <v>1</v>
      </c>
      <c r="S7" s="1639">
        <f>$K7</f>
      </c>
      <c r="T7" s="1583"/>
      <c r="U7" s="446"/>
      <c r="V7" s="897"/>
      <c r="W7" s="897"/>
      <c r="X7" s="1403"/>
      <c r="Y7" s="2424"/>
      <c r="Z7" s="2266" t="s">
        <v>63</v>
      </c>
      <c r="AA7" s="2424"/>
      <c r="AB7" s="2266" t="s">
        <v>63</v>
      </c>
      <c r="AC7" s="897"/>
      <c r="AD7" s="897"/>
      <c r="AE7" s="1403"/>
      <c r="AF7" s="2424"/>
      <c r="AG7" s="2266" t="s">
        <v>63</v>
      </c>
      <c r="AH7" s="2446"/>
      <c r="AI7" s="2266" t="s">
        <v>63</v>
      </c>
      <c r="AJ7" s="1584"/>
      <c r="AK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7">
        <f>STRCHECKDATE(V8:AJ8)</f>
      </c>
      <c r="AM7" s="646"/>
      <c r="AN7" s="646" t="str">
        <f>IF(T7="","",T7)</f>
        <v/>
      </c>
      <c r="AO7" s="646"/>
      <c r="AP7" s="646"/>
      <c r="AQ7" s="1301">
        <v>0</v>
      </c>
    </row>
    <row customHeight="1" ht="14.25" hidden="1">
      <c r="A8" s="1509"/>
      <c r="B8" s="1509"/>
      <c r="C8" s="1509"/>
      <c r="D8" s="1509"/>
      <c r="E8" s="2418"/>
      <c r="F8" s="2418"/>
      <c r="G8" s="2418"/>
      <c r="H8" s="2418"/>
      <c r="I8" s="2445"/>
      <c r="J8" s="2445"/>
      <c r="K8" s="2415"/>
      <c r="L8" s="1510"/>
      <c r="P8" s="2416"/>
      <c r="Q8" s="2416"/>
      <c r="R8" s="503"/>
      <c r="S8" s="1636"/>
      <c r="T8" s="446"/>
      <c r="U8" s="446"/>
      <c r="V8" s="471"/>
      <c r="W8" s="471"/>
      <c r="X8" s="474" t="str">
        <f>Y7&amp;"-"&amp;AA7</f>
        <v>-</v>
      </c>
      <c r="Y8" s="2425"/>
      <c r="Z8" s="2266"/>
      <c r="AA8" s="2425"/>
      <c r="AB8" s="2266"/>
      <c r="AC8" s="471"/>
      <c r="AD8" s="471"/>
      <c r="AE8" s="474" t="str">
        <f>AF7&amp;"-"&amp;AH7</f>
        <v>-</v>
      </c>
      <c r="AF8" s="2425"/>
      <c r="AG8" s="2266"/>
      <c r="AH8" s="2447"/>
      <c r="AI8" s="2266"/>
      <c r="AJ8" s="1585"/>
      <c r="AK8" s="2508"/>
      <c r="AM8" s="646"/>
      <c r="AN8" s="646" t="str">
        <f>IF(T8="","",T8)</f>
        <v/>
      </c>
      <c r="AO8" s="646"/>
      <c r="AP8" s="646"/>
      <c r="AQ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513"/>
      <c r="X9" s="513"/>
      <c r="Y9" s="513"/>
      <c r="Z9" s="513"/>
      <c r="AA9" s="513"/>
      <c r="AB9" s="513"/>
      <c r="AC9" s="513"/>
      <c r="AD9" s="513"/>
      <c r="AE9" s="513"/>
      <c r="AF9" s="513"/>
      <c r="AG9" s="513"/>
      <c r="AH9" s="513"/>
      <c r="AI9" s="513"/>
      <c r="AJ9" s="513"/>
      <c r="AK9" s="1404" t="s">
        <v>509</v>
      </c>
      <c r="AM9" s="646"/>
      <c r="AN9" s="646" t="str">
        <f>IF(T9="","",T9)</f>
        <v>Добавить значение признака дифференциации</v>
      </c>
      <c r="AO9" s="646"/>
      <c r="AP9" s="646"/>
      <c r="AQ9" s="1301">
        <v>0</v>
      </c>
    </row>
    <row customHeight="1" ht="21" hidden="1">
      <c r="A10" s="1509"/>
      <c r="B10" s="1509"/>
      <c r="C10" s="1509"/>
      <c r="D10" s="1509"/>
      <c r="E10" s="2418"/>
      <c r="F10" s="2418"/>
      <c r="G10" s="2418"/>
      <c r="H10" s="2418"/>
      <c r="I10" s="2415"/>
      <c r="J10" s="1509"/>
      <c r="K10" s="1509"/>
      <c r="L10" s="1510"/>
      <c r="P10" s="2416"/>
      <c r="Q10" s="1627"/>
      <c r="R10" s="502"/>
      <c r="S10" s="1424"/>
      <c r="T10" s="511" t="s">
        <v>434</v>
      </c>
      <c r="U10" s="513"/>
      <c r="V10" s="513"/>
      <c r="W10" s="513"/>
      <c r="X10" s="513"/>
      <c r="Y10" s="513"/>
      <c r="Z10" s="513"/>
      <c r="AA10" s="513"/>
      <c r="AB10" s="512"/>
      <c r="AC10" s="513"/>
      <c r="AD10" s="513"/>
      <c r="AE10" s="513"/>
      <c r="AF10" s="513"/>
      <c r="AG10" s="513"/>
      <c r="AH10" s="513"/>
      <c r="AI10" s="512"/>
      <c r="AJ10" s="513"/>
      <c r="AK10" s="1586"/>
      <c r="AM10" s="646"/>
      <c r="AN10" s="646" t="str">
        <f>IF(T10="","",T10)</f>
        <v>Добавить группу потребителей</v>
      </c>
      <c r="AO10" s="646"/>
      <c r="AP10" s="646"/>
      <c r="AQ10" s="1301">
        <v>0</v>
      </c>
    </row>
    <row customHeight="1" ht="21"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513"/>
      <c r="X11" s="513"/>
      <c r="Y11" s="513"/>
      <c r="Z11" s="513"/>
      <c r="AA11" s="513"/>
      <c r="AB11" s="512"/>
      <c r="AC11" s="513"/>
      <c r="AD11" s="513"/>
      <c r="AE11" s="513"/>
      <c r="AF11" s="513"/>
      <c r="AG11" s="513"/>
      <c r="AH11" s="513"/>
      <c r="AI11" s="512"/>
      <c r="AJ11" s="513"/>
      <c r="AK11" s="449"/>
      <c r="AM11" s="646"/>
      <c r="AN11" s="646" t="str">
        <f>IF(T11="","",T11)</f>
        <v>Добавить наименование признака дифференциации</v>
      </c>
      <c r="AO11" s="646"/>
      <c r="AP11" s="646"/>
      <c r="AQ11" s="1301">
        <v>0</v>
      </c>
    </row>
    <row s="6720" customFormat="1" customHeight="1" ht="14.25" hidden="1">
      <c r="A12" s="1489"/>
      <c r="B12" s="1489"/>
      <c r="C12" s="1460"/>
      <c r="D12" s="1460"/>
      <c r="E12" s="2418"/>
      <c r="F12" s="2417"/>
      <c r="G12" s="1460"/>
      <c r="H12" s="1460"/>
      <c r="I12" s="1460"/>
      <c r="J12" s="1460"/>
      <c r="K12" s="1460"/>
      <c r="L12" s="1640"/>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M12" s="935"/>
      <c r="AN12" s="935" t="str">
        <f>IF(T12="","",T12)</f>
        <v>Добавить централизованную систему для дифференциации</v>
      </c>
      <c r="AO12" s="935"/>
      <c r="AP12" s="935"/>
      <c r="AQ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M13" s="646"/>
      <c r="AN13" s="646" t="str">
        <f>IF(T13="","",T13)</f>
        <v>Добавить территорию для дифференциации</v>
      </c>
      <c r="AO13" s="646"/>
      <c r="AP13" s="646"/>
      <c r="AQ13" s="657">
        <v>0</v>
      </c>
    </row>
    <row customHeight="1" ht="14.25" hidden="1">
      <c r="AB14" s="473"/>
      <c r="AI14" s="473"/>
      <c r="AQ14" s="1301">
        <v>0</v>
      </c>
    </row>
    <row customHeight="1" ht="14.25" hidden="1">
      <c r="AC15" s="1506"/>
      <c r="AD15" s="1506"/>
      <c r="AE15" s="1507"/>
      <c r="AF15" s="2426"/>
      <c r="AG15" s="2427" t="s">
        <v>63</v>
      </c>
      <c r="AH15" s="2426"/>
      <c r="AI15" s="2427" t="s">
        <v>63</v>
      </c>
      <c r="AQ15" s="1301">
        <v>0</v>
      </c>
    </row>
    <row customHeight="1" ht="14.25" hidden="1">
      <c r="AC16" s="1506"/>
      <c r="AD16" s="1506"/>
      <c r="AE16" s="474" t="str">
        <f>AF15&amp;"-"&amp;AH15</f>
        <v>-</v>
      </c>
      <c r="AF16" s="2427"/>
      <c r="AG16" s="2427"/>
      <c r="AH16" s="2427"/>
      <c r="AI16" s="2427"/>
      <c r="AQ16" s="1301">
        <v>0</v>
      </c>
    </row>
    <row customHeight="1" ht="14.25" hidden="1">
      <c r="AI17" s="473"/>
      <c r="AQ17" s="1301">
        <v>0</v>
      </c>
    </row>
    <row s="7180" customFormat="1" customHeight="1" ht="22.5" hidden="1">
      <c r="L18" s="1624"/>
      <c r="M18" s="1508"/>
      <c r="N18" s="1508"/>
      <c r="O18" s="1513" t="s">
        <v>439</v>
      </c>
      <c r="P18" s="1508"/>
      <c r="Q18" s="1517"/>
      <c r="R18" s="1517"/>
      <c r="S18" s="875"/>
      <c r="Y18" s="1513"/>
      <c r="AA18" s="1513"/>
      <c r="AB18" s="1512"/>
      <c r="AF18" s="1513"/>
      <c r="AH18" s="1513"/>
      <c r="AI18" s="1512"/>
      <c r="AL18" s="657"/>
      <c r="AM18" s="657"/>
      <c r="AN18" s="657"/>
      <c r="AO18" s="657"/>
      <c r="AP18" s="657"/>
      <c r="AQ18" s="1306">
        <v>0</v>
      </c>
    </row>
    <row s="7180" customFormat="1" customHeight="1" ht="14.25" hidden="1">
      <c r="L19" s="1624"/>
      <c r="M19" s="1508"/>
      <c r="N19" s="1508"/>
      <c r="O19" s="1508"/>
      <c r="P19" s="1508"/>
      <c r="Q19" s="1517"/>
      <c r="R19" s="1517"/>
      <c r="S19" s="875"/>
      <c r="AB19" s="1512"/>
      <c r="AI19" s="1512"/>
      <c r="AL19" s="657"/>
      <c r="AM19" s="657"/>
      <c r="AN19" s="657"/>
      <c r="AO19" s="657"/>
      <c r="AP19" s="657"/>
      <c r="AQ19" s="1306">
        <v>0</v>
      </c>
    </row>
    <row s="7180" customFormat="1" customHeight="1" ht="12" hidden="1">
      <c r="L20" s="1624"/>
      <c r="M20" s="1508"/>
      <c r="N20" s="1508"/>
      <c r="O20" s="1510" t="s">
        <v>440</v>
      </c>
      <c r="P20" s="1508"/>
      <c r="Q20" s="1588"/>
      <c r="R20" s="1588"/>
      <c r="S20" s="875"/>
      <c r="T20" s="1306" t="s">
        <v>441</v>
      </c>
      <c r="Z20" s="332" t="s">
        <v>442</v>
      </c>
      <c r="AB20" s="332" t="s">
        <v>443</v>
      </c>
      <c r="AC20" s="1306" t="s">
        <v>441</v>
      </c>
      <c r="AG20" s="332" t="s">
        <v>444</v>
      </c>
      <c r="AI20" s="332" t="s">
        <v>443</v>
      </c>
      <c r="AQ20" s="1306">
        <v>0</v>
      </c>
    </row>
    <row customHeight="1" ht="14.25" hidden="1">
      <c r="O21" s="1510"/>
      <c r="AQ21" s="1301">
        <v>0</v>
      </c>
    </row>
    <row customHeight="1" ht="14.25" hidden="1">
      <c r="O22" s="1510"/>
      <c r="AQ22" s="1301">
        <v>0</v>
      </c>
    </row>
    <row customHeight="1" ht="14.699999999999998">
      <c r="Q23" s="522"/>
      <c r="R23" s="522"/>
      <c r="S23" s="1421"/>
      <c r="T23" s="509"/>
      <c r="U23" s="509"/>
      <c r="V23" s="655"/>
      <c r="W23" s="655"/>
      <c r="X23" s="655"/>
      <c r="Y23" s="655"/>
      <c r="Z23" s="655"/>
      <c r="AA23" s="655"/>
      <c r="AB23" s="655"/>
      <c r="AC23" s="655"/>
      <c r="AD23" s="655"/>
      <c r="AE23" s="655"/>
      <c r="AF23" s="655"/>
      <c r="AG23" s="655"/>
      <c r="AH23" s="655"/>
      <c r="AI23" s="655"/>
      <c r="AQ23" s="1301">
        <v>14</v>
      </c>
    </row>
    <row customHeight="1" ht="14.699999999999998">
      <c r="Q24" s="522"/>
      <c r="R24" s="522"/>
      <c r="S24" s="24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7"/>
      <c r="U24" s="2407"/>
      <c r="V24" s="2407"/>
      <c r="W24" s="2407"/>
      <c r="X24" s="2407"/>
      <c r="Y24" s="2407"/>
      <c r="Z24" s="2407"/>
      <c r="AA24" s="2407"/>
      <c r="AB24" s="2407"/>
      <c r="AC24" s="2407"/>
      <c r="AD24" s="2407"/>
      <c r="AE24" s="2407"/>
      <c r="AF24" s="2407"/>
      <c r="AG24" s="2407"/>
      <c r="AH24" s="2407"/>
      <c r="AI24" s="1389"/>
      <c r="AQ24" s="1301">
        <v>14</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1389"/>
      <c r="AQ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655"/>
      <c r="AQ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472"/>
      <c r="AC27" s="2410" t="str">
        <f>IF(TITLE_NAME_OR_PR_CHANGE="",IF(TITLE_NAME_OR_PR="","",TITLE_NAME_OR_PR),TITLE_NAME_OR_PR_CHANGE)</f>
        <v/>
      </c>
      <c r="AD27" s="2410"/>
      <c r="AE27" s="2410"/>
      <c r="AF27" s="2410"/>
      <c r="AG27" s="2410"/>
      <c r="AH27" s="2410"/>
      <c r="AI27" s="472"/>
      <c r="AJ27" s="472"/>
      <c r="AK27" s="426"/>
      <c r="AL27" s="514"/>
      <c r="AM27" s="514"/>
      <c r="AN27" s="514"/>
      <c r="AO27" s="514"/>
      <c r="AP27" s="514"/>
      <c r="AQ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472"/>
      <c r="AC28" s="2423" t="str">
        <f>IF(TITLE_DATE_PR_CHANGE="",IF(TITLE_DATE_PR="","",TITLE_DATE_PR),TITLE_DATE_PR_CHANGE)</f>
        <v/>
      </c>
      <c r="AD28" s="2423"/>
      <c r="AE28" s="2423"/>
      <c r="AF28" s="2423"/>
      <c r="AG28" s="2423"/>
      <c r="AH28" s="2423"/>
      <c r="AI28" s="472"/>
      <c r="AJ28" s="472"/>
      <c r="AK28" s="426"/>
      <c r="AL28" s="514"/>
      <c r="AM28" s="514"/>
      <c r="AN28" s="514"/>
      <c r="AO28" s="514"/>
      <c r="AP28" s="514"/>
      <c r="AQ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472"/>
      <c r="AC29" s="2410" t="str">
        <f>IF(TITLE_NUMBER_PR_CHANGE="",IF(TITLE_NUMBER_PR="","",TITLE_NUMBER_PR),TITLE_NUMBER_PR_CHANGE)</f>
        <v/>
      </c>
      <c r="AD29" s="2410"/>
      <c r="AE29" s="2410"/>
      <c r="AF29" s="2410"/>
      <c r="AG29" s="2410"/>
      <c r="AH29" s="2410"/>
      <c r="AI29" s="472"/>
      <c r="AJ29" s="472"/>
      <c r="AK29" s="426"/>
      <c r="AL29" s="514"/>
      <c r="AM29" s="514"/>
      <c r="AN29" s="514"/>
      <c r="AO29" s="514"/>
      <c r="AP29" s="514"/>
      <c r="AQ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472"/>
      <c r="AC30" s="2410" t="str">
        <f>IF(TITLE_IST_PUB_CHANGE="",IF(TITLE_IST_PUB="","",TITLE_IST_PUB),TITLE_IST_PUB_CHANGE)</f>
        <v/>
      </c>
      <c r="AD30" s="2410"/>
      <c r="AE30" s="2410"/>
      <c r="AF30" s="2410"/>
      <c r="AG30" s="2410"/>
      <c r="AH30" s="2410"/>
      <c r="AI30" s="472"/>
      <c r="AJ30" s="472"/>
      <c r="AK30" s="426"/>
      <c r="AL30" s="514"/>
      <c r="AM30" s="514"/>
      <c r="AN30" s="514"/>
      <c r="AO30" s="514"/>
      <c r="AP30" s="514"/>
      <c r="AQ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655"/>
      <c r="AQ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472"/>
      <c r="AC32" s="2423" t="str">
        <f>IF(TITLE_DATE_PR_CHANGE="",IF(TITLE_DATE_PR="","",TITLE_DATE_PR),TITLE_DATE_PR_CHANGE)</f>
        <v/>
      </c>
      <c r="AD32" s="2423"/>
      <c r="AE32" s="2423"/>
      <c r="AF32" s="2423"/>
      <c r="AG32" s="2423"/>
      <c r="AH32" s="2423"/>
      <c r="AI32" s="472"/>
      <c r="AJ32" s="472"/>
      <c r="AK32" s="426"/>
      <c r="AL32" s="514"/>
      <c r="AM32" s="514"/>
      <c r="AN32" s="514"/>
      <c r="AO32" s="514"/>
      <c r="AP32" s="514"/>
      <c r="AQ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472"/>
      <c r="AC33" s="2410" t="str">
        <f>IF(TITLE_NUMBER_PR_CHANGE="",IF(TITLE_NUMBER_PR="","",TITLE_NUMBER_PR),TITLE_NUMBER_PR_CHANGE)</f>
        <v/>
      </c>
      <c r="AD33" s="2410"/>
      <c r="AE33" s="2410"/>
      <c r="AF33" s="2410"/>
      <c r="AG33" s="2410"/>
      <c r="AH33" s="2410"/>
      <c r="AI33" s="472"/>
      <c r="AJ33" s="472"/>
      <c r="AK33" s="426"/>
      <c r="AL33" s="514"/>
      <c r="AM33" s="514"/>
      <c r="AN33" s="514"/>
      <c r="AO33" s="514"/>
      <c r="AP33" s="514"/>
      <c r="AQ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634"/>
      <c r="V34" s="472"/>
      <c r="W34" s="472"/>
      <c r="X34" s="472"/>
      <c r="Y34" s="472"/>
      <c r="Z34" s="472"/>
      <c r="AA34" s="472"/>
      <c r="AB34" s="424" t="s">
        <v>449</v>
      </c>
      <c r="AC34" s="472"/>
      <c r="AD34" s="472"/>
      <c r="AE34" s="472"/>
      <c r="AF34" s="472"/>
      <c r="AG34" s="472"/>
      <c r="AH34" s="472"/>
      <c r="AI34" s="424" t="s">
        <v>449</v>
      </c>
      <c r="AL34" s="514"/>
      <c r="AM34" s="514"/>
      <c r="AN34" s="514"/>
      <c r="AO34" s="514"/>
      <c r="AP34" s="514"/>
      <c r="AQ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Q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t="s">
        <v>323</v>
      </c>
      <c r="AQ36" s="1301">
        <v>14</v>
      </c>
    </row>
    <row customHeight="1" ht="14.699999999999998">
      <c r="Q37" s="522"/>
      <c r="R37" s="522"/>
      <c r="S37" s="2432" t="s">
        <v>89</v>
      </c>
      <c r="T37" s="2368" t="s">
        <v>450</v>
      </c>
      <c r="U37" s="447"/>
      <c r="V37" s="2433" t="s">
        <v>451</v>
      </c>
      <c r="W37" s="2434"/>
      <c r="X37" s="2434"/>
      <c r="Y37" s="2434"/>
      <c r="Z37" s="2434"/>
      <c r="AA37" s="2435"/>
      <c r="AB37" s="2436" t="s">
        <v>452</v>
      </c>
      <c r="AC37" s="2433" t="s">
        <v>451</v>
      </c>
      <c r="AD37" s="2434"/>
      <c r="AE37" s="2434"/>
      <c r="AF37" s="2434"/>
      <c r="AG37" s="2434"/>
      <c r="AH37" s="2435"/>
      <c r="AI37" s="2436" t="s">
        <v>453</v>
      </c>
      <c r="AJ37" s="2439" t="s">
        <v>454</v>
      </c>
      <c r="AK37" s="2286"/>
      <c r="AQ37" s="1301">
        <v>14</v>
      </c>
    </row>
    <row customHeight="1" ht="35.699999999999996">
      <c r="Q38" s="522"/>
      <c r="R38" s="522"/>
      <c r="S38" s="2432"/>
      <c r="T38" s="2368"/>
      <c r="U38" s="1177"/>
      <c r="V38" s="1629" t="s">
        <v>511</v>
      </c>
      <c r="W38" s="2421" t="s">
        <v>457</v>
      </c>
      <c r="X38" s="2422"/>
      <c r="Y38" s="2421" t="s">
        <v>458</v>
      </c>
      <c r="Z38" s="2428"/>
      <c r="AA38" s="2422"/>
      <c r="AB38" s="2437"/>
      <c r="AC38" s="1629" t="s">
        <v>511</v>
      </c>
      <c r="AD38" s="2421" t="s">
        <v>457</v>
      </c>
      <c r="AE38" s="2422"/>
      <c r="AF38" s="2421" t="s">
        <v>458</v>
      </c>
      <c r="AG38" s="2428"/>
      <c r="AH38" s="2422"/>
      <c r="AI38" s="2437"/>
      <c r="AJ38" s="2440"/>
      <c r="AK38" s="2286"/>
      <c r="AQ38" s="1301">
        <v>34</v>
      </c>
    </row>
    <row customHeight="1" ht="90.3">
      <c r="A39" s="1516"/>
      <c r="B39" s="1516" t="s">
        <v>159</v>
      </c>
      <c r="C39" s="1516" t="s">
        <v>160</v>
      </c>
      <c r="D39" s="1516" t="s">
        <v>161</v>
      </c>
      <c r="E39" s="1510" t="s">
        <v>459</v>
      </c>
      <c r="F39" s="1510" t="s">
        <v>460</v>
      </c>
      <c r="G39" s="1510" t="s">
        <v>461</v>
      </c>
      <c r="H39" s="1510"/>
      <c r="I39" s="1510" t="s">
        <v>512</v>
      </c>
      <c r="J39" s="1510" t="s">
        <v>464</v>
      </c>
      <c r="K39" s="1510" t="s">
        <v>513</v>
      </c>
      <c r="L39" s="1510" t="s">
        <v>440</v>
      </c>
      <c r="Q39" s="522"/>
      <c r="R39" s="522"/>
      <c r="S39" s="2432"/>
      <c r="T39" s="2368"/>
      <c r="U39" s="448"/>
      <c r="V39" s="1629" t="s">
        <v>540</v>
      </c>
      <c r="W39" s="1368" t="s">
        <v>541</v>
      </c>
      <c r="X39" s="1368" t="s">
        <v>516</v>
      </c>
      <c r="Y39" s="1635" t="s">
        <v>468</v>
      </c>
      <c r="Z39" s="2429" t="s">
        <v>469</v>
      </c>
      <c r="AA39" s="2430"/>
      <c r="AB39" s="2438"/>
      <c r="AC39" s="1629" t="s">
        <v>540</v>
      </c>
      <c r="AD39" s="1368" t="s">
        <v>541</v>
      </c>
      <c r="AE39" s="1368" t="s">
        <v>516</v>
      </c>
      <c r="AF39" s="1635" t="s">
        <v>468</v>
      </c>
      <c r="AG39" s="2429" t="s">
        <v>469</v>
      </c>
      <c r="AH39" s="2430"/>
      <c r="AI39" s="2438"/>
      <c r="AJ39" s="2441"/>
      <c r="AK39" s="2286"/>
      <c r="AQ39" s="1301">
        <v>86</v>
      </c>
    </row>
    <row s="6314" customFormat="1" customHeight="1" ht="11.25" hidden="1">
      <c r="A40" s="1516"/>
      <c r="B40" s="1516"/>
      <c r="C40" s="1516"/>
      <c r="D40" s="1516"/>
      <c r="E40" s="1516"/>
      <c r="F40" s="1516"/>
      <c r="G40" s="1516"/>
      <c r="H40" s="1516"/>
      <c r="I40" s="1516"/>
      <c r="J40" s="1516"/>
      <c r="K40" s="1516"/>
      <c r="L40" s="1510"/>
      <c r="M40" s="1508"/>
      <c r="N40" s="1508"/>
      <c r="O40" s="1508"/>
      <c r="P40" s="1392"/>
      <c r="Q40" s="1393"/>
      <c r="R40" s="1400">
        <v>1</v>
      </c>
      <c r="S40" s="1423" t="s">
        <v>121</v>
      </c>
      <c r="T40" s="1401" t="s">
        <v>105</v>
      </c>
      <c r="U40" s="1391" t="str">
        <f>OFFSET(U40,0,-1)</f>
        <v>2</v>
      </c>
      <c r="V40" s="1628">
        <f>OFFSET(V40,0,-1)+1</f>
        <v>3</v>
      </c>
      <c r="W40" s="1628">
        <f>OFFSET(W40,0,-1)+1</f>
        <v>4</v>
      </c>
      <c r="X40" s="1628">
        <f>OFFSET(X40,0,-1)+1</f>
        <v>5</v>
      </c>
      <c r="Y40" s="1628">
        <f>OFFSET(Y40,0,-1)+1</f>
        <v>6</v>
      </c>
      <c r="Z40" s="2431">
        <f>OFFSET(Z40,0,-1)+1</f>
        <v>7</v>
      </c>
      <c r="AA40" s="2431"/>
      <c r="AB40" s="1628">
        <f>OFFSET(AB40,0,-2)+1</f>
        <v>8</v>
      </c>
      <c r="AC40" s="1628">
        <f>OFFSET(AC40,0,-1)+1</f>
        <v>9</v>
      </c>
      <c r="AD40" s="1628">
        <f>OFFSET(AD40,0,-1)+1</f>
        <v>10</v>
      </c>
      <c r="AE40" s="1628">
        <f>OFFSET(AE40,0,-1)+1</f>
        <v>11</v>
      </c>
      <c r="AF40" s="1628">
        <f>OFFSET(AF40,0,-1)+1</f>
        <v>12</v>
      </c>
      <c r="AG40" s="2431">
        <f>OFFSET(AG40,0,-1)+1</f>
        <v>13</v>
      </c>
      <c r="AH40" s="2431"/>
      <c r="AI40" s="1628">
        <f>OFFSET(AI40,0,-2)+1</f>
        <v>14</v>
      </c>
      <c r="AJ40" s="1391">
        <f>OFFSET(AJ40,0,-1)</f>
        <v>14</v>
      </c>
      <c r="AK40" s="1628">
        <f>OFFSET(AK40,0,-1)+1</f>
        <v>15</v>
      </c>
      <c r="AL40" s="657"/>
      <c r="AM40" s="657"/>
      <c r="AN40" s="657"/>
      <c r="AO40" s="657"/>
      <c r="AP40" s="657"/>
      <c r="AQ40" s="642">
        <v>0</v>
      </c>
    </row>
    <row customHeight="1" ht="24">
      <c r="A41" s="1509" t="s">
        <v>288</v>
      </c>
      <c r="B41" s="1509"/>
      <c r="C41" s="1509"/>
      <c r="D41" s="1509"/>
      <c r="E41" s="2417">
        <v>1</v>
      </c>
      <c r="F41" s="1509"/>
      <c r="G41" s="1509"/>
      <c r="H41" s="1509"/>
      <c r="I41" s="1509"/>
      <c r="J41" s="1509"/>
      <c r="K41" s="1509"/>
      <c r="L41" s="1510"/>
      <c r="M41" s="1511"/>
      <c r="N41" s="1511"/>
      <c r="O41" s="1511"/>
      <c r="P41" s="507"/>
      <c r="Q41" s="506"/>
      <c r="R41" s="501"/>
      <c r="S41" s="1639">
        <f>INDEX(PT_DIFFERENTIATION_NUM_NTAR,MATCH(A41,PT_DIFFERENTIATION_NTAR_ID,0))</f>
        <v>0</v>
      </c>
      <c r="T41" s="444" t="s">
        <v>147</v>
      </c>
      <c r="U41" s="446"/>
      <c r="V41" s="2401"/>
      <c r="W41" s="2402"/>
      <c r="X41" s="2402"/>
      <c r="Y41" s="2402"/>
      <c r="Z41" s="2402"/>
      <c r="AA41" s="2402"/>
      <c r="AB41" s="2403"/>
      <c r="AC41" s="2401" t="str">
        <f>INDEX(PT_DIFFERENTIATION_NTAR,MATCH(A41,PT_DIFFERENTIATION_NTAR_ID,0))</f>
        <v/>
      </c>
      <c r="AD41" s="2402"/>
      <c r="AE41" s="2402"/>
      <c r="AF41" s="2402"/>
      <c r="AG41" s="2402"/>
      <c r="AH41" s="2402"/>
      <c r="AI41" s="2402"/>
      <c r="AJ41" s="2403"/>
      <c r="AK41"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46"/>
      <c r="AN41" s="646" t="str">
        <f>IF(T41="","",T41)</f>
        <v>Наименование тарифа</v>
      </c>
      <c r="AO41" s="646"/>
      <c r="AP41" s="646"/>
      <c r="AQ41" s="1301">
        <v>23</v>
      </c>
    </row>
    <row customHeight="1" ht="24">
      <c r="A42" s="1509" t="s">
        <v>288</v>
      </c>
      <c r="B42" s="1509" t="s">
        <v>289</v>
      </c>
      <c r="C42" s="1509"/>
      <c r="D42" s="1509"/>
      <c r="E42" s="2418"/>
      <c r="F42" s="2417">
        <v>1</v>
      </c>
      <c r="G42" s="1509"/>
      <c r="H42" s="1509"/>
      <c r="I42" s="1509"/>
      <c r="J42" s="1509"/>
      <c r="K42" s="1509"/>
      <c r="L42" s="1510"/>
      <c r="M42" s="1511"/>
      <c r="N42" s="1511"/>
      <c r="O42" s="1511"/>
      <c r="P42" s="1633"/>
      <c r="Q42" s="498"/>
      <c r="R42" s="499"/>
      <c r="S42" s="1639" t="str">
        <f>INDEX(PT_DIFFERENTIATION_NUM_TER,MATCH(B42,PT_DIFFERENTIATION_TER_ID,0))</f>
        <v>.</v>
      </c>
      <c r="T42" s="454" t="s">
        <v>419</v>
      </c>
      <c r="U42" s="446"/>
      <c r="V42" s="2401"/>
      <c r="W42" s="2402"/>
      <c r="X42" s="2402"/>
      <c r="Y42" s="2402"/>
      <c r="Z42" s="2402"/>
      <c r="AA42" s="2402"/>
      <c r="AB42" s="2403"/>
      <c r="AC42" s="2401" t="str">
        <f>INDEX(PT_DIFFERENTIATION_TER,MATCH(B42,PT_DIFFERENTIATION_TER_ID,0))</f>
        <v/>
      </c>
      <c r="AD42" s="2402"/>
      <c r="AE42" s="2402"/>
      <c r="AF42" s="2402"/>
      <c r="AG42" s="2402"/>
      <c r="AH42" s="2402"/>
      <c r="AI42" s="2402"/>
      <c r="AJ42" s="2403"/>
      <c r="AK42" s="1404" t="s">
        <v>420</v>
      </c>
      <c r="AM42" s="646"/>
      <c r="AN42" s="646" t="str">
        <f>IF(T42="","",T42)</f>
        <v>Территория действия тарифа</v>
      </c>
      <c r="AO42" s="646"/>
      <c r="AP42" s="646"/>
      <c r="AQ42" s="1301">
        <v>23</v>
      </c>
    </row>
    <row customHeight="1" ht="24">
      <c r="A43" s="1509" t="s">
        <v>288</v>
      </c>
      <c r="B43" s="1509" t="s">
        <v>289</v>
      </c>
      <c r="C43" s="1509" t="s">
        <v>290</v>
      </c>
      <c r="D43" s="1509"/>
      <c r="E43" s="2418"/>
      <c r="F43" s="2418"/>
      <c r="G43" s="2417">
        <v>1</v>
      </c>
      <c r="H43" s="1509"/>
      <c r="I43" s="1509"/>
      <c r="J43" s="1509"/>
      <c r="K43" s="1509"/>
      <c r="L43" s="1510"/>
      <c r="M43" s="1511"/>
      <c r="N43" s="1511"/>
      <c r="O43" s="1511"/>
      <c r="P43" s="500"/>
      <c r="Q43" s="498"/>
      <c r="R43" s="499"/>
      <c r="S43" s="1639" t="str">
        <f>INDEX(PT_DIFFERENTIATION_NUM_CS,MATCH(C43,PT_DIFFERENTIATION_CS_ID,0))</f>
        <v>..</v>
      </c>
      <c r="T43" s="455" t="s">
        <v>538</v>
      </c>
      <c r="U43" s="446"/>
      <c r="V43" s="2401"/>
      <c r="W43" s="2402"/>
      <c r="X43" s="2402"/>
      <c r="Y43" s="2402"/>
      <c r="Z43" s="2402"/>
      <c r="AA43" s="2402"/>
      <c r="AB43" s="2403"/>
      <c r="AC43" s="2401" t="str">
        <f>INDEX(PT_DIFFERENTIATION_CS,MATCH(C43,PT_DIFFERENTIATION_CS_ID,0))</f>
        <v/>
      </c>
      <c r="AD43" s="2402"/>
      <c r="AE43" s="2402"/>
      <c r="AF43" s="2402"/>
      <c r="AG43" s="2402"/>
      <c r="AH43" s="2402"/>
      <c r="AI43" s="2402"/>
      <c r="AJ43" s="2403"/>
      <c r="AK43" s="1404" t="s">
        <v>539</v>
      </c>
      <c r="AM43" s="646"/>
      <c r="AN43" s="646" t="str">
        <f>IF(T43="","",T43)</f>
        <v>Наименование централизованной системы водоотведения</v>
      </c>
      <c r="AO43" s="646"/>
      <c r="AP43" s="646"/>
      <c r="AQ43" s="1301">
        <v>23</v>
      </c>
    </row>
    <row customHeight="1" ht="24">
      <c r="A44" s="1509" t="s">
        <v>288</v>
      </c>
      <c r="B44" s="1509" t="s">
        <v>289</v>
      </c>
      <c r="C44" s="1509" t="s">
        <v>290</v>
      </c>
      <c r="D44" s="1509" t="s">
        <v>542</v>
      </c>
      <c r="E44" s="2418"/>
      <c r="F44" s="2418"/>
      <c r="G44" s="2418"/>
      <c r="H44" s="2418"/>
      <c r="I44" s="2415" t="str">
        <f>S43&amp;".1"</f>
        <v>...1</v>
      </c>
      <c r="J44" s="1509"/>
      <c r="K44" s="1509"/>
      <c r="L44" s="1510"/>
      <c r="P44" s="2416">
        <v>1</v>
      </c>
      <c r="Q44" s="1627"/>
      <c r="R44" s="502"/>
      <c r="S44" s="1639" t="str">
        <f>$I44</f>
        <v>...1</v>
      </c>
      <c r="T44" s="431" t="s">
        <v>505</v>
      </c>
      <c r="U44" s="446"/>
      <c r="V44" s="2509"/>
      <c r="W44" s="2510"/>
      <c r="X44" s="2510"/>
      <c r="Y44" s="2510"/>
      <c r="Z44" s="2510"/>
      <c r="AA44" s="2510"/>
      <c r="AB44" s="2511"/>
      <c r="AC44" s="2512"/>
      <c r="AD44" s="2513"/>
      <c r="AE44" s="2513"/>
      <c r="AF44" s="2513"/>
      <c r="AG44" s="2513"/>
      <c r="AH44" s="2513"/>
      <c r="AI44" s="2513"/>
      <c r="AJ44" s="2514"/>
      <c r="AK44" s="1404" t="s">
        <v>506</v>
      </c>
      <c r="AM44" s="646"/>
      <c r="AN44" s="646" t="str">
        <f>IF(T44="","",T44)</f>
        <v>Наименование признака дифференциации</v>
      </c>
      <c r="AO44" s="646"/>
      <c r="AP44" s="646"/>
      <c r="AQ44" s="1301">
        <v>23</v>
      </c>
    </row>
    <row customHeight="1" ht="24">
      <c r="A45" s="1509" t="s">
        <v>288</v>
      </c>
      <c r="B45" s="1509" t="s">
        <v>289</v>
      </c>
      <c r="C45" s="1509" t="s">
        <v>290</v>
      </c>
      <c r="D45" s="1509" t="s">
        <v>542</v>
      </c>
      <c r="E45" s="2418"/>
      <c r="F45" s="2418"/>
      <c r="G45" s="2418"/>
      <c r="H45" s="2418"/>
      <c r="I45" s="2445"/>
      <c r="J45" s="2415" t="str">
        <f>I44&amp;".1"</f>
        <v>...1.1</v>
      </c>
      <c r="K45" s="1509"/>
      <c r="L45" s="1510" t="s">
        <v>428</v>
      </c>
      <c r="P45" s="2416"/>
      <c r="Q45" s="2416">
        <v>1</v>
      </c>
      <c r="R45" s="503"/>
      <c r="S45" s="1639" t="str">
        <f>$J45</f>
        <v>...1.1</v>
      </c>
      <c r="T45" s="432" t="s">
        <v>429</v>
      </c>
      <c r="U45" s="446"/>
      <c r="V45" s="2404"/>
      <c r="W45" s="2405"/>
      <c r="X45" s="2405"/>
      <c r="Y45" s="2405"/>
      <c r="Z45" s="2405"/>
      <c r="AA45" s="2405"/>
      <c r="AB45" s="2406"/>
      <c r="AC45" s="2404"/>
      <c r="AD45" s="2405"/>
      <c r="AE45" s="2405"/>
      <c r="AF45" s="2405"/>
      <c r="AG45" s="2405"/>
      <c r="AH45" s="2405"/>
      <c r="AI45" s="2405"/>
      <c r="AJ45" s="2406"/>
      <c r="AK45" s="1453" t="s">
        <v>507</v>
      </c>
      <c r="AM45" s="646"/>
      <c r="AN45" s="646" t="str">
        <f>IF(T45="","",T45)</f>
        <v>Группа потребителей</v>
      </c>
      <c r="AO45" s="646"/>
      <c r="AP45" s="646"/>
      <c r="AQ45" s="1301">
        <v>23</v>
      </c>
    </row>
    <row customHeight="1" ht="24">
      <c r="A46" s="1509" t="s">
        <v>288</v>
      </c>
      <c r="B46" s="1509" t="s">
        <v>289</v>
      </c>
      <c r="C46" s="1509" t="s">
        <v>290</v>
      </c>
      <c r="D46" s="1509" t="s">
        <v>542</v>
      </c>
      <c r="E46" s="2418"/>
      <c r="F46" s="2418"/>
      <c r="G46" s="2418"/>
      <c r="H46" s="2418"/>
      <c r="I46" s="2445"/>
      <c r="J46" s="2445"/>
      <c r="K46" s="2415" t="str">
        <f>J45&amp;".1"</f>
        <v>...1.1.1</v>
      </c>
      <c r="L46" s="1510"/>
      <c r="P46" s="2416"/>
      <c r="Q46" s="2416"/>
      <c r="R46" s="503">
        <v>1</v>
      </c>
      <c r="S46" s="1639" t="str">
        <f>$K46</f>
        <v>...1.1.1</v>
      </c>
      <c r="T46" s="1583"/>
      <c r="U46" s="446"/>
      <c r="V46" s="1506"/>
      <c r="W46" s="1506"/>
      <c r="X46" s="1507"/>
      <c r="Y46" s="2426"/>
      <c r="Z46" s="2427" t="s">
        <v>63</v>
      </c>
      <c r="AA46" s="2426"/>
      <c r="AB46" s="2427" t="s">
        <v>63</v>
      </c>
      <c r="AC46" s="897"/>
      <c r="AD46" s="897"/>
      <c r="AE46" s="1403"/>
      <c r="AF46" s="2424"/>
      <c r="AG46" s="2266" t="s">
        <v>63</v>
      </c>
      <c r="AH46" s="2446"/>
      <c r="AI46" s="2266" t="s">
        <v>19</v>
      </c>
      <c r="AJ46" s="1584"/>
      <c r="AK46"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7">
        <f>STRCHECKDATE(V47:AJ47)</f>
      </c>
      <c r="AM46" s="646"/>
      <c r="AN46" s="646" t="str">
        <f>IF(T46="","",T46)</f>
        <v/>
      </c>
      <c r="AO46" s="646"/>
      <c r="AP46" s="646"/>
      <c r="AQ46" s="1301">
        <v>23</v>
      </c>
    </row>
    <row customHeight="1" ht="0">
      <c r="A47" s="1509" t="s">
        <v>288</v>
      </c>
      <c r="B47" s="1509" t="s">
        <v>289</v>
      </c>
      <c r="C47" s="1509" t="s">
        <v>290</v>
      </c>
      <c r="D47" s="1509" t="s">
        <v>542</v>
      </c>
      <c r="E47" s="2418"/>
      <c r="F47" s="2418"/>
      <c r="G47" s="2418"/>
      <c r="H47" s="2418"/>
      <c r="I47" s="2445"/>
      <c r="J47" s="2445"/>
      <c r="K47" s="2415"/>
      <c r="L47" s="1510"/>
      <c r="P47" s="2416"/>
      <c r="Q47" s="2416"/>
      <c r="R47" s="503"/>
      <c r="S47" s="1636"/>
      <c r="T47" s="446"/>
      <c r="U47" s="446"/>
      <c r="V47" s="1506"/>
      <c r="W47" s="1506"/>
      <c r="X47" s="474" t="str">
        <f>Y46&amp;"-"&amp;AA46</f>
        <v>-</v>
      </c>
      <c r="Y47" s="2427"/>
      <c r="Z47" s="2427"/>
      <c r="AA47" s="2427"/>
      <c r="AB47" s="2427"/>
      <c r="AC47" s="471"/>
      <c r="AD47" s="471"/>
      <c r="AE47" s="474" t="str">
        <f>AF46&amp;"-"&amp;AH46</f>
        <v>-</v>
      </c>
      <c r="AF47" s="2425"/>
      <c r="AG47" s="2266"/>
      <c r="AH47" s="2447"/>
      <c r="AI47" s="2266"/>
      <c r="AJ47" s="1585"/>
      <c r="AK47" s="2508"/>
      <c r="AM47" s="646"/>
      <c r="AN47" s="646" t="str">
        <f>IF(T47="","",T47)</f>
        <v/>
      </c>
      <c r="AO47" s="646"/>
      <c r="AP47" s="646"/>
      <c r="AQ47" s="1301">
        <v>0</v>
      </c>
    </row>
    <row customHeight="1" ht="21">
      <c r="A48" s="1509" t="s">
        <v>288</v>
      </c>
      <c r="B48" s="1509" t="s">
        <v>289</v>
      </c>
      <c r="C48" s="1509" t="s">
        <v>290</v>
      </c>
      <c r="D48" s="1509" t="s">
        <v>542</v>
      </c>
      <c r="E48" s="2418"/>
      <c r="F48" s="2418"/>
      <c r="G48" s="2418"/>
      <c r="H48" s="2418"/>
      <c r="I48" s="2445"/>
      <c r="J48" s="2415"/>
      <c r="K48" s="1509"/>
      <c r="L48" s="1510"/>
      <c r="P48" s="2416"/>
      <c r="Q48" s="2416"/>
      <c r="R48" s="502"/>
      <c r="S48" s="1424"/>
      <c r="T48" s="433" t="s">
        <v>508</v>
      </c>
      <c r="U48" s="513"/>
      <c r="V48" s="513"/>
      <c r="W48" s="513"/>
      <c r="X48" s="513"/>
      <c r="Y48" s="513"/>
      <c r="Z48" s="513"/>
      <c r="AA48" s="513"/>
      <c r="AB48" s="513"/>
      <c r="AC48" s="513"/>
      <c r="AD48" s="513"/>
      <c r="AE48" s="513"/>
      <c r="AF48" s="513"/>
      <c r="AG48" s="513"/>
      <c r="AH48" s="513"/>
      <c r="AI48" s="513"/>
      <c r="AJ48" s="513"/>
      <c r="AK48" s="1404" t="s">
        <v>509</v>
      </c>
      <c r="AM48" s="646"/>
      <c r="AN48" s="646" t="str">
        <f>IF(T48="","",T48)</f>
        <v>Добавить значение признака дифференциации</v>
      </c>
      <c r="AO48" s="646"/>
      <c r="AP48" s="646"/>
      <c r="AQ48" s="1301">
        <v>20</v>
      </c>
    </row>
    <row customHeight="1" ht="22.049999999999997">
      <c r="A49" s="1509" t="s">
        <v>288</v>
      </c>
      <c r="B49" s="1509" t="s">
        <v>289</v>
      </c>
      <c r="C49" s="1509" t="s">
        <v>290</v>
      </c>
      <c r="D49" s="1509" t="s">
        <v>542</v>
      </c>
      <c r="E49" s="2418"/>
      <c r="F49" s="2418"/>
      <c r="G49" s="2418"/>
      <c r="H49" s="2418"/>
      <c r="I49" s="2415"/>
      <c r="J49" s="1509"/>
      <c r="K49" s="1509"/>
      <c r="L49" s="1510"/>
      <c r="P49" s="2416"/>
      <c r="Q49" s="1627"/>
      <c r="R49" s="502"/>
      <c r="S49" s="1424"/>
      <c r="T49" s="511" t="s">
        <v>434</v>
      </c>
      <c r="U49" s="513"/>
      <c r="V49" s="513"/>
      <c r="W49" s="513"/>
      <c r="X49" s="513"/>
      <c r="Y49" s="513"/>
      <c r="Z49" s="513"/>
      <c r="AA49" s="513"/>
      <c r="AB49" s="512"/>
      <c r="AC49" s="513"/>
      <c r="AD49" s="513"/>
      <c r="AE49" s="513"/>
      <c r="AF49" s="513"/>
      <c r="AG49" s="513"/>
      <c r="AH49" s="513"/>
      <c r="AI49" s="512"/>
      <c r="AJ49" s="513"/>
      <c r="AK49" s="1586"/>
      <c r="AM49" s="646"/>
      <c r="AN49" s="646" t="str">
        <f>IF(T49="","",T49)</f>
        <v>Добавить группу потребителей</v>
      </c>
      <c r="AO49" s="646"/>
      <c r="AP49" s="646"/>
      <c r="AQ49" s="1301">
        <v>21</v>
      </c>
    </row>
    <row customHeight="1" ht="22.049999999999997">
      <c r="A50" s="1509" t="s">
        <v>288</v>
      </c>
      <c r="B50" s="1509" t="s">
        <v>289</v>
      </c>
      <c r="C50" s="1509" t="s">
        <v>290</v>
      </c>
      <c r="D50" s="1509" t="s">
        <v>542</v>
      </c>
      <c r="E50" s="2418"/>
      <c r="F50" s="2418"/>
      <c r="G50" s="2418"/>
      <c r="H50" s="2417"/>
      <c r="I50" s="1509"/>
      <c r="J50" s="1509"/>
      <c r="K50" s="1509"/>
      <c r="L50" s="1510"/>
      <c r="M50" s="1511"/>
      <c r="N50" s="1511"/>
      <c r="O50" s="683"/>
      <c r="P50" s="506"/>
      <c r="Q50" s="521"/>
      <c r="R50" s="501"/>
      <c r="S50" s="1424"/>
      <c r="T50" s="518" t="s">
        <v>510</v>
      </c>
      <c r="U50" s="513"/>
      <c r="V50" s="513"/>
      <c r="W50" s="513"/>
      <c r="X50" s="513"/>
      <c r="Y50" s="513"/>
      <c r="Z50" s="513"/>
      <c r="AA50" s="513"/>
      <c r="AB50" s="512"/>
      <c r="AC50" s="513"/>
      <c r="AD50" s="513"/>
      <c r="AE50" s="513"/>
      <c r="AF50" s="513"/>
      <c r="AG50" s="513"/>
      <c r="AH50" s="513"/>
      <c r="AI50" s="512"/>
      <c r="AJ50" s="513"/>
      <c r="AK50" s="449"/>
      <c r="AM50" s="646"/>
      <c r="AN50" s="646" t="str">
        <f>IF(T50="","",T50)</f>
        <v>Добавить наименование признака дифференциации</v>
      </c>
      <c r="AO50" s="646"/>
      <c r="AP50" s="646"/>
      <c r="AQ50" s="1301">
        <v>21</v>
      </c>
    </row>
    <row s="6720" customFormat="1" customHeight="1" ht="0">
      <c r="A51" s="1489" t="s">
        <v>288</v>
      </c>
      <c r="B51" s="1489" t="s">
        <v>289</v>
      </c>
      <c r="C51" s="1460"/>
      <c r="D51" s="1460"/>
      <c r="E51" s="2418"/>
      <c r="F51" s="2417"/>
      <c r="G51" s="1460"/>
      <c r="H51" s="1460"/>
      <c r="I51" s="1460"/>
      <c r="J51" s="1460"/>
      <c r="K51" s="1460"/>
      <c r="L51" s="1640"/>
      <c r="M51" s="1467"/>
      <c r="N51" s="1467"/>
      <c r="P51" s="1462"/>
      <c r="Q51" s="1463"/>
      <c r="R51" s="1462"/>
      <c r="S51" s="1468"/>
      <c r="T51" s="1471" t="s">
        <v>437</v>
      </c>
      <c r="U51" s="1470"/>
      <c r="V51" s="1470"/>
      <c r="W51" s="1470"/>
      <c r="X51" s="1470"/>
      <c r="Y51" s="1470"/>
      <c r="Z51" s="1470"/>
      <c r="AA51" s="1470"/>
      <c r="AB51" s="1470"/>
      <c r="AC51" s="1470"/>
      <c r="AD51" s="1470"/>
      <c r="AE51" s="1470"/>
      <c r="AF51" s="1470"/>
      <c r="AG51" s="1470"/>
      <c r="AH51" s="1470"/>
      <c r="AI51" s="1470"/>
      <c r="AJ51" s="1470"/>
      <c r="AK51" s="1470"/>
      <c r="AM51" s="935"/>
      <c r="AN51" s="935" t="str">
        <f>IF(T51="","",T51)</f>
        <v>Добавить централизованную систему для дифференциации</v>
      </c>
      <c r="AO51" s="935"/>
      <c r="AP51" s="935"/>
      <c r="AQ51" s="664">
        <v>0</v>
      </c>
    </row>
    <row s="6720" customFormat="1" customHeight="1" ht="0">
      <c r="A52" s="1489" t="s">
        <v>288</v>
      </c>
      <c r="B52" s="1489"/>
      <c r="C52" s="1489"/>
      <c r="D52" s="1489"/>
      <c r="E52" s="2417"/>
      <c r="F52" s="1489"/>
      <c r="G52" s="1489"/>
      <c r="H52" s="1489"/>
      <c r="I52" s="1489"/>
      <c r="J52" s="1489"/>
      <c r="K52" s="1489"/>
      <c r="L52" s="1492"/>
      <c r="M52" s="1467"/>
      <c r="N52" s="1467"/>
      <c r="O52" s="664"/>
      <c r="P52" s="526"/>
      <c r="Q52" s="1490"/>
      <c r="R52" s="526"/>
      <c r="S52" s="1468"/>
      <c r="T52" s="1471" t="s">
        <v>438</v>
      </c>
      <c r="U52" s="1470"/>
      <c r="V52" s="1470"/>
      <c r="W52" s="1470"/>
      <c r="X52" s="1470"/>
      <c r="Y52" s="1470"/>
      <c r="Z52" s="1470"/>
      <c r="AA52" s="1470"/>
      <c r="AB52" s="1470"/>
      <c r="AC52" s="1470"/>
      <c r="AD52" s="1470"/>
      <c r="AE52" s="1470"/>
      <c r="AF52" s="1470"/>
      <c r="AG52" s="1470"/>
      <c r="AH52" s="1470"/>
      <c r="AI52" s="1470"/>
      <c r="AJ52" s="1470"/>
      <c r="AK52" s="1470"/>
      <c r="AM52" s="646"/>
      <c r="AN52" s="646" t="str">
        <f>IF(T52="","",T52)</f>
        <v>Добавить территорию для дифференциации</v>
      </c>
      <c r="AO52" s="646"/>
      <c r="AP52" s="646"/>
      <c r="AQ52" s="657">
        <v>0</v>
      </c>
    </row>
    <row s="6720" customFormat="1" customHeight="1" ht="0">
      <c r="A53" s="1460"/>
      <c r="B53" s="1460"/>
      <c r="C53" s="1460"/>
      <c r="D53" s="1460"/>
      <c r="E53" s="1489"/>
      <c r="F53" s="1460"/>
      <c r="G53" s="1460"/>
      <c r="H53" s="1460"/>
      <c r="I53" s="1460"/>
      <c r="J53" s="1460"/>
      <c r="K53" s="1460"/>
      <c r="L53" s="1640"/>
      <c r="M53" s="1467"/>
      <c r="N53" s="1467"/>
      <c r="P53" s="1462"/>
      <c r="Q53" s="1463"/>
      <c r="R53" s="1462"/>
      <c r="S53" s="1468"/>
      <c r="T53" s="1471" t="s">
        <v>470</v>
      </c>
      <c r="U53" s="1470"/>
      <c r="V53" s="1470"/>
      <c r="W53" s="1470"/>
      <c r="X53" s="1470"/>
      <c r="Y53" s="1470"/>
      <c r="Z53" s="1470"/>
      <c r="AA53" s="1470"/>
      <c r="AB53" s="1470"/>
      <c r="AC53" s="1470"/>
      <c r="AD53" s="1470"/>
      <c r="AE53" s="1470"/>
      <c r="AF53" s="1470"/>
      <c r="AG53" s="1470"/>
      <c r="AH53" s="1470"/>
      <c r="AI53" s="1470"/>
      <c r="AJ53" s="1470"/>
      <c r="AK53" s="1470"/>
      <c r="AM53" s="935"/>
      <c r="AN53" s="935" t="str">
        <f>IF(T53="","",T53)</f>
        <v>Добавить наименование тарифа</v>
      </c>
      <c r="AO53" s="935"/>
      <c r="AP53" s="935"/>
      <c r="AQ53" s="664">
        <v>0</v>
      </c>
    </row>
    <row customHeight="1" ht="11.549999999999999">
      <c r="M54" s="1306"/>
      <c r="N54" s="1306"/>
      <c r="O54" s="683"/>
      <c r="P54" s="1301"/>
      <c r="Q54" s="1301"/>
      <c r="R54" s="1301"/>
      <c r="S54" s="1301"/>
      <c r="AL54" s="1301"/>
      <c r="AM54" s="1301"/>
      <c r="AN54" s="1301"/>
      <c r="AO54" s="1301"/>
      <c r="AP54" s="1301"/>
      <c r="AQ54" s="1301">
        <v>11</v>
      </c>
    </row>
    <row customHeight="1" ht="14.699999999999998">
      <c r="O55" s="683"/>
      <c r="S55" s="1399"/>
      <c r="T55" s="2444"/>
      <c r="U55" s="2444"/>
      <c r="V55" s="2444"/>
      <c r="W55" s="2444"/>
      <c r="X55" s="2444"/>
      <c r="Y55" s="2444"/>
      <c r="Z55" s="2444"/>
      <c r="AA55" s="2444"/>
      <c r="AB55" s="2444"/>
      <c r="AC55" s="2444"/>
      <c r="AD55" s="2444"/>
      <c r="AE55" s="2444"/>
      <c r="AF55" s="2444"/>
      <c r="AG55" s="2444"/>
      <c r="AH55" s="2444"/>
      <c r="AI55" s="2444"/>
      <c r="AJ55" s="2444"/>
      <c r="AK55" s="2444"/>
      <c r="AQ55" s="1301">
        <v>14</v>
      </c>
    </row>
    <row customHeight="1" ht="14.699999999999998">
      <c r="O56" s="683"/>
      <c r="AQ56" s="1301">
        <v>14</v>
      </c>
    </row>
    <row customHeight="1" ht="14.699999999999998">
      <c r="O57" s="683"/>
      <c r="S57" s="1399"/>
      <c r="T57" s="2444"/>
      <c r="U57" s="2444"/>
      <c r="V57" s="2444"/>
      <c r="W57" s="2444"/>
      <c r="X57" s="2444"/>
      <c r="Y57" s="2444"/>
      <c r="Z57" s="2444"/>
      <c r="AA57" s="2444"/>
      <c r="AB57" s="2444"/>
      <c r="AC57" s="2444"/>
      <c r="AD57" s="2444"/>
      <c r="AE57" s="2444"/>
      <c r="AF57" s="2444"/>
      <c r="AG57" s="2444"/>
      <c r="AH57" s="2444"/>
      <c r="AI57" s="2444"/>
      <c r="AJ57" s="2444"/>
      <c r="AK57" s="2444"/>
      <c r="AQ57" s="1301">
        <v>14</v>
      </c>
    </row>
    <row customHeight="1" ht="22.5" hidden="1">
      <c r="A58" s="1306" t="s">
        <v>83</v>
      </c>
      <c r="B58" s="1306">
        <v>0</v>
      </c>
      <c r="C58" s="1306">
        <v>0</v>
      </c>
      <c r="D58" s="1306">
        <v>0</v>
      </c>
      <c r="E58" s="1306">
        <v>0</v>
      </c>
      <c r="F58" s="1306">
        <v>0</v>
      </c>
      <c r="G58" s="1306">
        <v>0</v>
      </c>
      <c r="H58" s="1306">
        <v>0</v>
      </c>
      <c r="I58" s="1306">
        <v>0</v>
      </c>
      <c r="J58" s="1306">
        <v>0</v>
      </c>
      <c r="K58" s="1306">
        <v>0</v>
      </c>
      <c r="L58" s="1624">
        <v>0</v>
      </c>
      <c r="M58" s="1508">
        <v>0</v>
      </c>
      <c r="N58" s="1508">
        <v>0</v>
      </c>
      <c r="O58" s="1508">
        <v>0</v>
      </c>
      <c r="P58" s="1619">
        <v>3</v>
      </c>
      <c r="Q58" s="490">
        <v>3</v>
      </c>
      <c r="R58" s="490">
        <v>3</v>
      </c>
      <c r="S58" s="727">
        <v>12</v>
      </c>
      <c r="T58" s="1301">
        <v>35</v>
      </c>
      <c r="U58" s="1301">
        <v>0</v>
      </c>
      <c r="V58" s="1301">
        <v>0</v>
      </c>
      <c r="W58" s="1301">
        <v>0</v>
      </c>
      <c r="X58" s="1301">
        <v>0</v>
      </c>
      <c r="Y58" s="1301">
        <v>0</v>
      </c>
      <c r="Z58" s="1301">
        <v>0</v>
      </c>
      <c r="AA58" s="1301">
        <v>0</v>
      </c>
      <c r="AB58" s="1301">
        <v>0</v>
      </c>
      <c r="AC58" s="1301">
        <v>24</v>
      </c>
      <c r="AD58" s="1301">
        <v>24</v>
      </c>
      <c r="AE58" s="1301">
        <v>24</v>
      </c>
      <c r="AF58" s="1301">
        <v>11</v>
      </c>
      <c r="AG58" s="1301">
        <v>3</v>
      </c>
      <c r="AH58" s="1301">
        <v>11</v>
      </c>
      <c r="AI58" s="1301">
        <v>0</v>
      </c>
      <c r="AJ58" s="1301">
        <v>4</v>
      </c>
      <c r="AK58" s="1301">
        <v>115</v>
      </c>
      <c r="AL58" s="657">
        <v>10</v>
      </c>
      <c r="AM58" s="657">
        <v>10</v>
      </c>
      <c r="AN58" s="657">
        <v>10</v>
      </c>
      <c r="AO58" s="657">
        <v>10</v>
      </c>
      <c r="AP58" s="657">
        <v>10</v>
      </c>
      <c r="AQ58" s="130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CC3BA9-57EE-F8D2-4D8E-0.06961E9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4" style="7235" width="24.7109375" hidden="1" customWidth="1"/>
    <col min="25" max="25" style="7235" width="11.7109375" hidden="1" customWidth="1"/>
    <col min="26" max="26" style="7235" width="3.7109375" hidden="1" customWidth="1"/>
    <col min="27" max="27" style="7235" width="11.7109375" hidden="1" customWidth="1"/>
    <col min="28" max="28" style="7235" width="8.57421875" hidden="1" customWidth="1"/>
    <col min="29" max="29" style="7235" width="24.7109375" customWidth="1"/>
    <col min="30" max="31" style="7235" width="24.00390625" customWidth="1"/>
    <col min="32" max="32" style="7235" width="11.00390625" customWidth="1"/>
    <col min="33" max="33" style="7235" width="3.7109375" customWidth="1"/>
    <col min="34" max="34" style="7235" width="11.00390625" customWidth="1"/>
    <col min="35" max="35" style="7235" width="8.57421875" hidden="1" customWidth="1"/>
    <col min="36" max="36" style="7235" width="4.00390625" customWidth="1"/>
    <col min="37" max="37" style="7235" width="115.00390625" customWidth="1"/>
    <col min="38" max="42" style="6720" width="10.00390625" customWidth="1"/>
    <col min="43" max="43" style="7235" width="10.57421875" hidden="1"/>
  </cols>
  <sheetData>
    <row customHeight="1" ht="22.5" hidden="1">
      <c r="X1" s="473"/>
      <c r="Y1" s="473"/>
      <c r="AE1" s="473"/>
      <c r="AF1" s="473"/>
      <c r="AQ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639">
        <f>INDEX(PT_DIFFERENTIATION_NUM_NTAR,MATCH(A2,PT_DIFFERENTIATION_NTAR_ID,0))</f>
      </c>
      <c r="T2" s="444" t="s">
        <v>147</v>
      </c>
      <c r="U2" s="446"/>
      <c r="V2" s="2401"/>
      <c r="W2" s="2402"/>
      <c r="X2" s="2402"/>
      <c r="Y2" s="2402"/>
      <c r="Z2" s="2402"/>
      <c r="AA2" s="2402"/>
      <c r="AB2" s="2403"/>
      <c r="AC2" s="2401">
        <f>INDEX(PT_DIFFERENTIATION_NTAR,MATCH(A2,PT_DIFFERENTIATION_NTAR_ID,0))</f>
      </c>
      <c r="AD2" s="2402"/>
      <c r="AE2" s="2402"/>
      <c r="AF2" s="2402"/>
      <c r="AG2" s="2402"/>
      <c r="AH2" s="2402"/>
      <c r="AI2" s="2402"/>
      <c r="AJ2" s="2403"/>
      <c r="AK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46"/>
      <c r="AN2" s="646" t="str">
        <f>IF(T2="","",T2)</f>
        <v>Наименование тарифа</v>
      </c>
      <c r="AO2" s="646"/>
      <c r="AP2" s="646"/>
      <c r="AQ2" s="1301">
        <v>0</v>
      </c>
    </row>
    <row customHeight="1" ht="23.25" hidden="1">
      <c r="A3" s="1509"/>
      <c r="B3" s="1509"/>
      <c r="C3" s="1509"/>
      <c r="D3" s="1509"/>
      <c r="E3" s="2418"/>
      <c r="F3" s="2417">
        <v>1</v>
      </c>
      <c r="G3" s="1509"/>
      <c r="H3" s="1509"/>
      <c r="I3" s="1509"/>
      <c r="J3" s="1509"/>
      <c r="K3" s="1509"/>
      <c r="L3" s="1510"/>
      <c r="M3" s="1511"/>
      <c r="N3" s="1511"/>
      <c r="O3" s="1511"/>
      <c r="P3" s="1633"/>
      <c r="Q3" s="498"/>
      <c r="R3" s="499"/>
      <c r="S3" s="1639">
        <f>INDEX(PT_DIFFERENTIATION_NUM_TER,MATCH(B3,PT_DIFFERENTIATION_TER_ID,0))</f>
      </c>
      <c r="T3" s="454" t="s">
        <v>419</v>
      </c>
      <c r="U3" s="446"/>
      <c r="V3" s="2401"/>
      <c r="W3" s="2402"/>
      <c r="X3" s="2402"/>
      <c r="Y3" s="2402"/>
      <c r="Z3" s="2402"/>
      <c r="AA3" s="2402"/>
      <c r="AB3" s="2403"/>
      <c r="AC3" s="2401">
        <f>INDEX(PT_DIFFERENTIATION_TER,MATCH(B3,PT_DIFFERENTIATION_TER_ID,0))</f>
      </c>
      <c r="AD3" s="2402"/>
      <c r="AE3" s="2402"/>
      <c r="AF3" s="2402"/>
      <c r="AG3" s="2402"/>
      <c r="AH3" s="2402"/>
      <c r="AI3" s="2402"/>
      <c r="AJ3" s="2403"/>
      <c r="AK3" s="1404" t="s">
        <v>420</v>
      </c>
      <c r="AM3" s="646"/>
      <c r="AN3" s="646" t="str">
        <f>IF(T3="","",T3)</f>
        <v>Территория действия тарифа</v>
      </c>
      <c r="AO3" s="646"/>
      <c r="AP3" s="646"/>
      <c r="AQ3" s="1301">
        <v>0</v>
      </c>
    </row>
    <row customHeight="1" ht="23.25" hidden="1">
      <c r="A4" s="1509"/>
      <c r="B4" s="1509"/>
      <c r="C4" s="1509"/>
      <c r="D4" s="1509"/>
      <c r="E4" s="2418"/>
      <c r="F4" s="2418"/>
      <c r="G4" s="2417">
        <v>1</v>
      </c>
      <c r="H4" s="1509"/>
      <c r="I4" s="1509"/>
      <c r="J4" s="1509"/>
      <c r="K4" s="1509"/>
      <c r="L4" s="1510"/>
      <c r="M4" s="1511"/>
      <c r="N4" s="1511"/>
      <c r="O4" s="1511"/>
      <c r="P4" s="500"/>
      <c r="Q4" s="498"/>
      <c r="R4" s="499"/>
      <c r="S4" s="1639">
        <f>INDEX(PT_DIFFERENTIATION_NUM_CS,MATCH(C4,PT_DIFFERENTIATION_CS_ID,0))</f>
      </c>
      <c r="T4" s="455" t="s">
        <v>538</v>
      </c>
      <c r="U4" s="446"/>
      <c r="V4" s="2401"/>
      <c r="W4" s="2402"/>
      <c r="X4" s="2402"/>
      <c r="Y4" s="2402"/>
      <c r="Z4" s="2402"/>
      <c r="AA4" s="2402"/>
      <c r="AB4" s="2403"/>
      <c r="AC4" s="2401">
        <f>INDEX(PT_DIFFERENTIATION_CS,MATCH(C4,PT_DIFFERENTIATION_CS_ID,0))</f>
      </c>
      <c r="AD4" s="2402"/>
      <c r="AE4" s="2402"/>
      <c r="AF4" s="2402"/>
      <c r="AG4" s="2402"/>
      <c r="AH4" s="2402"/>
      <c r="AI4" s="2402"/>
      <c r="AJ4" s="2403"/>
      <c r="AK4" s="1404" t="s">
        <v>539</v>
      </c>
      <c r="AM4" s="646"/>
      <c r="AN4" s="646" t="str">
        <f>IF(T4="","",T4)</f>
        <v>Наименование централизованной системы водоотведения</v>
      </c>
      <c r="AO4" s="646"/>
      <c r="AP4" s="646"/>
      <c r="AQ4" s="1301">
        <v>0</v>
      </c>
    </row>
    <row customHeight="1" ht="23.25" hidden="1">
      <c r="A5" s="1509"/>
      <c r="B5" s="1509"/>
      <c r="C5" s="1509"/>
      <c r="D5" s="1509"/>
      <c r="E5" s="2418"/>
      <c r="F5" s="2418"/>
      <c r="G5" s="2418"/>
      <c r="H5" s="2418"/>
      <c r="I5" s="2415">
        <f>S4&amp;".1"</f>
      </c>
      <c r="J5" s="1509"/>
      <c r="K5" s="1509"/>
      <c r="L5" s="1510"/>
      <c r="P5" s="2416">
        <v>1</v>
      </c>
      <c r="Q5" s="1627"/>
      <c r="R5" s="502"/>
      <c r="S5" s="1639">
        <f>$I5</f>
      </c>
      <c r="T5" s="431" t="s">
        <v>505</v>
      </c>
      <c r="U5" s="446"/>
      <c r="V5" s="2509"/>
      <c r="W5" s="2510"/>
      <c r="X5" s="2510"/>
      <c r="Y5" s="2510"/>
      <c r="Z5" s="2510"/>
      <c r="AA5" s="2510"/>
      <c r="AB5" s="2511"/>
      <c r="AC5" s="2512"/>
      <c r="AD5" s="2513"/>
      <c r="AE5" s="2513"/>
      <c r="AF5" s="2513"/>
      <c r="AG5" s="2513"/>
      <c r="AH5" s="2513"/>
      <c r="AI5" s="2513"/>
      <c r="AJ5" s="2514"/>
      <c r="AK5" s="1404" t="s">
        <v>506</v>
      </c>
      <c r="AM5" s="646"/>
      <c r="AN5" s="646" t="str">
        <f>IF(T5="","",T5)</f>
        <v>Наименование признака дифференциации</v>
      </c>
      <c r="AO5" s="646"/>
      <c r="AP5" s="646"/>
      <c r="AQ5" s="1301">
        <v>0</v>
      </c>
    </row>
    <row customHeight="1" ht="23.25" hidden="1">
      <c r="A6" s="1509"/>
      <c r="B6" s="1509"/>
      <c r="C6" s="1509"/>
      <c r="D6" s="1509"/>
      <c r="E6" s="2418"/>
      <c r="F6" s="2418"/>
      <c r="G6" s="2418"/>
      <c r="H6" s="2418"/>
      <c r="I6" s="2445"/>
      <c r="J6" s="2415">
        <f>I5&amp;".1"</f>
      </c>
      <c r="K6" s="1509"/>
      <c r="L6" s="1510" t="s">
        <v>428</v>
      </c>
      <c r="P6" s="2416"/>
      <c r="Q6" s="2416">
        <v>1</v>
      </c>
      <c r="R6" s="503"/>
      <c r="S6" s="1639">
        <f>$J6</f>
      </c>
      <c r="T6" s="432" t="s">
        <v>429</v>
      </c>
      <c r="U6" s="446"/>
      <c r="V6" s="2404"/>
      <c r="W6" s="2405"/>
      <c r="X6" s="2405"/>
      <c r="Y6" s="2405"/>
      <c r="Z6" s="2405"/>
      <c r="AA6" s="2405"/>
      <c r="AB6" s="2406"/>
      <c r="AC6" s="2404"/>
      <c r="AD6" s="2405"/>
      <c r="AE6" s="2405"/>
      <c r="AF6" s="2405"/>
      <c r="AG6" s="2405"/>
      <c r="AH6" s="2405"/>
      <c r="AI6" s="2405"/>
      <c r="AJ6" s="2406"/>
      <c r="AK6" s="1453" t="s">
        <v>507</v>
      </c>
      <c r="AM6" s="646"/>
      <c r="AN6" s="646" t="str">
        <f>IF(T6="","",T6)</f>
        <v>Группа потребителей</v>
      </c>
      <c r="AO6" s="646"/>
      <c r="AP6" s="646"/>
      <c r="AQ6" s="1301">
        <v>0</v>
      </c>
    </row>
    <row customHeight="1" ht="23.25" hidden="1">
      <c r="A7" s="1509"/>
      <c r="B7" s="1509"/>
      <c r="C7" s="1509"/>
      <c r="D7" s="1509"/>
      <c r="E7" s="2418"/>
      <c r="F7" s="2418"/>
      <c r="G7" s="2418"/>
      <c r="H7" s="2418"/>
      <c r="I7" s="2445"/>
      <c r="J7" s="2445"/>
      <c r="K7" s="2415">
        <f>J6&amp;".1"</f>
      </c>
      <c r="L7" s="1510"/>
      <c r="P7" s="2416"/>
      <c r="Q7" s="2416"/>
      <c r="R7" s="503">
        <v>1</v>
      </c>
      <c r="S7" s="1639">
        <f>$K7</f>
      </c>
      <c r="T7" s="1583"/>
      <c r="U7" s="446"/>
      <c r="V7" s="897"/>
      <c r="W7" s="897"/>
      <c r="X7" s="1403"/>
      <c r="Y7" s="2424"/>
      <c r="Z7" s="2266" t="s">
        <v>63</v>
      </c>
      <c r="AA7" s="2424"/>
      <c r="AB7" s="2266" t="s">
        <v>63</v>
      </c>
      <c r="AC7" s="897"/>
      <c r="AD7" s="897"/>
      <c r="AE7" s="1403"/>
      <c r="AF7" s="2424"/>
      <c r="AG7" s="2266" t="s">
        <v>63</v>
      </c>
      <c r="AH7" s="2446"/>
      <c r="AI7" s="2266" t="s">
        <v>63</v>
      </c>
      <c r="AJ7" s="1584"/>
      <c r="AK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7">
        <f>STRCHECKDATE(V8:AJ8)</f>
      </c>
      <c r="AM7" s="646"/>
      <c r="AN7" s="646" t="str">
        <f>IF(T7="","",T7)</f>
        <v/>
      </c>
      <c r="AO7" s="646"/>
      <c r="AP7" s="646"/>
      <c r="AQ7" s="1301">
        <v>0</v>
      </c>
    </row>
    <row customHeight="1" ht="14.25" hidden="1">
      <c r="A8" s="1509"/>
      <c r="B8" s="1509"/>
      <c r="C8" s="1509"/>
      <c r="D8" s="1509"/>
      <c r="E8" s="2418"/>
      <c r="F8" s="2418"/>
      <c r="G8" s="2418"/>
      <c r="H8" s="2418"/>
      <c r="I8" s="2445"/>
      <c r="J8" s="2445"/>
      <c r="K8" s="2415"/>
      <c r="L8" s="1510"/>
      <c r="P8" s="2416"/>
      <c r="Q8" s="2416"/>
      <c r="R8" s="503"/>
      <c r="S8" s="1636"/>
      <c r="T8" s="446"/>
      <c r="U8" s="446"/>
      <c r="V8" s="471"/>
      <c r="W8" s="471"/>
      <c r="X8" s="474" t="str">
        <f>Y7&amp;"-"&amp;AA7</f>
        <v>-</v>
      </c>
      <c r="Y8" s="2425"/>
      <c r="Z8" s="2266"/>
      <c r="AA8" s="2425"/>
      <c r="AB8" s="2266"/>
      <c r="AC8" s="471"/>
      <c r="AD8" s="471"/>
      <c r="AE8" s="474" t="str">
        <f>AF7&amp;"-"&amp;AH7</f>
        <v>-</v>
      </c>
      <c r="AF8" s="2425"/>
      <c r="AG8" s="2266"/>
      <c r="AH8" s="2447"/>
      <c r="AI8" s="2266"/>
      <c r="AJ8" s="1585"/>
      <c r="AK8" s="2508"/>
      <c r="AM8" s="646"/>
      <c r="AN8" s="646" t="str">
        <f>IF(T8="","",T8)</f>
        <v/>
      </c>
      <c r="AO8" s="646"/>
      <c r="AP8" s="646"/>
      <c r="AQ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513"/>
      <c r="X9" s="513"/>
      <c r="Y9" s="513"/>
      <c r="Z9" s="513"/>
      <c r="AA9" s="513"/>
      <c r="AB9" s="513"/>
      <c r="AC9" s="513"/>
      <c r="AD9" s="513"/>
      <c r="AE9" s="513"/>
      <c r="AF9" s="513"/>
      <c r="AG9" s="513"/>
      <c r="AH9" s="513"/>
      <c r="AI9" s="513"/>
      <c r="AJ9" s="513"/>
      <c r="AK9" s="1404" t="s">
        <v>509</v>
      </c>
      <c r="AM9" s="646"/>
      <c r="AN9" s="646" t="str">
        <f>IF(T9="","",T9)</f>
        <v>Добавить значение признака дифференциации</v>
      </c>
      <c r="AO9" s="646"/>
      <c r="AP9" s="646"/>
      <c r="AQ9" s="1301">
        <v>0</v>
      </c>
    </row>
    <row customHeight="1" ht="21" hidden="1">
      <c r="A10" s="1509"/>
      <c r="B10" s="1509"/>
      <c r="C10" s="1509"/>
      <c r="D10" s="1509"/>
      <c r="E10" s="2418"/>
      <c r="F10" s="2418"/>
      <c r="G10" s="2418"/>
      <c r="H10" s="2418"/>
      <c r="I10" s="2415"/>
      <c r="J10" s="1509"/>
      <c r="K10" s="1509"/>
      <c r="L10" s="1510"/>
      <c r="P10" s="2416"/>
      <c r="Q10" s="1627"/>
      <c r="R10" s="502"/>
      <c r="S10" s="1424"/>
      <c r="T10" s="511" t="s">
        <v>434</v>
      </c>
      <c r="U10" s="513"/>
      <c r="V10" s="513"/>
      <c r="W10" s="513"/>
      <c r="X10" s="513"/>
      <c r="Y10" s="513"/>
      <c r="Z10" s="513"/>
      <c r="AA10" s="513"/>
      <c r="AB10" s="512"/>
      <c r="AC10" s="513"/>
      <c r="AD10" s="513"/>
      <c r="AE10" s="513"/>
      <c r="AF10" s="513"/>
      <c r="AG10" s="513"/>
      <c r="AH10" s="513"/>
      <c r="AI10" s="512"/>
      <c r="AJ10" s="513"/>
      <c r="AK10" s="1586"/>
      <c r="AM10" s="646"/>
      <c r="AN10" s="646" t="str">
        <f>IF(T10="","",T10)</f>
        <v>Добавить группу потребителей</v>
      </c>
      <c r="AO10" s="646"/>
      <c r="AP10" s="646"/>
      <c r="AQ10" s="1301">
        <v>0</v>
      </c>
    </row>
    <row customHeight="1" ht="21"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513"/>
      <c r="X11" s="513"/>
      <c r="Y11" s="513"/>
      <c r="Z11" s="513"/>
      <c r="AA11" s="513"/>
      <c r="AB11" s="512"/>
      <c r="AC11" s="513"/>
      <c r="AD11" s="513"/>
      <c r="AE11" s="513"/>
      <c r="AF11" s="513"/>
      <c r="AG11" s="513"/>
      <c r="AH11" s="513"/>
      <c r="AI11" s="512"/>
      <c r="AJ11" s="513"/>
      <c r="AK11" s="449"/>
      <c r="AM11" s="646"/>
      <c r="AN11" s="646" t="str">
        <f>IF(T11="","",T11)</f>
        <v>Добавить наименование признака дифференциации</v>
      </c>
      <c r="AO11" s="646"/>
      <c r="AP11" s="646"/>
      <c r="AQ11" s="1301">
        <v>0</v>
      </c>
    </row>
    <row s="6720" customFormat="1" customHeight="1" ht="14.25" hidden="1">
      <c r="A12" s="1489"/>
      <c r="B12" s="1489"/>
      <c r="C12" s="1460"/>
      <c r="D12" s="1460"/>
      <c r="E12" s="2418"/>
      <c r="F12" s="2417"/>
      <c r="G12" s="1460"/>
      <c r="H12" s="1460"/>
      <c r="I12" s="1460"/>
      <c r="J12" s="1460"/>
      <c r="K12" s="1460"/>
      <c r="L12" s="1640"/>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M12" s="935"/>
      <c r="AN12" s="935" t="str">
        <f>IF(T12="","",T12)</f>
        <v>Добавить централизованную систему для дифференциации</v>
      </c>
      <c r="AO12" s="935"/>
      <c r="AP12" s="935"/>
      <c r="AQ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M13" s="646"/>
      <c r="AN13" s="646" t="str">
        <f>IF(T13="","",T13)</f>
        <v>Добавить территорию для дифференциации</v>
      </c>
      <c r="AO13" s="646"/>
      <c r="AP13" s="646"/>
      <c r="AQ13" s="657">
        <v>0</v>
      </c>
    </row>
    <row customHeight="1" ht="14.25" hidden="1">
      <c r="AB14" s="473"/>
      <c r="AI14" s="473"/>
      <c r="AQ14" s="1301">
        <v>0</v>
      </c>
    </row>
    <row customHeight="1" ht="14.25" hidden="1">
      <c r="AC15" s="1506"/>
      <c r="AD15" s="1506"/>
      <c r="AE15" s="1507"/>
      <c r="AF15" s="2426"/>
      <c r="AG15" s="2427" t="s">
        <v>63</v>
      </c>
      <c r="AH15" s="2426"/>
      <c r="AI15" s="2427" t="s">
        <v>63</v>
      </c>
      <c r="AQ15" s="1301">
        <v>0</v>
      </c>
    </row>
    <row customHeight="1" ht="14.25" hidden="1">
      <c r="AC16" s="1506"/>
      <c r="AD16" s="1506"/>
      <c r="AE16" s="474" t="str">
        <f>AF15&amp;"-"&amp;AH15</f>
        <v>-</v>
      </c>
      <c r="AF16" s="2427"/>
      <c r="AG16" s="2427"/>
      <c r="AH16" s="2427"/>
      <c r="AI16" s="2427"/>
      <c r="AQ16" s="1301">
        <v>0</v>
      </c>
    </row>
    <row customHeight="1" ht="14.25" hidden="1">
      <c r="AI17" s="473"/>
      <c r="AQ17" s="1301">
        <v>0</v>
      </c>
    </row>
    <row s="7180" customFormat="1" customHeight="1" ht="22.5" hidden="1">
      <c r="L18" s="1624"/>
      <c r="M18" s="1508"/>
      <c r="N18" s="1508"/>
      <c r="O18" s="1513" t="s">
        <v>439</v>
      </c>
      <c r="P18" s="1508"/>
      <c r="Q18" s="1517"/>
      <c r="R18" s="1517"/>
      <c r="S18" s="875"/>
      <c r="Y18" s="1513"/>
      <c r="AA18" s="1513"/>
      <c r="AB18" s="1512"/>
      <c r="AF18" s="1513"/>
      <c r="AH18" s="1513"/>
      <c r="AI18" s="1512"/>
      <c r="AL18" s="657"/>
      <c r="AM18" s="657"/>
      <c r="AN18" s="657"/>
      <c r="AO18" s="657"/>
      <c r="AP18" s="657"/>
      <c r="AQ18" s="1306">
        <v>0</v>
      </c>
    </row>
    <row s="7180" customFormat="1" customHeight="1" ht="14.25" hidden="1">
      <c r="L19" s="1624"/>
      <c r="M19" s="1508"/>
      <c r="N19" s="1508"/>
      <c r="O19" s="1508"/>
      <c r="P19" s="1508"/>
      <c r="Q19" s="1517"/>
      <c r="R19" s="1517"/>
      <c r="S19" s="875"/>
      <c r="AB19" s="1512"/>
      <c r="AI19" s="1512"/>
      <c r="AL19" s="657"/>
      <c r="AM19" s="657"/>
      <c r="AN19" s="657"/>
      <c r="AO19" s="657"/>
      <c r="AP19" s="657"/>
      <c r="AQ19" s="1306">
        <v>0</v>
      </c>
    </row>
    <row s="7180" customFormat="1" customHeight="1" ht="12" hidden="1">
      <c r="L20" s="1624"/>
      <c r="M20" s="1508"/>
      <c r="N20" s="1508"/>
      <c r="O20" s="1510" t="s">
        <v>440</v>
      </c>
      <c r="P20" s="1508"/>
      <c r="Q20" s="1588"/>
      <c r="R20" s="1588"/>
      <c r="S20" s="875"/>
      <c r="T20" s="1306" t="s">
        <v>441</v>
      </c>
      <c r="Z20" s="332" t="s">
        <v>442</v>
      </c>
      <c r="AB20" s="332" t="s">
        <v>443</v>
      </c>
      <c r="AC20" s="1306" t="s">
        <v>441</v>
      </c>
      <c r="AG20" s="332" t="s">
        <v>444</v>
      </c>
      <c r="AI20" s="332" t="s">
        <v>443</v>
      </c>
      <c r="AQ20" s="1306">
        <v>0</v>
      </c>
    </row>
    <row customHeight="1" ht="14.25" hidden="1">
      <c r="O21" s="1510"/>
      <c r="AQ21" s="1301">
        <v>0</v>
      </c>
    </row>
    <row customHeight="1" ht="14.25" hidden="1">
      <c r="O22" s="1510"/>
      <c r="AQ22" s="1301">
        <v>0</v>
      </c>
    </row>
    <row customHeight="1" ht="14.699999999999998">
      <c r="Q23" s="522"/>
      <c r="R23" s="522"/>
      <c r="S23" s="1421"/>
      <c r="T23" s="509"/>
      <c r="U23" s="509"/>
      <c r="V23" s="655"/>
      <c r="W23" s="655"/>
      <c r="X23" s="655"/>
      <c r="Y23" s="655"/>
      <c r="Z23" s="655"/>
      <c r="AA23" s="655"/>
      <c r="AB23" s="655"/>
      <c r="AC23" s="655"/>
      <c r="AD23" s="655"/>
      <c r="AE23" s="655"/>
      <c r="AF23" s="655"/>
      <c r="AG23" s="655"/>
      <c r="AH23" s="655"/>
      <c r="AI23" s="655"/>
      <c r="AQ23" s="1301">
        <v>14</v>
      </c>
    </row>
    <row customHeight="1" ht="14.699999999999998">
      <c r="Q24" s="522"/>
      <c r="R24" s="522"/>
      <c r="S24" s="24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7"/>
      <c r="U24" s="2407"/>
      <c r="V24" s="2407"/>
      <c r="W24" s="2407"/>
      <c r="X24" s="2407"/>
      <c r="Y24" s="2407"/>
      <c r="Z24" s="2407"/>
      <c r="AA24" s="2407"/>
      <c r="AB24" s="2407"/>
      <c r="AC24" s="2407"/>
      <c r="AD24" s="2407"/>
      <c r="AE24" s="2407"/>
      <c r="AF24" s="2407"/>
      <c r="AG24" s="2407"/>
      <c r="AH24" s="2407"/>
      <c r="AI24" s="1389"/>
      <c r="AQ24" s="1301">
        <v>14</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1389"/>
      <c r="AQ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655"/>
      <c r="AQ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472"/>
      <c r="AC27" s="2410" t="str">
        <f>IF(TITLE_NAME_OR_PR_CHANGE="",IF(TITLE_NAME_OR_PR="","",TITLE_NAME_OR_PR),TITLE_NAME_OR_PR_CHANGE)</f>
        <v/>
      </c>
      <c r="AD27" s="2410"/>
      <c r="AE27" s="2410"/>
      <c r="AF27" s="2410"/>
      <c r="AG27" s="2410"/>
      <c r="AH27" s="2410"/>
      <c r="AI27" s="472"/>
      <c r="AJ27" s="472"/>
      <c r="AK27" s="426"/>
      <c r="AL27" s="514"/>
      <c r="AM27" s="514"/>
      <c r="AN27" s="514"/>
      <c r="AO27" s="514"/>
      <c r="AP27" s="514"/>
      <c r="AQ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472"/>
      <c r="AC28" s="2423" t="str">
        <f>IF(TITLE_DATE_PR_CHANGE="",IF(TITLE_DATE_PR="","",TITLE_DATE_PR),TITLE_DATE_PR_CHANGE)</f>
        <v/>
      </c>
      <c r="AD28" s="2423"/>
      <c r="AE28" s="2423"/>
      <c r="AF28" s="2423"/>
      <c r="AG28" s="2423"/>
      <c r="AH28" s="2423"/>
      <c r="AI28" s="472"/>
      <c r="AJ28" s="472"/>
      <c r="AK28" s="426"/>
      <c r="AL28" s="514"/>
      <c r="AM28" s="514"/>
      <c r="AN28" s="514"/>
      <c r="AO28" s="514"/>
      <c r="AP28" s="514"/>
      <c r="AQ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472"/>
      <c r="AC29" s="2410" t="str">
        <f>IF(TITLE_NUMBER_PR_CHANGE="",IF(TITLE_NUMBER_PR="","",TITLE_NUMBER_PR),TITLE_NUMBER_PR_CHANGE)</f>
        <v/>
      </c>
      <c r="AD29" s="2410"/>
      <c r="AE29" s="2410"/>
      <c r="AF29" s="2410"/>
      <c r="AG29" s="2410"/>
      <c r="AH29" s="2410"/>
      <c r="AI29" s="472"/>
      <c r="AJ29" s="472"/>
      <c r="AK29" s="426"/>
      <c r="AL29" s="514"/>
      <c r="AM29" s="514"/>
      <c r="AN29" s="514"/>
      <c r="AO29" s="514"/>
      <c r="AP29" s="514"/>
      <c r="AQ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472"/>
      <c r="AC30" s="2410" t="str">
        <f>IF(TITLE_IST_PUB_CHANGE="",IF(TITLE_IST_PUB="","",TITLE_IST_PUB),TITLE_IST_PUB_CHANGE)</f>
        <v/>
      </c>
      <c r="AD30" s="2410"/>
      <c r="AE30" s="2410"/>
      <c r="AF30" s="2410"/>
      <c r="AG30" s="2410"/>
      <c r="AH30" s="2410"/>
      <c r="AI30" s="472"/>
      <c r="AJ30" s="472"/>
      <c r="AK30" s="426"/>
      <c r="AL30" s="514"/>
      <c r="AM30" s="514"/>
      <c r="AN30" s="514"/>
      <c r="AO30" s="514"/>
      <c r="AP30" s="514"/>
      <c r="AQ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655"/>
      <c r="AQ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472"/>
      <c r="AC32" s="2423" t="str">
        <f>IF(TITLE_DATE_PR_CHANGE="",IF(TITLE_DATE_PR="","",TITLE_DATE_PR),TITLE_DATE_PR_CHANGE)</f>
        <v/>
      </c>
      <c r="AD32" s="2423"/>
      <c r="AE32" s="2423"/>
      <c r="AF32" s="2423"/>
      <c r="AG32" s="2423"/>
      <c r="AH32" s="2423"/>
      <c r="AI32" s="472"/>
      <c r="AJ32" s="472"/>
      <c r="AK32" s="426"/>
      <c r="AL32" s="514"/>
      <c r="AM32" s="514"/>
      <c r="AN32" s="514"/>
      <c r="AO32" s="514"/>
      <c r="AP32" s="514"/>
      <c r="AQ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472"/>
      <c r="AC33" s="2410" t="str">
        <f>IF(TITLE_NUMBER_PR_CHANGE="",IF(TITLE_NUMBER_PR="","",TITLE_NUMBER_PR),TITLE_NUMBER_PR_CHANGE)</f>
        <v/>
      </c>
      <c r="AD33" s="2410"/>
      <c r="AE33" s="2410"/>
      <c r="AF33" s="2410"/>
      <c r="AG33" s="2410"/>
      <c r="AH33" s="2410"/>
      <c r="AI33" s="472"/>
      <c r="AJ33" s="472"/>
      <c r="AK33" s="426"/>
      <c r="AL33" s="514"/>
      <c r="AM33" s="514"/>
      <c r="AN33" s="514"/>
      <c r="AO33" s="514"/>
      <c r="AP33" s="514"/>
      <c r="AQ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634"/>
      <c r="V34" s="472"/>
      <c r="W34" s="472"/>
      <c r="X34" s="472"/>
      <c r="Y34" s="472"/>
      <c r="Z34" s="472"/>
      <c r="AA34" s="472"/>
      <c r="AB34" s="424" t="s">
        <v>449</v>
      </c>
      <c r="AC34" s="472"/>
      <c r="AD34" s="472"/>
      <c r="AE34" s="472"/>
      <c r="AF34" s="472"/>
      <c r="AG34" s="472"/>
      <c r="AH34" s="472"/>
      <c r="AI34" s="424" t="s">
        <v>449</v>
      </c>
      <c r="AL34" s="514"/>
      <c r="AM34" s="514"/>
      <c r="AN34" s="514"/>
      <c r="AO34" s="514"/>
      <c r="AP34" s="514"/>
      <c r="AQ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Q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t="s">
        <v>323</v>
      </c>
      <c r="AQ36" s="1301">
        <v>14</v>
      </c>
    </row>
    <row customHeight="1" ht="14.699999999999998">
      <c r="Q37" s="522"/>
      <c r="R37" s="522"/>
      <c r="S37" s="2432" t="s">
        <v>89</v>
      </c>
      <c r="T37" s="2368" t="s">
        <v>450</v>
      </c>
      <c r="U37" s="447"/>
      <c r="V37" s="2433" t="s">
        <v>451</v>
      </c>
      <c r="W37" s="2434"/>
      <c r="X37" s="2434"/>
      <c r="Y37" s="2434"/>
      <c r="Z37" s="2434"/>
      <c r="AA37" s="2435"/>
      <c r="AB37" s="2436" t="s">
        <v>452</v>
      </c>
      <c r="AC37" s="2433" t="s">
        <v>451</v>
      </c>
      <c r="AD37" s="2434"/>
      <c r="AE37" s="2434"/>
      <c r="AF37" s="2434"/>
      <c r="AG37" s="2434"/>
      <c r="AH37" s="2435"/>
      <c r="AI37" s="2436" t="s">
        <v>453</v>
      </c>
      <c r="AJ37" s="2439" t="s">
        <v>454</v>
      </c>
      <c r="AK37" s="2286"/>
      <c r="AQ37" s="1301">
        <v>14</v>
      </c>
    </row>
    <row customHeight="1" ht="35.699999999999996">
      <c r="Q38" s="522"/>
      <c r="R38" s="522"/>
      <c r="S38" s="2432"/>
      <c r="T38" s="2368"/>
      <c r="U38" s="1177"/>
      <c r="V38" s="1629" t="s">
        <v>511</v>
      </c>
      <c r="W38" s="2421" t="s">
        <v>457</v>
      </c>
      <c r="X38" s="2422"/>
      <c r="Y38" s="2421" t="s">
        <v>458</v>
      </c>
      <c r="Z38" s="2428"/>
      <c r="AA38" s="2422"/>
      <c r="AB38" s="2437"/>
      <c r="AC38" s="1629" t="s">
        <v>511</v>
      </c>
      <c r="AD38" s="2421" t="s">
        <v>457</v>
      </c>
      <c r="AE38" s="2422"/>
      <c r="AF38" s="2421" t="s">
        <v>458</v>
      </c>
      <c r="AG38" s="2428"/>
      <c r="AH38" s="2422"/>
      <c r="AI38" s="2437"/>
      <c r="AJ38" s="2440"/>
      <c r="AK38" s="2286"/>
      <c r="AQ38" s="1301">
        <v>34</v>
      </c>
    </row>
    <row customHeight="1" ht="90.3">
      <c r="A39" s="1516"/>
      <c r="B39" s="1516" t="s">
        <v>159</v>
      </c>
      <c r="C39" s="1516" t="s">
        <v>160</v>
      </c>
      <c r="D39" s="1516" t="s">
        <v>161</v>
      </c>
      <c r="E39" s="1510" t="s">
        <v>459</v>
      </c>
      <c r="F39" s="1510" t="s">
        <v>460</v>
      </c>
      <c r="G39" s="1510" t="s">
        <v>461</v>
      </c>
      <c r="H39" s="1510"/>
      <c r="I39" s="1510" t="s">
        <v>512</v>
      </c>
      <c r="J39" s="1510" t="s">
        <v>464</v>
      </c>
      <c r="K39" s="1510" t="s">
        <v>513</v>
      </c>
      <c r="L39" s="1510" t="s">
        <v>440</v>
      </c>
      <c r="Q39" s="522"/>
      <c r="R39" s="522"/>
      <c r="S39" s="2432"/>
      <c r="T39" s="2368"/>
      <c r="U39" s="448"/>
      <c r="V39" s="1629" t="s">
        <v>540</v>
      </c>
      <c r="W39" s="1368" t="s">
        <v>541</v>
      </c>
      <c r="X39" s="1368" t="s">
        <v>516</v>
      </c>
      <c r="Y39" s="1635" t="s">
        <v>468</v>
      </c>
      <c r="Z39" s="2429" t="s">
        <v>469</v>
      </c>
      <c r="AA39" s="2430"/>
      <c r="AB39" s="2438"/>
      <c r="AC39" s="1629" t="s">
        <v>540</v>
      </c>
      <c r="AD39" s="1368" t="s">
        <v>541</v>
      </c>
      <c r="AE39" s="1368" t="s">
        <v>516</v>
      </c>
      <c r="AF39" s="1635" t="s">
        <v>468</v>
      </c>
      <c r="AG39" s="2429" t="s">
        <v>469</v>
      </c>
      <c r="AH39" s="2430"/>
      <c r="AI39" s="2438"/>
      <c r="AJ39" s="2441"/>
      <c r="AK39" s="2286"/>
      <c r="AQ39" s="1301">
        <v>86</v>
      </c>
    </row>
    <row s="6314" customFormat="1" customHeight="1" ht="0">
      <c r="A40" s="1516"/>
      <c r="B40" s="1516"/>
      <c r="C40" s="1516"/>
      <c r="D40" s="1516"/>
      <c r="E40" s="1516"/>
      <c r="F40" s="1516"/>
      <c r="G40" s="1516"/>
      <c r="H40" s="1516"/>
      <c r="I40" s="1516"/>
      <c r="J40" s="1516"/>
      <c r="K40" s="1516"/>
      <c r="L40" s="1510"/>
      <c r="M40" s="1508"/>
      <c r="N40" s="1508"/>
      <c r="O40" s="1508"/>
      <c r="P40" s="1392"/>
      <c r="Q40" s="1393"/>
      <c r="R40" s="1400">
        <v>1</v>
      </c>
      <c r="S40" s="1423" t="s">
        <v>121</v>
      </c>
      <c r="T40" s="1401" t="s">
        <v>105</v>
      </c>
      <c r="U40" s="1391" t="str">
        <f>OFFSET(U40,0,-1)</f>
        <v>2</v>
      </c>
      <c r="V40" s="1628">
        <f>OFFSET(V40,0,-1)+1</f>
        <v>3</v>
      </c>
      <c r="W40" s="1628">
        <f>OFFSET(W40,0,-1)+1</f>
        <v>4</v>
      </c>
      <c r="X40" s="1628">
        <f>OFFSET(X40,0,-1)+1</f>
        <v>5</v>
      </c>
      <c r="Y40" s="1628">
        <f>OFFSET(Y40,0,-1)+1</f>
        <v>6</v>
      </c>
      <c r="Z40" s="2431">
        <f>OFFSET(Z40,0,-1)+1</f>
        <v>7</v>
      </c>
      <c r="AA40" s="2431"/>
      <c r="AB40" s="1628">
        <f>OFFSET(AB40,0,-2)+1</f>
        <v>8</v>
      </c>
      <c r="AC40" s="1628">
        <f>OFFSET(AC40,0,-1)+1</f>
        <v>9</v>
      </c>
      <c r="AD40" s="1628">
        <f>OFFSET(AD40,0,-1)+1</f>
        <v>10</v>
      </c>
      <c r="AE40" s="1628">
        <f>OFFSET(AE40,0,-1)+1</f>
        <v>11</v>
      </c>
      <c r="AF40" s="1628">
        <f>OFFSET(AF40,0,-1)+1</f>
        <v>12</v>
      </c>
      <c r="AG40" s="2431">
        <f>OFFSET(AG40,0,-1)+1</f>
        <v>13</v>
      </c>
      <c r="AH40" s="2431"/>
      <c r="AI40" s="1628">
        <f>OFFSET(AI40,0,-2)+1</f>
        <v>14</v>
      </c>
      <c r="AJ40" s="1391">
        <f>OFFSET(AJ40,0,-1)</f>
        <v>14</v>
      </c>
      <c r="AK40" s="1628">
        <f>OFFSET(AK40,0,-1)+1</f>
        <v>15</v>
      </c>
      <c r="AL40" s="657"/>
      <c r="AM40" s="657"/>
      <c r="AN40" s="657"/>
      <c r="AO40" s="657"/>
      <c r="AP40" s="657"/>
      <c r="AQ40" s="642">
        <v>0</v>
      </c>
    </row>
    <row customHeight="1" ht="24">
      <c r="A41" s="1509" t="s">
        <v>293</v>
      </c>
      <c r="B41" s="1509"/>
      <c r="C41" s="1509"/>
      <c r="D41" s="1509"/>
      <c r="E41" s="2417">
        <v>1</v>
      </c>
      <c r="F41" s="1509"/>
      <c r="G41" s="1509"/>
      <c r="H41" s="1509"/>
      <c r="I41" s="1509"/>
      <c r="J41" s="1509"/>
      <c r="K41" s="1509"/>
      <c r="L41" s="1510"/>
      <c r="M41" s="1511"/>
      <c r="N41" s="1511"/>
      <c r="O41" s="1511"/>
      <c r="P41" s="507"/>
      <c r="Q41" s="506"/>
      <c r="R41" s="501"/>
      <c r="S41" s="1639">
        <f>INDEX(PT_DIFFERENTIATION_NUM_NTAR,MATCH(A41,PT_DIFFERENTIATION_NTAR_ID,0))</f>
        <v>0</v>
      </c>
      <c r="T41" s="444" t="s">
        <v>147</v>
      </c>
      <c r="U41" s="446"/>
      <c r="V41" s="2401"/>
      <c r="W41" s="2402"/>
      <c r="X41" s="2402"/>
      <c r="Y41" s="2402"/>
      <c r="Z41" s="2402"/>
      <c r="AA41" s="2402"/>
      <c r="AB41" s="2403"/>
      <c r="AC41" s="2401" t="str">
        <f>INDEX(PT_DIFFERENTIATION_NTAR,MATCH(A41,PT_DIFFERENTIATION_NTAR_ID,0))</f>
        <v/>
      </c>
      <c r="AD41" s="2402"/>
      <c r="AE41" s="2402"/>
      <c r="AF41" s="2402"/>
      <c r="AG41" s="2402"/>
      <c r="AH41" s="2402"/>
      <c r="AI41" s="2402"/>
      <c r="AJ41" s="2403"/>
      <c r="AK41"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46"/>
      <c r="AN41" s="646" t="str">
        <f>IF(T41="","",T41)</f>
        <v>Наименование тарифа</v>
      </c>
      <c r="AO41" s="646"/>
      <c r="AP41" s="646"/>
      <c r="AQ41" s="1301">
        <v>23</v>
      </c>
    </row>
    <row customHeight="1" ht="24">
      <c r="A42" s="1509" t="s">
        <v>293</v>
      </c>
      <c r="B42" s="1509" t="s">
        <v>294</v>
      </c>
      <c r="C42" s="1509"/>
      <c r="D42" s="1509"/>
      <c r="E42" s="2418"/>
      <c r="F42" s="2417">
        <v>1</v>
      </c>
      <c r="G42" s="1509"/>
      <c r="H42" s="1509"/>
      <c r="I42" s="1509"/>
      <c r="J42" s="1509"/>
      <c r="K42" s="1509"/>
      <c r="L42" s="1510"/>
      <c r="M42" s="1511"/>
      <c r="N42" s="1511"/>
      <c r="O42" s="1511"/>
      <c r="P42" s="1633"/>
      <c r="Q42" s="498"/>
      <c r="R42" s="499"/>
      <c r="S42" s="1639" t="str">
        <f>INDEX(PT_DIFFERENTIATION_NUM_TER,MATCH(B42,PT_DIFFERENTIATION_TER_ID,0))</f>
        <v>.</v>
      </c>
      <c r="T42" s="454" t="s">
        <v>419</v>
      </c>
      <c r="U42" s="446"/>
      <c r="V42" s="2401"/>
      <c r="W42" s="2402"/>
      <c r="X42" s="2402"/>
      <c r="Y42" s="2402"/>
      <c r="Z42" s="2402"/>
      <c r="AA42" s="2402"/>
      <c r="AB42" s="2403"/>
      <c r="AC42" s="2401" t="str">
        <f>INDEX(PT_DIFFERENTIATION_TER,MATCH(B42,PT_DIFFERENTIATION_TER_ID,0))</f>
        <v/>
      </c>
      <c r="AD42" s="2402"/>
      <c r="AE42" s="2402"/>
      <c r="AF42" s="2402"/>
      <c r="AG42" s="2402"/>
      <c r="AH42" s="2402"/>
      <c r="AI42" s="2402"/>
      <c r="AJ42" s="2403"/>
      <c r="AK42" s="1404" t="s">
        <v>420</v>
      </c>
      <c r="AM42" s="646"/>
      <c r="AN42" s="646" t="str">
        <f>IF(T42="","",T42)</f>
        <v>Территория действия тарифа</v>
      </c>
      <c r="AO42" s="646"/>
      <c r="AP42" s="646"/>
      <c r="AQ42" s="1301">
        <v>23</v>
      </c>
    </row>
    <row customHeight="1" ht="24">
      <c r="A43" s="1509" t="s">
        <v>293</v>
      </c>
      <c r="B43" s="1509" t="s">
        <v>294</v>
      </c>
      <c r="C43" s="1509" t="s">
        <v>295</v>
      </c>
      <c r="D43" s="1509"/>
      <c r="E43" s="2418"/>
      <c r="F43" s="2418"/>
      <c r="G43" s="2417">
        <v>1</v>
      </c>
      <c r="H43" s="1509"/>
      <c r="I43" s="1509"/>
      <c r="J43" s="1509"/>
      <c r="K43" s="1509"/>
      <c r="L43" s="1510"/>
      <c r="M43" s="1511"/>
      <c r="N43" s="1511"/>
      <c r="O43" s="1511"/>
      <c r="P43" s="500"/>
      <c r="Q43" s="498"/>
      <c r="R43" s="499"/>
      <c r="S43" s="1639" t="str">
        <f>INDEX(PT_DIFFERENTIATION_NUM_CS,MATCH(C43,PT_DIFFERENTIATION_CS_ID,0))</f>
        <v>..</v>
      </c>
      <c r="T43" s="455" t="s">
        <v>538</v>
      </c>
      <c r="U43" s="446"/>
      <c r="V43" s="2401"/>
      <c r="W43" s="2402"/>
      <c r="X43" s="2402"/>
      <c r="Y43" s="2402"/>
      <c r="Z43" s="2402"/>
      <c r="AA43" s="2402"/>
      <c r="AB43" s="2403"/>
      <c r="AC43" s="2401" t="str">
        <f>INDEX(PT_DIFFERENTIATION_CS,MATCH(C43,PT_DIFFERENTIATION_CS_ID,0))</f>
        <v/>
      </c>
      <c r="AD43" s="2402"/>
      <c r="AE43" s="2402"/>
      <c r="AF43" s="2402"/>
      <c r="AG43" s="2402"/>
      <c r="AH43" s="2402"/>
      <c r="AI43" s="2402"/>
      <c r="AJ43" s="2403"/>
      <c r="AK43" s="1404" t="s">
        <v>539</v>
      </c>
      <c r="AM43" s="646"/>
      <c r="AN43" s="646" t="str">
        <f>IF(T43="","",T43)</f>
        <v>Наименование централизованной системы водоотведения</v>
      </c>
      <c r="AO43" s="646"/>
      <c r="AP43" s="646"/>
      <c r="AQ43" s="1301">
        <v>23</v>
      </c>
    </row>
    <row customHeight="1" ht="24">
      <c r="A44" s="1509" t="s">
        <v>293</v>
      </c>
      <c r="B44" s="1509" t="s">
        <v>294</v>
      </c>
      <c r="C44" s="1509" t="s">
        <v>295</v>
      </c>
      <c r="D44" s="1509" t="s">
        <v>543</v>
      </c>
      <c r="E44" s="2418"/>
      <c r="F44" s="2418"/>
      <c r="G44" s="2418"/>
      <c r="H44" s="2418"/>
      <c r="I44" s="2415" t="str">
        <f>S43&amp;".1"</f>
        <v>...1</v>
      </c>
      <c r="J44" s="1509"/>
      <c r="K44" s="1509"/>
      <c r="L44" s="1510"/>
      <c r="P44" s="2416">
        <v>1</v>
      </c>
      <c r="Q44" s="1627"/>
      <c r="R44" s="502"/>
      <c r="S44" s="1639" t="str">
        <f>$I44</f>
        <v>...1</v>
      </c>
      <c r="T44" s="431" t="s">
        <v>505</v>
      </c>
      <c r="U44" s="446"/>
      <c r="V44" s="2509"/>
      <c r="W44" s="2510"/>
      <c r="X44" s="2510"/>
      <c r="Y44" s="2510"/>
      <c r="Z44" s="2510"/>
      <c r="AA44" s="2510"/>
      <c r="AB44" s="2511"/>
      <c r="AC44" s="2512"/>
      <c r="AD44" s="2513"/>
      <c r="AE44" s="2513"/>
      <c r="AF44" s="2513"/>
      <c r="AG44" s="2513"/>
      <c r="AH44" s="2513"/>
      <c r="AI44" s="2513"/>
      <c r="AJ44" s="2514"/>
      <c r="AK44" s="1404" t="s">
        <v>506</v>
      </c>
      <c r="AM44" s="646"/>
      <c r="AN44" s="646" t="str">
        <f>IF(T44="","",T44)</f>
        <v>Наименование признака дифференциации</v>
      </c>
      <c r="AO44" s="646"/>
      <c r="AP44" s="646"/>
      <c r="AQ44" s="1301">
        <v>23</v>
      </c>
    </row>
    <row customHeight="1" ht="24">
      <c r="A45" s="1509" t="s">
        <v>293</v>
      </c>
      <c r="B45" s="1509" t="s">
        <v>294</v>
      </c>
      <c r="C45" s="1509" t="s">
        <v>295</v>
      </c>
      <c r="D45" s="1509" t="s">
        <v>543</v>
      </c>
      <c r="E45" s="2418"/>
      <c r="F45" s="2418"/>
      <c r="G45" s="2418"/>
      <c r="H45" s="2418"/>
      <c r="I45" s="2445"/>
      <c r="J45" s="2415" t="str">
        <f>I44&amp;".1"</f>
        <v>...1.1</v>
      </c>
      <c r="K45" s="1509"/>
      <c r="L45" s="1510" t="s">
        <v>428</v>
      </c>
      <c r="P45" s="2416"/>
      <c r="Q45" s="2416">
        <v>1</v>
      </c>
      <c r="R45" s="503"/>
      <c r="S45" s="1639" t="str">
        <f>$J45</f>
        <v>...1.1</v>
      </c>
      <c r="T45" s="432" t="s">
        <v>429</v>
      </c>
      <c r="U45" s="446"/>
      <c r="V45" s="2404"/>
      <c r="W45" s="2405"/>
      <c r="X45" s="2405"/>
      <c r="Y45" s="2405"/>
      <c r="Z45" s="2405"/>
      <c r="AA45" s="2405"/>
      <c r="AB45" s="2406"/>
      <c r="AC45" s="2404"/>
      <c r="AD45" s="2405"/>
      <c r="AE45" s="2405"/>
      <c r="AF45" s="2405"/>
      <c r="AG45" s="2405"/>
      <c r="AH45" s="2405"/>
      <c r="AI45" s="2405"/>
      <c r="AJ45" s="2406"/>
      <c r="AK45" s="1453" t="s">
        <v>507</v>
      </c>
      <c r="AM45" s="646"/>
      <c r="AN45" s="646" t="str">
        <f>IF(T45="","",T45)</f>
        <v>Группа потребителей</v>
      </c>
      <c r="AO45" s="646"/>
      <c r="AP45" s="646"/>
      <c r="AQ45" s="1301">
        <v>23</v>
      </c>
    </row>
    <row customHeight="1" ht="24">
      <c r="A46" s="1509" t="s">
        <v>293</v>
      </c>
      <c r="B46" s="1509" t="s">
        <v>294</v>
      </c>
      <c r="C46" s="1509" t="s">
        <v>295</v>
      </c>
      <c r="D46" s="1509" t="s">
        <v>543</v>
      </c>
      <c r="E46" s="2418"/>
      <c r="F46" s="2418"/>
      <c r="G46" s="2418"/>
      <c r="H46" s="2418"/>
      <c r="I46" s="2445"/>
      <c r="J46" s="2445"/>
      <c r="K46" s="2415" t="str">
        <f>J45&amp;".1"</f>
        <v>...1.1.1</v>
      </c>
      <c r="L46" s="1510"/>
      <c r="P46" s="2416"/>
      <c r="Q46" s="2416"/>
      <c r="R46" s="503">
        <v>1</v>
      </c>
      <c r="S46" s="1639" t="str">
        <f>$K46</f>
        <v>...1.1.1</v>
      </c>
      <c r="T46" s="1583"/>
      <c r="U46" s="446"/>
      <c r="V46" s="1506"/>
      <c r="W46" s="1506"/>
      <c r="X46" s="1507"/>
      <c r="Y46" s="2426"/>
      <c r="Z46" s="2427" t="s">
        <v>63</v>
      </c>
      <c r="AA46" s="2426"/>
      <c r="AB46" s="2427" t="s">
        <v>63</v>
      </c>
      <c r="AC46" s="897"/>
      <c r="AD46" s="897"/>
      <c r="AE46" s="1403"/>
      <c r="AF46" s="2424"/>
      <c r="AG46" s="2266" t="s">
        <v>63</v>
      </c>
      <c r="AH46" s="2446"/>
      <c r="AI46" s="2266" t="s">
        <v>19</v>
      </c>
      <c r="AJ46" s="1584"/>
      <c r="AK46"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7">
        <f>STRCHECKDATE(V47:AJ47)</f>
      </c>
      <c r="AM46" s="646"/>
      <c r="AN46" s="646" t="str">
        <f>IF(T46="","",T46)</f>
        <v/>
      </c>
      <c r="AO46" s="646"/>
      <c r="AP46" s="646"/>
      <c r="AQ46" s="1301">
        <v>23</v>
      </c>
    </row>
    <row customHeight="1" ht="0">
      <c r="A47" s="1509" t="s">
        <v>293</v>
      </c>
      <c r="B47" s="1509" t="s">
        <v>294</v>
      </c>
      <c r="C47" s="1509" t="s">
        <v>295</v>
      </c>
      <c r="D47" s="1509" t="s">
        <v>543</v>
      </c>
      <c r="E47" s="2418"/>
      <c r="F47" s="2418"/>
      <c r="G47" s="2418"/>
      <c r="H47" s="2418"/>
      <c r="I47" s="2445"/>
      <c r="J47" s="2445"/>
      <c r="K47" s="2415"/>
      <c r="L47" s="1510"/>
      <c r="P47" s="2416"/>
      <c r="Q47" s="2416"/>
      <c r="R47" s="503"/>
      <c r="S47" s="1636"/>
      <c r="T47" s="446"/>
      <c r="U47" s="446"/>
      <c r="V47" s="1506"/>
      <c r="W47" s="1506"/>
      <c r="X47" s="474" t="str">
        <f>Y46&amp;"-"&amp;AA46</f>
        <v>-</v>
      </c>
      <c r="Y47" s="2427"/>
      <c r="Z47" s="2427"/>
      <c r="AA47" s="2427"/>
      <c r="AB47" s="2427"/>
      <c r="AC47" s="471"/>
      <c r="AD47" s="471"/>
      <c r="AE47" s="474" t="str">
        <f>AF46&amp;"-"&amp;AH46</f>
        <v>-</v>
      </c>
      <c r="AF47" s="2425"/>
      <c r="AG47" s="2266"/>
      <c r="AH47" s="2447"/>
      <c r="AI47" s="2266"/>
      <c r="AJ47" s="1585"/>
      <c r="AK47" s="2508"/>
      <c r="AM47" s="646"/>
      <c r="AN47" s="646" t="str">
        <f>IF(T47="","",T47)</f>
        <v/>
      </c>
      <c r="AO47" s="646"/>
      <c r="AP47" s="646"/>
      <c r="AQ47" s="1301">
        <v>0</v>
      </c>
    </row>
    <row customHeight="1" ht="21">
      <c r="A48" s="1509" t="s">
        <v>293</v>
      </c>
      <c r="B48" s="1509" t="s">
        <v>294</v>
      </c>
      <c r="C48" s="1509" t="s">
        <v>295</v>
      </c>
      <c r="D48" s="1509" t="s">
        <v>543</v>
      </c>
      <c r="E48" s="2418"/>
      <c r="F48" s="2418"/>
      <c r="G48" s="2418"/>
      <c r="H48" s="2418"/>
      <c r="I48" s="2445"/>
      <c r="J48" s="2415"/>
      <c r="K48" s="1509"/>
      <c r="L48" s="1510"/>
      <c r="P48" s="2416"/>
      <c r="Q48" s="2416"/>
      <c r="R48" s="502"/>
      <c r="S48" s="1424"/>
      <c r="T48" s="433" t="s">
        <v>508</v>
      </c>
      <c r="U48" s="513"/>
      <c r="V48" s="513"/>
      <c r="W48" s="513"/>
      <c r="X48" s="513"/>
      <c r="Y48" s="513"/>
      <c r="Z48" s="513"/>
      <c r="AA48" s="513"/>
      <c r="AB48" s="513"/>
      <c r="AC48" s="513"/>
      <c r="AD48" s="513"/>
      <c r="AE48" s="513"/>
      <c r="AF48" s="513"/>
      <c r="AG48" s="513"/>
      <c r="AH48" s="513"/>
      <c r="AI48" s="513"/>
      <c r="AJ48" s="513"/>
      <c r="AK48" s="1404" t="s">
        <v>509</v>
      </c>
      <c r="AM48" s="646"/>
      <c r="AN48" s="646" t="str">
        <f>IF(T48="","",T48)</f>
        <v>Добавить значение признака дифференциации</v>
      </c>
      <c r="AO48" s="646"/>
      <c r="AP48" s="646"/>
      <c r="AQ48" s="1301">
        <v>20</v>
      </c>
    </row>
    <row customHeight="1" ht="22.049999999999997">
      <c r="A49" s="1509" t="s">
        <v>293</v>
      </c>
      <c r="B49" s="1509" t="s">
        <v>294</v>
      </c>
      <c r="C49" s="1509" t="s">
        <v>295</v>
      </c>
      <c r="D49" s="1509" t="s">
        <v>543</v>
      </c>
      <c r="E49" s="2418"/>
      <c r="F49" s="2418"/>
      <c r="G49" s="2418"/>
      <c r="H49" s="2418"/>
      <c r="I49" s="2415"/>
      <c r="J49" s="1509"/>
      <c r="K49" s="1509"/>
      <c r="L49" s="1510"/>
      <c r="P49" s="2416"/>
      <c r="Q49" s="1627"/>
      <c r="R49" s="502"/>
      <c r="S49" s="1424"/>
      <c r="T49" s="511" t="s">
        <v>434</v>
      </c>
      <c r="U49" s="513"/>
      <c r="V49" s="513"/>
      <c r="W49" s="513"/>
      <c r="X49" s="513"/>
      <c r="Y49" s="513"/>
      <c r="Z49" s="513"/>
      <c r="AA49" s="513"/>
      <c r="AB49" s="512"/>
      <c r="AC49" s="513"/>
      <c r="AD49" s="513"/>
      <c r="AE49" s="513"/>
      <c r="AF49" s="513"/>
      <c r="AG49" s="513"/>
      <c r="AH49" s="513"/>
      <c r="AI49" s="512"/>
      <c r="AJ49" s="513"/>
      <c r="AK49" s="1586"/>
      <c r="AM49" s="646"/>
      <c r="AN49" s="646" t="str">
        <f>IF(T49="","",T49)</f>
        <v>Добавить группу потребителей</v>
      </c>
      <c r="AO49" s="646"/>
      <c r="AP49" s="646"/>
      <c r="AQ49" s="1301">
        <v>21</v>
      </c>
    </row>
    <row customHeight="1" ht="22.049999999999997">
      <c r="A50" s="1509" t="s">
        <v>293</v>
      </c>
      <c r="B50" s="1509" t="s">
        <v>294</v>
      </c>
      <c r="C50" s="1509" t="s">
        <v>295</v>
      </c>
      <c r="D50" s="1509" t="s">
        <v>543</v>
      </c>
      <c r="E50" s="2418"/>
      <c r="F50" s="2418"/>
      <c r="G50" s="2418"/>
      <c r="H50" s="2417"/>
      <c r="I50" s="1509"/>
      <c r="J50" s="1509"/>
      <c r="K50" s="1509"/>
      <c r="L50" s="1510"/>
      <c r="M50" s="1511"/>
      <c r="N50" s="1511"/>
      <c r="O50" s="683"/>
      <c r="P50" s="506"/>
      <c r="Q50" s="521"/>
      <c r="R50" s="501"/>
      <c r="S50" s="1424"/>
      <c r="T50" s="518" t="s">
        <v>510</v>
      </c>
      <c r="U50" s="513"/>
      <c r="V50" s="513"/>
      <c r="W50" s="513"/>
      <c r="X50" s="513"/>
      <c r="Y50" s="513"/>
      <c r="Z50" s="513"/>
      <c r="AA50" s="513"/>
      <c r="AB50" s="512"/>
      <c r="AC50" s="513"/>
      <c r="AD50" s="513"/>
      <c r="AE50" s="513"/>
      <c r="AF50" s="513"/>
      <c r="AG50" s="513"/>
      <c r="AH50" s="513"/>
      <c r="AI50" s="512"/>
      <c r="AJ50" s="513"/>
      <c r="AK50" s="449"/>
      <c r="AM50" s="646"/>
      <c r="AN50" s="646" t="str">
        <f>IF(T50="","",T50)</f>
        <v>Добавить наименование признака дифференциации</v>
      </c>
      <c r="AO50" s="646"/>
      <c r="AP50" s="646"/>
      <c r="AQ50" s="1301">
        <v>21</v>
      </c>
    </row>
    <row s="6720" customFormat="1" customHeight="1" ht="0">
      <c r="A51" s="1489" t="s">
        <v>293</v>
      </c>
      <c r="B51" s="1489" t="s">
        <v>294</v>
      </c>
      <c r="C51" s="1460"/>
      <c r="D51" s="1460"/>
      <c r="E51" s="2418"/>
      <c r="F51" s="2417"/>
      <c r="G51" s="1460"/>
      <c r="H51" s="1460"/>
      <c r="I51" s="1460"/>
      <c r="J51" s="1460"/>
      <c r="K51" s="1460"/>
      <c r="L51" s="1640"/>
      <c r="M51" s="1467"/>
      <c r="N51" s="1467"/>
      <c r="P51" s="1462"/>
      <c r="Q51" s="1463"/>
      <c r="R51" s="1462"/>
      <c r="S51" s="1468"/>
      <c r="T51" s="1471" t="s">
        <v>437</v>
      </c>
      <c r="U51" s="1470"/>
      <c r="V51" s="1470"/>
      <c r="W51" s="1470"/>
      <c r="X51" s="1470"/>
      <c r="Y51" s="1470"/>
      <c r="Z51" s="1470"/>
      <c r="AA51" s="1470"/>
      <c r="AB51" s="1470"/>
      <c r="AC51" s="1470"/>
      <c r="AD51" s="1470"/>
      <c r="AE51" s="1470"/>
      <c r="AF51" s="1470"/>
      <c r="AG51" s="1470"/>
      <c r="AH51" s="1470"/>
      <c r="AI51" s="1470"/>
      <c r="AJ51" s="1470"/>
      <c r="AK51" s="1470"/>
      <c r="AM51" s="935"/>
      <c r="AN51" s="935" t="str">
        <f>IF(T51="","",T51)</f>
        <v>Добавить централизованную систему для дифференциации</v>
      </c>
      <c r="AO51" s="935"/>
      <c r="AP51" s="935"/>
      <c r="AQ51" s="664">
        <v>0</v>
      </c>
    </row>
    <row s="6720" customFormat="1" customHeight="1" ht="0">
      <c r="A52" s="1489" t="s">
        <v>293</v>
      </c>
      <c r="B52" s="1489"/>
      <c r="C52" s="1489"/>
      <c r="D52" s="1489"/>
      <c r="E52" s="2417"/>
      <c r="F52" s="1489"/>
      <c r="G52" s="1489"/>
      <c r="H52" s="1489"/>
      <c r="I52" s="1489"/>
      <c r="J52" s="1489"/>
      <c r="K52" s="1489"/>
      <c r="L52" s="1492"/>
      <c r="M52" s="1467"/>
      <c r="N52" s="1467"/>
      <c r="O52" s="664"/>
      <c r="P52" s="526"/>
      <c r="Q52" s="1490"/>
      <c r="R52" s="526"/>
      <c r="S52" s="1468"/>
      <c r="T52" s="1471" t="s">
        <v>438</v>
      </c>
      <c r="U52" s="1470"/>
      <c r="V52" s="1470"/>
      <c r="W52" s="1470"/>
      <c r="X52" s="1470"/>
      <c r="Y52" s="1470"/>
      <c r="Z52" s="1470"/>
      <c r="AA52" s="1470"/>
      <c r="AB52" s="1470"/>
      <c r="AC52" s="1470"/>
      <c r="AD52" s="1470"/>
      <c r="AE52" s="1470"/>
      <c r="AF52" s="1470"/>
      <c r="AG52" s="1470"/>
      <c r="AH52" s="1470"/>
      <c r="AI52" s="1470"/>
      <c r="AJ52" s="1470"/>
      <c r="AK52" s="1470"/>
      <c r="AM52" s="646"/>
      <c r="AN52" s="646" t="str">
        <f>IF(T52="","",T52)</f>
        <v>Добавить территорию для дифференциации</v>
      </c>
      <c r="AO52" s="646"/>
      <c r="AP52" s="646"/>
      <c r="AQ52" s="657">
        <v>0</v>
      </c>
    </row>
    <row s="6720" customFormat="1" customHeight="1" ht="0">
      <c r="A53" s="1460"/>
      <c r="B53" s="1460"/>
      <c r="C53" s="1460"/>
      <c r="D53" s="1460"/>
      <c r="E53" s="1489"/>
      <c r="F53" s="1460"/>
      <c r="G53" s="1460"/>
      <c r="H53" s="1460"/>
      <c r="I53" s="1460"/>
      <c r="J53" s="1460"/>
      <c r="K53" s="1460"/>
      <c r="L53" s="1640"/>
      <c r="M53" s="1467"/>
      <c r="N53" s="1467"/>
      <c r="P53" s="1462"/>
      <c r="Q53" s="1463"/>
      <c r="R53" s="1462"/>
      <c r="S53" s="1468"/>
      <c r="T53" s="1471" t="s">
        <v>470</v>
      </c>
      <c r="U53" s="1470"/>
      <c r="V53" s="1470"/>
      <c r="W53" s="1470"/>
      <c r="X53" s="1470"/>
      <c r="Y53" s="1470"/>
      <c r="Z53" s="1470"/>
      <c r="AA53" s="1470"/>
      <c r="AB53" s="1470"/>
      <c r="AC53" s="1470"/>
      <c r="AD53" s="1470"/>
      <c r="AE53" s="1470"/>
      <c r="AF53" s="1470"/>
      <c r="AG53" s="1470"/>
      <c r="AH53" s="1470"/>
      <c r="AI53" s="1470"/>
      <c r="AJ53" s="1470"/>
      <c r="AK53" s="1470"/>
      <c r="AM53" s="935"/>
      <c r="AN53" s="935" t="str">
        <f>IF(T53="","",T53)</f>
        <v>Добавить наименование тарифа</v>
      </c>
      <c r="AO53" s="935"/>
      <c r="AP53" s="935"/>
      <c r="AQ53" s="664">
        <v>0</v>
      </c>
    </row>
    <row customHeight="1" ht="11.549999999999999">
      <c r="M54" s="1306"/>
      <c r="N54" s="1306"/>
      <c r="O54" s="683"/>
      <c r="P54" s="1301"/>
      <c r="Q54" s="1301"/>
      <c r="R54" s="1301"/>
      <c r="S54" s="1301"/>
      <c r="AL54" s="1301"/>
      <c r="AM54" s="1301"/>
      <c r="AN54" s="1301"/>
      <c r="AO54" s="1301"/>
      <c r="AP54" s="1301"/>
      <c r="AQ54" s="1301">
        <v>11</v>
      </c>
    </row>
    <row customHeight="1" ht="14.699999999999998">
      <c r="O55" s="683"/>
      <c r="S55" s="1399"/>
      <c r="T55" s="2444"/>
      <c r="U55" s="2444"/>
      <c r="V55" s="2444"/>
      <c r="W55" s="2444"/>
      <c r="X55" s="2444"/>
      <c r="Y55" s="2444"/>
      <c r="Z55" s="2444"/>
      <c r="AA55" s="2444"/>
      <c r="AB55" s="2444"/>
      <c r="AC55" s="2444"/>
      <c r="AD55" s="2444"/>
      <c r="AE55" s="2444"/>
      <c r="AF55" s="2444"/>
      <c r="AG55" s="2444"/>
      <c r="AH55" s="2444"/>
      <c r="AI55" s="2444"/>
      <c r="AJ55" s="2444"/>
      <c r="AK55" s="2444"/>
      <c r="AQ55" s="1301">
        <v>14</v>
      </c>
    </row>
    <row customHeight="1" ht="14.699999999999998">
      <c r="O56" s="683"/>
      <c r="AQ56" s="1301">
        <v>14</v>
      </c>
    </row>
    <row customHeight="1" ht="14.699999999999998">
      <c r="O57" s="683"/>
      <c r="S57" s="1399"/>
      <c r="T57" s="2444"/>
      <c r="U57" s="2444"/>
      <c r="V57" s="2444"/>
      <c r="W57" s="2444"/>
      <c r="X57" s="2444"/>
      <c r="Y57" s="2444"/>
      <c r="Z57" s="2444"/>
      <c r="AA57" s="2444"/>
      <c r="AB57" s="2444"/>
      <c r="AC57" s="2444"/>
      <c r="AD57" s="2444"/>
      <c r="AE57" s="2444"/>
      <c r="AF57" s="2444"/>
      <c r="AG57" s="2444"/>
      <c r="AH57" s="2444"/>
      <c r="AI57" s="2444"/>
      <c r="AJ57" s="2444"/>
      <c r="AK57" s="2444"/>
      <c r="AQ57" s="1301">
        <v>14</v>
      </c>
    </row>
    <row customHeight="1" ht="22.5" hidden="1">
      <c r="A58" s="1306" t="s">
        <v>83</v>
      </c>
      <c r="B58" s="1306">
        <v>0</v>
      </c>
      <c r="C58" s="1306">
        <v>0</v>
      </c>
      <c r="D58" s="1306">
        <v>0</v>
      </c>
      <c r="E58" s="1306">
        <v>0</v>
      </c>
      <c r="F58" s="1306">
        <v>0</v>
      </c>
      <c r="G58" s="1306">
        <v>0</v>
      </c>
      <c r="H58" s="1306">
        <v>0</v>
      </c>
      <c r="I58" s="1306">
        <v>0</v>
      </c>
      <c r="J58" s="1306">
        <v>0</v>
      </c>
      <c r="K58" s="1306">
        <v>0</v>
      </c>
      <c r="L58" s="1624">
        <v>0</v>
      </c>
      <c r="M58" s="1508">
        <v>0</v>
      </c>
      <c r="N58" s="1508">
        <v>0</v>
      </c>
      <c r="O58" s="1508">
        <v>0</v>
      </c>
      <c r="P58" s="1619">
        <v>3</v>
      </c>
      <c r="Q58" s="490">
        <v>3</v>
      </c>
      <c r="R58" s="490">
        <v>3</v>
      </c>
      <c r="S58" s="727">
        <v>12</v>
      </c>
      <c r="T58" s="1301">
        <v>35</v>
      </c>
      <c r="U58" s="1301">
        <v>0</v>
      </c>
      <c r="V58" s="1301">
        <v>0</v>
      </c>
      <c r="W58" s="1301">
        <v>0</v>
      </c>
      <c r="X58" s="1301">
        <v>0</v>
      </c>
      <c r="Y58" s="1301">
        <v>0</v>
      </c>
      <c r="Z58" s="1301">
        <v>0</v>
      </c>
      <c r="AA58" s="1301">
        <v>0</v>
      </c>
      <c r="AB58" s="1301">
        <v>0</v>
      </c>
      <c r="AC58" s="1301">
        <v>24</v>
      </c>
      <c r="AD58" s="1301">
        <v>24</v>
      </c>
      <c r="AE58" s="1301">
        <v>24</v>
      </c>
      <c r="AF58" s="1301">
        <v>11</v>
      </c>
      <c r="AG58" s="1301">
        <v>3</v>
      </c>
      <c r="AH58" s="1301">
        <v>11</v>
      </c>
      <c r="AI58" s="1301">
        <v>0</v>
      </c>
      <c r="AJ58" s="1301">
        <v>4</v>
      </c>
      <c r="AK58" s="1301">
        <v>115</v>
      </c>
      <c r="AL58" s="657">
        <v>10</v>
      </c>
      <c r="AM58" s="657">
        <v>10</v>
      </c>
      <c r="AN58" s="657">
        <v>10</v>
      </c>
      <c r="AO58" s="657">
        <v>10</v>
      </c>
      <c r="AP58" s="657">
        <v>10</v>
      </c>
      <c r="AQ58" s="130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A2AC62-4E25-015A-EE7C-0.4B6F7142}"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7180" width="11.57421875" hidden="1" customWidth="1"/>
    <col min="2" max="2" style="7180" width="11.00390625" hidden="1" customWidth="1"/>
    <col min="3" max="3" style="7180" width="10.57421875" hidden="1"/>
    <col min="4" max="4" style="7180" width="12.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6396" width="3.7109375" hidden="1" customWidth="1"/>
    <col min="17" max="17" style="6462" width="3.7109375" hidden="1" customWidth="1"/>
    <col min="18" max="18" style="7205" width="3.00390625" customWidth="1"/>
    <col min="19" max="19" style="7910" width="12.00390625" customWidth="1"/>
    <col min="20" max="20" style="7235" width="31.00390625" customWidth="1"/>
    <col min="21" max="21" style="7235" width="0.140625" customWidth="1"/>
    <col min="22" max="25" style="7235" width="21.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3.7109375" customWidth="1"/>
    <col min="31" max="32" style="7235" width="3.00390625" customWidth="1"/>
    <col min="33" max="33" style="7235" width="24.00390625" customWidth="1"/>
    <col min="34" max="34" style="7235" width="3.7109375" customWidth="1"/>
    <col min="35" max="36" style="7235" width="3.00390625" customWidth="1"/>
    <col min="37" max="37" style="7235" width="24.00390625" customWidth="1"/>
    <col min="38" max="38" style="7235" width="3.7109375" customWidth="1"/>
    <col min="39" max="40" style="7235" width="3.00390625" customWidth="1"/>
    <col min="41" max="41" style="7235" width="18.00390625" customWidth="1"/>
    <col min="42" max="42" style="7235" width="3.7109375" customWidth="1"/>
    <col min="43" max="44" style="7235" width="3.00390625" customWidth="1"/>
    <col min="45" max="45" style="7235" width="18.00390625" customWidth="1"/>
    <col min="46" max="49" style="7235" width="21.00390625" customWidth="1"/>
    <col min="50" max="50" style="7235" width="11.00390625" customWidth="1"/>
    <col min="51" max="51" style="7235" width="3.7109375" customWidth="1"/>
    <col min="52" max="52" style="7235" width="11.00390625" customWidth="1"/>
    <col min="53" max="53" style="7235" width="8.57421875" hidden="1" customWidth="1"/>
    <col min="54" max="54" style="7235" width="4.00390625" customWidth="1"/>
    <col min="55" max="55" style="7235" width="115.00390625" customWidth="1"/>
    <col min="56" max="60" style="6720" width="10.00390625" customWidth="1"/>
    <col min="61" max="61" style="7235" width="10.57421875" hidden="1"/>
  </cols>
  <sheetData>
    <row customHeight="1" ht="22.5" hidden="1">
      <c r="W1" s="473"/>
      <c r="Y1" s="473"/>
      <c r="Z1" s="473"/>
      <c r="AW1" s="473"/>
      <c r="AX1" s="473"/>
      <c r="BI1" s="1301" t="s">
        <v>14</v>
      </c>
    </row>
    <row customHeight="1" ht="21" hidden="1">
      <c r="A2" s="1509"/>
      <c r="B2" s="1509"/>
      <c r="C2" s="1509"/>
      <c r="D2" s="1509"/>
      <c r="E2" s="2417">
        <v>1</v>
      </c>
      <c r="F2" s="1509"/>
      <c r="G2" s="1509"/>
      <c r="H2" s="1509"/>
      <c r="I2" s="1509"/>
      <c r="J2" s="1509"/>
      <c r="K2" s="1509"/>
      <c r="L2" s="1510"/>
      <c r="M2" s="1511"/>
      <c r="N2" s="1511"/>
      <c r="O2" s="1511"/>
      <c r="P2" s="1555"/>
      <c r="Q2" s="1019"/>
      <c r="R2" s="501"/>
      <c r="S2" s="1639">
        <f>INDEX(PT_DIFFERENTIATION_NUM_NTAR,MATCH(A2,PT_DIFFERENTIATION_NTAR_ID,0))</f>
      </c>
      <c r="T2" s="444" t="s">
        <v>147</v>
      </c>
      <c r="U2" s="446"/>
      <c r="V2" s="2402"/>
      <c r="W2" s="2402"/>
      <c r="X2" s="2402"/>
      <c r="Y2" s="2402"/>
      <c r="Z2" s="2402"/>
      <c r="AA2" s="2402"/>
      <c r="AB2" s="2402"/>
      <c r="AC2" s="2403"/>
      <c r="AD2" s="2401">
        <f>INDEX(PT_DIFFERENTIATION_NTAR,MATCH(A2,PT_DIFFERENTIATION_NTAR_ID,0))</f>
      </c>
      <c r="AE2" s="2402"/>
      <c r="AF2" s="2402"/>
      <c r="AG2" s="2402"/>
      <c r="AH2" s="2402"/>
      <c r="AI2" s="2402"/>
      <c r="AJ2" s="2402"/>
      <c r="AK2" s="2402"/>
      <c r="AL2" s="2402"/>
      <c r="AM2" s="2402"/>
      <c r="AN2" s="2402"/>
      <c r="AO2" s="2402"/>
      <c r="AP2" s="2402"/>
      <c r="AQ2" s="2402"/>
      <c r="AR2" s="2402"/>
      <c r="AS2" s="2402"/>
      <c r="AT2" s="2402"/>
      <c r="AU2" s="2402"/>
      <c r="AV2" s="2402"/>
      <c r="AW2" s="2402"/>
      <c r="AX2" s="2402"/>
      <c r="AY2" s="2402"/>
      <c r="AZ2" s="2402"/>
      <c r="BA2" s="2402"/>
      <c r="BB2" s="2403"/>
      <c r="BC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46"/>
      <c r="BF2" s="646" t="str">
        <f>IF(T2="","",T2)</f>
        <v>Наименование тарифа</v>
      </c>
      <c r="BG2" s="646"/>
      <c r="BH2" s="646"/>
      <c r="BI2" s="1301">
        <v>0</v>
      </c>
    </row>
    <row customHeight="1" ht="21" hidden="1">
      <c r="A3" s="1509"/>
      <c r="B3" s="1509"/>
      <c r="C3" s="1509"/>
      <c r="D3" s="1509"/>
      <c r="E3" s="2418"/>
      <c r="F3" s="2417">
        <v>1</v>
      </c>
      <c r="G3" s="1509"/>
      <c r="H3" s="1509"/>
      <c r="I3" s="1509"/>
      <c r="J3" s="1509"/>
      <c r="K3" s="1509"/>
      <c r="L3" s="1510"/>
      <c r="M3" s="1511"/>
      <c r="N3" s="1511"/>
      <c r="O3" s="1511"/>
      <c r="P3" s="1556"/>
      <c r="Q3" s="1557"/>
      <c r="R3" s="499"/>
      <c r="S3" s="1639">
        <f>INDEX(PT_DIFFERENTIATION_NUM_TER,MATCH(B3,PT_DIFFERENTIATION_TER_ID,0))</f>
      </c>
      <c r="T3" s="454" t="s">
        <v>419</v>
      </c>
      <c r="U3" s="446"/>
      <c r="V3" s="2402"/>
      <c r="W3" s="2402"/>
      <c r="X3" s="2402"/>
      <c r="Y3" s="2402"/>
      <c r="Z3" s="2402"/>
      <c r="AA3" s="2402"/>
      <c r="AB3" s="2402"/>
      <c r="AC3" s="2403"/>
      <c r="AD3" s="2401">
        <f>INDEX(PT_DIFFERENTIATION_TER,MATCH(B3,PT_DIFFERENTIATION_TER_ID,0))</f>
      </c>
      <c r="AE3" s="2402"/>
      <c r="AF3" s="2402"/>
      <c r="AG3" s="2402"/>
      <c r="AH3" s="2402"/>
      <c r="AI3" s="2402"/>
      <c r="AJ3" s="2402"/>
      <c r="AK3" s="2402"/>
      <c r="AL3" s="2402"/>
      <c r="AM3" s="2402"/>
      <c r="AN3" s="2402"/>
      <c r="AO3" s="2402"/>
      <c r="AP3" s="2402"/>
      <c r="AQ3" s="2402"/>
      <c r="AR3" s="2402"/>
      <c r="AS3" s="2402"/>
      <c r="AT3" s="2402"/>
      <c r="AU3" s="2402"/>
      <c r="AV3" s="2402"/>
      <c r="AW3" s="2402"/>
      <c r="AX3" s="2402"/>
      <c r="AY3" s="2402"/>
      <c r="AZ3" s="2402"/>
      <c r="BA3" s="2402"/>
      <c r="BB3" s="2403"/>
      <c r="BC3" s="1404" t="s">
        <v>420</v>
      </c>
      <c r="BE3" s="646"/>
      <c r="BF3" s="646" t="str">
        <f>IF(T3="","",T3)</f>
        <v>Территория действия тарифа</v>
      </c>
      <c r="BG3" s="646"/>
      <c r="BH3" s="646"/>
      <c r="BI3" s="1301">
        <v>0</v>
      </c>
    </row>
    <row customHeight="1" ht="33.75" hidden="1">
      <c r="A4" s="1509"/>
      <c r="B4" s="1509"/>
      <c r="C4" s="1509"/>
      <c r="D4" s="1509"/>
      <c r="E4" s="2418"/>
      <c r="F4" s="2418"/>
      <c r="G4" s="2417">
        <v>1</v>
      </c>
      <c r="H4" s="1509"/>
      <c r="I4" s="1509"/>
      <c r="J4" s="1509"/>
      <c r="K4" s="1509"/>
      <c r="L4" s="1510"/>
      <c r="M4" s="1511"/>
      <c r="N4" s="1511"/>
      <c r="O4" s="1511"/>
      <c r="P4" s="1558"/>
      <c r="Q4" s="1557"/>
      <c r="R4" s="499"/>
      <c r="S4" s="1639">
        <f>INDEX(PT_DIFFERENTIATION_NUM_CS,MATCH(C4,PT_DIFFERENTIATION_CS_ID,0))</f>
      </c>
      <c r="T4" s="455" t="s">
        <v>538</v>
      </c>
      <c r="U4" s="446"/>
      <c r="V4" s="2402"/>
      <c r="W4" s="2402"/>
      <c r="X4" s="2402"/>
      <c r="Y4" s="2402"/>
      <c r="Z4" s="2402"/>
      <c r="AA4" s="2402"/>
      <c r="AB4" s="2402"/>
      <c r="AC4" s="2403"/>
      <c r="AD4" s="2401">
        <f>INDEX(PT_DIFFERENTIATION_CS,MATCH(C4,PT_DIFFERENTIATION_CS_ID,0))</f>
      </c>
      <c r="AE4" s="2402"/>
      <c r="AF4" s="2402"/>
      <c r="AG4" s="2402"/>
      <c r="AH4" s="2402"/>
      <c r="AI4" s="2402"/>
      <c r="AJ4" s="2402"/>
      <c r="AK4" s="2402"/>
      <c r="AL4" s="2402"/>
      <c r="AM4" s="2402"/>
      <c r="AN4" s="2402"/>
      <c r="AO4" s="2402"/>
      <c r="AP4" s="2402"/>
      <c r="AQ4" s="2402"/>
      <c r="AR4" s="2402"/>
      <c r="AS4" s="2402"/>
      <c r="AT4" s="2402"/>
      <c r="AU4" s="2402"/>
      <c r="AV4" s="2402"/>
      <c r="AW4" s="2402"/>
      <c r="AX4" s="2402"/>
      <c r="AY4" s="2402"/>
      <c r="AZ4" s="2402"/>
      <c r="BA4" s="2402"/>
      <c r="BB4" s="2403"/>
      <c r="BC4" s="1404" t="s">
        <v>539</v>
      </c>
      <c r="BE4" s="646"/>
      <c r="BF4" s="646" t="str">
        <f>IF(T4="","",T4)</f>
        <v>Наименование централизованной системы водоотведения</v>
      </c>
      <c r="BG4" s="646"/>
      <c r="BH4" s="646"/>
      <c r="BI4" s="1301">
        <v>0</v>
      </c>
    </row>
    <row s="6720" customFormat="1" customHeight="1" ht="14.25" hidden="1">
      <c r="A5" s="1489"/>
      <c r="B5" s="1489"/>
      <c r="C5" s="1489"/>
      <c r="D5" s="1489"/>
      <c r="E5" s="2418"/>
      <c r="F5" s="2418"/>
      <c r="G5" s="2418"/>
      <c r="H5" s="2417">
        <v>1</v>
      </c>
      <c r="I5" s="1489"/>
      <c r="J5" s="1489"/>
      <c r="K5" s="1489"/>
      <c r="L5" s="1492"/>
      <c r="M5" s="1461"/>
      <c r="N5" s="1461"/>
      <c r="O5" s="1461"/>
      <c r="P5" s="1643"/>
      <c r="Q5" s="1644"/>
      <c r="R5" s="503"/>
      <c r="S5" s="1188"/>
      <c r="T5" s="1645"/>
      <c r="U5" s="1530"/>
      <c r="V5" s="2456"/>
      <c r="W5" s="2456"/>
      <c r="X5" s="2456"/>
      <c r="Y5" s="2456"/>
      <c r="Z5" s="2456"/>
      <c r="AA5" s="2456"/>
      <c r="AB5" s="2456"/>
      <c r="AC5" s="2457"/>
      <c r="AD5" s="2455"/>
      <c r="AE5" s="2456"/>
      <c r="AF5" s="2456"/>
      <c r="AG5" s="2456"/>
      <c r="AH5" s="2456"/>
      <c r="AI5" s="2456"/>
      <c r="AJ5" s="2456"/>
      <c r="AK5" s="2456"/>
      <c r="AL5" s="2456"/>
      <c r="AM5" s="2456"/>
      <c r="AN5" s="2456"/>
      <c r="AO5" s="2456"/>
      <c r="AP5" s="2456"/>
      <c r="AQ5" s="2456"/>
      <c r="AR5" s="2456"/>
      <c r="AS5" s="2456"/>
      <c r="AT5" s="2456"/>
      <c r="AU5" s="2456"/>
      <c r="AV5" s="2456"/>
      <c r="AW5" s="2456"/>
      <c r="AX5" s="2456"/>
      <c r="AY5" s="2456"/>
      <c r="AZ5" s="2456"/>
      <c r="BA5" s="2456"/>
      <c r="BB5" s="2457"/>
      <c r="BC5" s="1531" t="s">
        <v>424</v>
      </c>
      <c r="BE5" s="646"/>
      <c r="BF5" s="646" t="str">
        <f>IF(T5="","",T5)</f>
        <v/>
      </c>
      <c r="BG5" s="646"/>
      <c r="BH5" s="646"/>
      <c r="BI5" s="657">
        <v>0</v>
      </c>
    </row>
    <row s="6720" customFormat="1" customHeight="1" ht="14.25" hidden="1">
      <c r="A6" s="1489"/>
      <c r="B6" s="1489"/>
      <c r="C6" s="1489"/>
      <c r="D6" s="1489"/>
      <c r="E6" s="2418"/>
      <c r="F6" s="2418"/>
      <c r="G6" s="2418"/>
      <c r="H6" s="2418"/>
      <c r="I6" s="2415" t="str">
        <f>S5&amp;".1"</f>
        <v>.1</v>
      </c>
      <c r="J6" s="1489"/>
      <c r="K6" s="1489"/>
      <c r="L6" s="1492" t="s">
        <v>425</v>
      </c>
      <c r="M6" s="656"/>
      <c r="N6" s="656"/>
      <c r="O6" s="656"/>
      <c r="P6" s="2416">
        <v>1</v>
      </c>
      <c r="Q6" s="1627"/>
      <c r="R6" s="502"/>
      <c r="S6" s="1188"/>
      <c r="T6" s="1529"/>
      <c r="U6" s="1530"/>
      <c r="V6" s="2456"/>
      <c r="W6" s="2456"/>
      <c r="X6" s="2456"/>
      <c r="Y6" s="2456"/>
      <c r="Z6" s="2456"/>
      <c r="AA6" s="2456"/>
      <c r="AB6" s="2456"/>
      <c r="AC6" s="2457"/>
      <c r="AD6" s="2455"/>
      <c r="AE6" s="2456"/>
      <c r="AF6" s="2456"/>
      <c r="AG6" s="2456"/>
      <c r="AH6" s="2456"/>
      <c r="AI6" s="2456"/>
      <c r="AJ6" s="2456"/>
      <c r="AK6" s="2456"/>
      <c r="AL6" s="2456"/>
      <c r="AM6" s="2456"/>
      <c r="AN6" s="2456"/>
      <c r="AO6" s="2456"/>
      <c r="AP6" s="2456"/>
      <c r="AQ6" s="2456"/>
      <c r="AR6" s="2456"/>
      <c r="AS6" s="2456"/>
      <c r="AT6" s="2456"/>
      <c r="AU6" s="2456"/>
      <c r="AV6" s="2456"/>
      <c r="AW6" s="2456"/>
      <c r="AX6" s="2456"/>
      <c r="AY6" s="2456"/>
      <c r="AZ6" s="2456"/>
      <c r="BA6" s="2456"/>
      <c r="BB6" s="2457"/>
      <c r="BC6" s="1531"/>
      <c r="BE6" s="646"/>
      <c r="BF6" s="646" t="str">
        <f>IF(T6="","",T6)</f>
        <v/>
      </c>
      <c r="BG6" s="646"/>
      <c r="BH6" s="646"/>
      <c r="BI6" s="657">
        <v>0</v>
      </c>
    </row>
    <row s="6720" customFormat="1" customHeight="1" ht="14.25" hidden="1">
      <c r="A7" s="1489"/>
      <c r="B7" s="1489"/>
      <c r="C7" s="1489"/>
      <c r="D7" s="1489"/>
      <c r="E7" s="2418"/>
      <c r="F7" s="2418"/>
      <c r="G7" s="2418"/>
      <c r="H7" s="2418"/>
      <c r="I7" s="2445"/>
      <c r="J7" s="2415" t="str">
        <f>S5&amp;".1"</f>
        <v>.1</v>
      </c>
      <c r="K7" s="1489"/>
      <c r="L7" s="1492"/>
      <c r="M7" s="656"/>
      <c r="N7" s="656"/>
      <c r="O7" s="656"/>
      <c r="P7" s="2416"/>
      <c r="Q7" s="2416">
        <v>1</v>
      </c>
      <c r="R7" s="503"/>
      <c r="S7" s="1188"/>
      <c r="T7" s="1545"/>
      <c r="U7" s="1530"/>
      <c r="V7" s="2456"/>
      <c r="W7" s="2456"/>
      <c r="X7" s="2456"/>
      <c r="Y7" s="2456"/>
      <c r="Z7" s="2456"/>
      <c r="AA7" s="2456"/>
      <c r="AB7" s="2456"/>
      <c r="AC7" s="2457"/>
      <c r="AD7" s="2455"/>
      <c r="AE7" s="2456"/>
      <c r="AF7" s="2456"/>
      <c r="AG7" s="2456"/>
      <c r="AH7" s="2456"/>
      <c r="AI7" s="2456"/>
      <c r="AJ7" s="2456"/>
      <c r="AK7" s="2456"/>
      <c r="AL7" s="2456"/>
      <c r="AM7" s="2456"/>
      <c r="AN7" s="2456"/>
      <c r="AO7" s="2456"/>
      <c r="AP7" s="2456"/>
      <c r="AQ7" s="2456"/>
      <c r="AR7" s="2456"/>
      <c r="AS7" s="2456"/>
      <c r="AT7" s="2456"/>
      <c r="AU7" s="2456"/>
      <c r="AV7" s="2456"/>
      <c r="AW7" s="2456"/>
      <c r="AX7" s="2456"/>
      <c r="AY7" s="2456"/>
      <c r="AZ7" s="2456"/>
      <c r="BA7" s="2456"/>
      <c r="BB7" s="2457"/>
      <c r="BC7" s="1531"/>
      <c r="BE7" s="646"/>
      <c r="BF7" s="646" t="str">
        <f>IF(T7="","",T7)</f>
        <v/>
      </c>
      <c r="BG7" s="646"/>
      <c r="BH7" s="646"/>
      <c r="BI7" s="657">
        <v>0</v>
      </c>
    </row>
    <row customHeight="1" ht="11.25" hidden="1">
      <c r="A8" s="1509"/>
      <c r="B8" s="1509"/>
      <c r="C8" s="1509"/>
      <c r="D8" s="1509"/>
      <c r="E8" s="2418"/>
      <c r="F8" s="2418"/>
      <c r="G8" s="2418"/>
      <c r="H8" s="2418"/>
      <c r="I8" s="2445"/>
      <c r="J8" s="2445"/>
      <c r="K8" s="2415">
        <f>S4&amp;".1"</f>
      </c>
      <c r="L8" s="1510"/>
      <c r="P8" s="2416"/>
      <c r="Q8" s="2416"/>
      <c r="R8" s="2506">
        <v>1</v>
      </c>
      <c r="S8" s="2500">
        <f>$K8</f>
      </c>
      <c r="T8" s="2519"/>
      <c r="U8" s="446"/>
      <c r="V8" s="897"/>
      <c r="W8" s="1403"/>
      <c r="X8" s="897"/>
      <c r="Y8" s="1403"/>
      <c r="Z8" s="1879"/>
      <c r="AA8" s="1615" t="s">
        <v>63</v>
      </c>
      <c r="AB8" s="1879"/>
      <c r="AC8" s="1615" t="s">
        <v>63</v>
      </c>
      <c r="AD8" s="2344" t="s">
        <v>63</v>
      </c>
      <c r="AE8" s="2485"/>
      <c r="AF8" s="2364">
        <v>1</v>
      </c>
      <c r="AG8" s="2522"/>
      <c r="AH8" s="2266" t="s">
        <v>63</v>
      </c>
      <c r="AI8" s="2485"/>
      <c r="AJ8" s="2364">
        <v>1</v>
      </c>
      <c r="AK8" s="2486" t="s">
        <v>22</v>
      </c>
      <c r="AL8" s="2266" t="s">
        <v>63</v>
      </c>
      <c r="AM8" s="2351"/>
      <c r="AN8" s="2364">
        <v>1</v>
      </c>
      <c r="AO8" s="2516"/>
      <c r="AP8" s="2517" t="s">
        <v>63</v>
      </c>
      <c r="AQ8" s="457"/>
      <c r="AR8" s="1632">
        <v>1</v>
      </c>
      <c r="AS8" s="1638" t="s">
        <v>22</v>
      </c>
      <c r="AT8" s="897"/>
      <c r="AU8" s="1403"/>
      <c r="AV8" s="897"/>
      <c r="AW8" s="1403"/>
      <c r="AX8" s="1879"/>
      <c r="AY8" s="1615" t="s">
        <v>63</v>
      </c>
      <c r="AZ8" s="1879"/>
      <c r="BA8" s="1615" t="s">
        <v>63</v>
      </c>
      <c r="BB8" s="1494"/>
      <c r="BC8" s="2412" t="s">
        <v>523</v>
      </c>
      <c r="BE8" s="646"/>
      <c r="BF8" s="646" t="str">
        <f>IF(T8="","",T8)</f>
        <v/>
      </c>
      <c r="BG8" s="646"/>
      <c r="BH8" s="646"/>
      <c r="BI8" s="1301">
        <v>0</v>
      </c>
    </row>
    <row customHeight="1" ht="11.25" hidden="1">
      <c r="A9" s="1509"/>
      <c r="B9" s="1509"/>
      <c r="C9" s="1509"/>
      <c r="D9" s="1509"/>
      <c r="E9" s="2418"/>
      <c r="F9" s="2418"/>
      <c r="G9" s="2418"/>
      <c r="H9" s="2418"/>
      <c r="I9" s="2445"/>
      <c r="J9" s="2445"/>
      <c r="K9" s="2415"/>
      <c r="L9" s="1510"/>
      <c r="P9" s="2416"/>
      <c r="Q9" s="2416"/>
      <c r="R9" s="2506"/>
      <c r="S9" s="2501"/>
      <c r="T9" s="2520"/>
      <c r="U9" s="446"/>
      <c r="V9" s="1539"/>
      <c r="W9" s="1642"/>
      <c r="X9" s="1539"/>
      <c r="Y9" s="1642"/>
      <c r="Z9" s="1539"/>
      <c r="AA9" s="1539"/>
      <c r="AB9" s="1539"/>
      <c r="AC9" s="1539"/>
      <c r="AD9" s="2345"/>
      <c r="AE9" s="2485"/>
      <c r="AF9" s="2364"/>
      <c r="AG9" s="2522"/>
      <c r="AH9" s="2266"/>
      <c r="AI9" s="2485"/>
      <c r="AJ9" s="2364"/>
      <c r="AK9" s="2486"/>
      <c r="AL9" s="2266"/>
      <c r="AM9" s="2359"/>
      <c r="AN9" s="2364"/>
      <c r="AO9" s="2516"/>
      <c r="AP9" s="2518"/>
      <c r="AQ9" s="462"/>
      <c r="AR9" s="562"/>
      <c r="AS9" s="562" t="s">
        <v>524</v>
      </c>
      <c r="AT9" s="1539"/>
      <c r="AU9" s="1642"/>
      <c r="AV9" s="1539"/>
      <c r="AW9" s="1642"/>
      <c r="AX9" s="1539"/>
      <c r="AY9" s="1539"/>
      <c r="AZ9" s="1539"/>
      <c r="BA9" s="1539"/>
      <c r="BB9" s="1543"/>
      <c r="BC9" s="2413"/>
      <c r="BE9" s="646"/>
      <c r="BF9" s="646"/>
      <c r="BG9" s="646"/>
      <c r="BH9" s="646"/>
      <c r="BI9" s="1301">
        <v>0</v>
      </c>
    </row>
    <row customHeight="1" ht="11.25" hidden="1">
      <c r="A10" s="1509"/>
      <c r="B10" s="1509"/>
      <c r="C10" s="1509"/>
      <c r="D10" s="1509"/>
      <c r="E10" s="2418"/>
      <c r="F10" s="2418"/>
      <c r="G10" s="2418"/>
      <c r="H10" s="2418"/>
      <c r="I10" s="2445"/>
      <c r="J10" s="2445"/>
      <c r="K10" s="2415"/>
      <c r="L10" s="1510"/>
      <c r="P10" s="2416"/>
      <c r="Q10" s="2416"/>
      <c r="R10" s="2506"/>
      <c r="S10" s="2501"/>
      <c r="T10" s="2520"/>
      <c r="U10" s="446"/>
      <c r="V10" s="1539"/>
      <c r="W10" s="1642"/>
      <c r="X10" s="1539"/>
      <c r="Y10" s="1642"/>
      <c r="Z10" s="1539"/>
      <c r="AA10" s="1539"/>
      <c r="AB10" s="1539"/>
      <c r="AC10" s="1539"/>
      <c r="AD10" s="2345"/>
      <c r="AE10" s="2485"/>
      <c r="AF10" s="2364"/>
      <c r="AG10" s="2522"/>
      <c r="AH10" s="2266"/>
      <c r="AI10" s="2485"/>
      <c r="AJ10" s="2364"/>
      <c r="AK10" s="2486"/>
      <c r="AL10" s="2266"/>
      <c r="AM10" s="462"/>
      <c r="AN10" s="1646"/>
      <c r="AO10" s="1646" t="s">
        <v>544</v>
      </c>
      <c r="AP10" s="562"/>
      <c r="AQ10" s="562"/>
      <c r="AR10" s="562"/>
      <c r="AS10" s="1539"/>
      <c r="AT10" s="1539"/>
      <c r="AU10" s="1642"/>
      <c r="AV10" s="1539"/>
      <c r="AW10" s="1642"/>
      <c r="AX10" s="1539"/>
      <c r="AY10" s="1539"/>
      <c r="AZ10" s="1539"/>
      <c r="BA10" s="1539"/>
      <c r="BB10" s="1543"/>
      <c r="BC10" s="2413"/>
      <c r="BE10" s="646"/>
      <c r="BF10" s="646"/>
      <c r="BG10" s="646"/>
      <c r="BH10" s="646"/>
      <c r="BI10" s="1301">
        <v>0</v>
      </c>
    </row>
    <row customHeight="1" ht="11.25" hidden="1">
      <c r="A11" s="1509"/>
      <c r="B11" s="1509"/>
      <c r="C11" s="1509"/>
      <c r="D11" s="1509"/>
      <c r="E11" s="2418"/>
      <c r="F11" s="2418"/>
      <c r="G11" s="2418"/>
      <c r="H11" s="2418"/>
      <c r="I11" s="2445"/>
      <c r="J11" s="2445"/>
      <c r="K11" s="2415"/>
      <c r="L11" s="1510"/>
      <c r="P11" s="2416"/>
      <c r="Q11" s="2416"/>
      <c r="R11" s="2506"/>
      <c r="S11" s="2501"/>
      <c r="T11" s="2520"/>
      <c r="U11" s="446"/>
      <c r="V11" s="1539"/>
      <c r="W11" s="1642"/>
      <c r="X11" s="1539"/>
      <c r="Y11" s="1642"/>
      <c r="Z11" s="1539"/>
      <c r="AA11" s="1539"/>
      <c r="AB11" s="1539"/>
      <c r="AC11" s="1539"/>
      <c r="AD11" s="2345"/>
      <c r="AE11" s="2485"/>
      <c r="AF11" s="2364"/>
      <c r="AG11" s="2522"/>
      <c r="AH11" s="2266"/>
      <c r="AI11" s="440"/>
      <c r="AJ11" s="561"/>
      <c r="AK11" s="459" t="s">
        <v>545</v>
      </c>
      <c r="AL11" s="1539"/>
      <c r="AM11" s="1539"/>
      <c r="AN11" s="1539"/>
      <c r="AO11" s="1539"/>
      <c r="AP11" s="1539"/>
      <c r="AQ11" s="1539"/>
      <c r="AR11" s="1539"/>
      <c r="AS11" s="1539"/>
      <c r="AT11" s="1539"/>
      <c r="AU11" s="1642"/>
      <c r="AV11" s="1539"/>
      <c r="AW11" s="1642"/>
      <c r="AX11" s="1539"/>
      <c r="AY11" s="1539"/>
      <c r="AZ11" s="1539"/>
      <c r="BA11" s="1539"/>
      <c r="BB11" s="1543"/>
      <c r="BC11" s="2413"/>
      <c r="BE11" s="646"/>
      <c r="BF11" s="646"/>
      <c r="BG11" s="646"/>
      <c r="BH11" s="646"/>
      <c r="BI11" s="1301">
        <v>0</v>
      </c>
    </row>
    <row customHeight="1" ht="11.25" hidden="1">
      <c r="A12" s="1509"/>
      <c r="B12" s="1509"/>
      <c r="C12" s="1509"/>
      <c r="D12" s="1509"/>
      <c r="E12" s="2418"/>
      <c r="F12" s="2418"/>
      <c r="G12" s="2418"/>
      <c r="H12" s="2418"/>
      <c r="I12" s="2445"/>
      <c r="J12" s="2445"/>
      <c r="K12" s="2415"/>
      <c r="L12" s="1510"/>
      <c r="P12" s="2416"/>
      <c r="Q12" s="2416"/>
      <c r="R12" s="2506"/>
      <c r="S12" s="2502"/>
      <c r="T12" s="2521"/>
      <c r="U12" s="446"/>
      <c r="V12" s="1539"/>
      <c r="W12" s="1540" t="str">
        <f>Z8&amp;"-"&amp;AB8</f>
        <v>-</v>
      </c>
      <c r="X12" s="1539"/>
      <c r="Y12" s="1540" t="str">
        <f>AB8&amp;"-"&amp;AD8</f>
        <v>-да</v>
      </c>
      <c r="Z12" s="1539"/>
      <c r="AA12" s="1539"/>
      <c r="AB12" s="1539"/>
      <c r="AC12" s="1539"/>
      <c r="AD12" s="2271"/>
      <c r="AE12" s="458"/>
      <c r="AF12" s="460"/>
      <c r="AG12" s="562" t="s">
        <v>527</v>
      </c>
      <c r="AH12" s="1539"/>
      <c r="AI12" s="1539"/>
      <c r="AJ12" s="1539"/>
      <c r="AK12" s="1539"/>
      <c r="AL12" s="1539"/>
      <c r="AM12" s="1539"/>
      <c r="AN12" s="1539"/>
      <c r="AO12" s="1539"/>
      <c r="AP12" s="1539"/>
      <c r="AQ12" s="1539"/>
      <c r="AR12" s="1539"/>
      <c r="AS12" s="1539"/>
      <c r="AT12" s="1539"/>
      <c r="AU12" s="1540" t="str">
        <f>AX8&amp;"-"&amp;AZ8</f>
        <v>-</v>
      </c>
      <c r="AV12" s="1539"/>
      <c r="AW12" s="1540" t="str">
        <f>AZ8&amp;"-"&amp;BB8</f>
        <v>-</v>
      </c>
      <c r="AX12" s="1539"/>
      <c r="AY12" s="1539"/>
      <c r="AZ12" s="1539"/>
      <c r="BA12" s="1539"/>
      <c r="BB12" s="1542" t="str">
        <f>BE8&amp;"-"&amp;BG8</f>
        <v>-</v>
      </c>
      <c r="BC12" s="2413"/>
      <c r="BE12" s="646"/>
      <c r="BF12" s="646" t="str">
        <f>IF(T12="","",T12)</f>
        <v/>
      </c>
      <c r="BG12" s="646"/>
      <c r="BH12" s="646"/>
      <c r="BI12" s="1301">
        <v>0</v>
      </c>
    </row>
    <row customHeight="1" ht="11.25" hidden="1">
      <c r="A13" s="1509"/>
      <c r="B13" s="1509"/>
      <c r="C13" s="1509"/>
      <c r="D13" s="1509"/>
      <c r="E13" s="2418"/>
      <c r="F13" s="2418"/>
      <c r="G13" s="2418"/>
      <c r="H13" s="2418"/>
      <c r="I13" s="2445"/>
      <c r="J13" s="2415"/>
      <c r="K13" s="1509"/>
      <c r="L13" s="1510"/>
      <c r="P13" s="2416"/>
      <c r="Q13" s="2416"/>
      <c r="R13" s="502"/>
      <c r="S13" s="1424"/>
      <c r="T13" s="433" t="s">
        <v>490</v>
      </c>
      <c r="U13" s="513"/>
      <c r="V13" s="513"/>
      <c r="W13" s="513"/>
      <c r="X13" s="513"/>
      <c r="Y13" s="513"/>
      <c r="Z13" s="513"/>
      <c r="AA13" s="513"/>
      <c r="AB13" s="513"/>
      <c r="AC13" s="513"/>
      <c r="AD13" s="1651"/>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470"/>
      <c r="BC13" s="2414"/>
      <c r="BE13" s="646"/>
      <c r="BF13" s="646" t="str">
        <f>IF(T13="","",T13)</f>
        <v>Добавить строку</v>
      </c>
      <c r="BG13" s="646"/>
      <c r="BH13" s="646"/>
      <c r="BI13" s="1301">
        <v>0</v>
      </c>
    </row>
    <row s="6720" customFormat="1" customHeight="1" ht="14.25" hidden="1">
      <c r="A14" s="1489"/>
      <c r="B14" s="1489"/>
      <c r="C14" s="1489"/>
      <c r="D14" s="1489"/>
      <c r="E14" s="2418"/>
      <c r="F14" s="2418"/>
      <c r="G14" s="2418"/>
      <c r="H14" s="2418"/>
      <c r="I14" s="2415"/>
      <c r="J14" s="1489"/>
      <c r="K14" s="1489"/>
      <c r="L14" s="1492"/>
      <c r="M14" s="656"/>
      <c r="N14" s="656"/>
      <c r="O14" s="656"/>
      <c r="P14" s="2416"/>
      <c r="Q14" s="1627"/>
      <c r="R14" s="502"/>
      <c r="S14" s="1532"/>
      <c r="T14" s="1533"/>
      <c r="U14" s="1534"/>
      <c r="V14" s="1534"/>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5"/>
      <c r="BE14" s="646"/>
      <c r="BF14" s="646" t="str">
        <f>IF(T14="","",T14)</f>
        <v/>
      </c>
      <c r="BG14" s="646"/>
      <c r="BH14" s="646"/>
      <c r="BI14" s="657">
        <v>0</v>
      </c>
    </row>
    <row s="6720" customFormat="1" customHeight="1" ht="14.25" hidden="1">
      <c r="A15" s="1489"/>
      <c r="B15" s="1489"/>
      <c r="C15" s="1489"/>
      <c r="D15" s="1489"/>
      <c r="E15" s="2418"/>
      <c r="F15" s="2418"/>
      <c r="G15" s="2418"/>
      <c r="H15" s="2417"/>
      <c r="I15" s="1489"/>
      <c r="J15" s="1489"/>
      <c r="K15" s="1489"/>
      <c r="L15" s="1492"/>
      <c r="M15" s="1461"/>
      <c r="N15" s="1461"/>
      <c r="O15" s="664"/>
      <c r="P15" s="526"/>
      <c r="Q15" s="1490"/>
      <c r="R15" s="1547"/>
      <c r="S15" s="1532"/>
      <c r="T15" s="1533"/>
      <c r="U15" s="1534"/>
      <c r="V15" s="1534"/>
      <c r="W15" s="1534"/>
      <c r="X15" s="1534"/>
      <c r="Y15" s="1534"/>
      <c r="Z15" s="1534"/>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5"/>
      <c r="BE15" s="646"/>
      <c r="BF15" s="646" t="str">
        <f>IF(T15="","",T15)</f>
        <v/>
      </c>
      <c r="BG15" s="646"/>
      <c r="BH15" s="646"/>
      <c r="BI15" s="657">
        <v>0</v>
      </c>
    </row>
    <row s="6720" customFormat="1" customHeight="1" ht="14.25" hidden="1">
      <c r="A16" s="1489"/>
      <c r="B16" s="1489"/>
      <c r="C16" s="1489"/>
      <c r="D16" s="1460"/>
      <c r="E16" s="2418"/>
      <c r="F16" s="2418"/>
      <c r="G16" s="2417"/>
      <c r="H16" s="1460"/>
      <c r="I16" s="1460"/>
      <c r="J16" s="1460"/>
      <c r="K16" s="1460"/>
      <c r="L16" s="1640"/>
      <c r="M16" s="1461"/>
      <c r="N16" s="1461"/>
      <c r="P16" s="1462"/>
      <c r="Q16" s="1463"/>
      <c r="R16" s="1462"/>
      <c r="S16" s="1468"/>
      <c r="T16" s="1471"/>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V16" s="1470"/>
      <c r="AW16" s="1470"/>
      <c r="AX16" s="1470"/>
      <c r="AY16" s="1470"/>
      <c r="AZ16" s="1470"/>
      <c r="BA16" s="1470"/>
      <c r="BB16" s="1470"/>
      <c r="BC16" s="1470"/>
      <c r="BE16" s="935"/>
      <c r="BF16" s="935" t="str">
        <f>IF(T16="","",T16)</f>
        <v/>
      </c>
      <c r="BG16" s="935"/>
      <c r="BH16" s="935"/>
      <c r="BI16" s="664">
        <v>0</v>
      </c>
    </row>
    <row s="6720" customFormat="1" customHeight="1" ht="14.25" hidden="1">
      <c r="A17" s="1489"/>
      <c r="B17" s="1489"/>
      <c r="C17" s="1460"/>
      <c r="D17" s="1460"/>
      <c r="E17" s="2418"/>
      <c r="F17" s="2417"/>
      <c r="G17" s="1460"/>
      <c r="H17" s="1460"/>
      <c r="I17" s="1460"/>
      <c r="J17" s="1460"/>
      <c r="K17" s="1460"/>
      <c r="L17" s="1640"/>
      <c r="M17" s="1467"/>
      <c r="N17" s="1467"/>
      <c r="P17" s="1462"/>
      <c r="Q17" s="1463"/>
      <c r="R17" s="1462"/>
      <c r="S17" s="1468"/>
      <c r="T17" s="1471" t="s">
        <v>437</v>
      </c>
      <c r="U17" s="1470"/>
      <c r="V17" s="1470"/>
      <c r="W17" s="1470"/>
      <c r="X17" s="1470"/>
      <c r="Y17" s="1470"/>
      <c r="Z17" s="1470"/>
      <c r="AA17" s="1470"/>
      <c r="AB17" s="1470"/>
      <c r="AC17" s="1470"/>
      <c r="AD17" s="1470"/>
      <c r="AE17" s="1470"/>
      <c r="AF17" s="1470"/>
      <c r="AG17" s="1470"/>
      <c r="AH17" s="1470"/>
      <c r="AI17" s="1470"/>
      <c r="AJ17" s="1470"/>
      <c r="AK17" s="1470"/>
      <c r="AL17" s="1470"/>
      <c r="AM17" s="1470"/>
      <c r="AN17" s="1470"/>
      <c r="AO17" s="1470"/>
      <c r="AP17" s="1470"/>
      <c r="AQ17" s="1470"/>
      <c r="AR17" s="1470"/>
      <c r="AS17" s="1470"/>
      <c r="AT17" s="1470"/>
      <c r="AU17" s="1470"/>
      <c r="AV17" s="1470"/>
      <c r="AW17" s="1470"/>
      <c r="AX17" s="1470"/>
      <c r="AY17" s="1470"/>
      <c r="AZ17" s="1470"/>
      <c r="BA17" s="1470"/>
      <c r="BB17" s="1470"/>
      <c r="BC17" s="1470"/>
      <c r="BE17" s="935"/>
      <c r="BF17" s="935" t="str">
        <f>IF(T17="","",T17)</f>
        <v>Добавить централизованную систему для дифференциации</v>
      </c>
      <c r="BG17" s="935"/>
      <c r="BH17" s="935"/>
      <c r="BI17" s="664">
        <v>0</v>
      </c>
    </row>
    <row s="6720" customFormat="1" customHeight="1" ht="14.25" hidden="1">
      <c r="A18" s="1489"/>
      <c r="B18" s="1489"/>
      <c r="C18" s="1489"/>
      <c r="D18" s="1489"/>
      <c r="E18" s="2417"/>
      <c r="F18" s="1489"/>
      <c r="G18" s="1489"/>
      <c r="H18" s="1489"/>
      <c r="I18" s="1489"/>
      <c r="J18" s="1489"/>
      <c r="K18" s="1489"/>
      <c r="L18" s="1492"/>
      <c r="M18" s="1467"/>
      <c r="N18" s="1467"/>
      <c r="O18" s="664"/>
      <c r="P18" s="526"/>
      <c r="Q18" s="1490"/>
      <c r="R18" s="526"/>
      <c r="S18" s="1468"/>
      <c r="T18" s="1471" t="s">
        <v>438</v>
      </c>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1470"/>
      <c r="AS18" s="1470"/>
      <c r="AT18" s="1470"/>
      <c r="AU18" s="1470"/>
      <c r="AV18" s="1470"/>
      <c r="AW18" s="1470"/>
      <c r="AX18" s="1470"/>
      <c r="AY18" s="1470"/>
      <c r="AZ18" s="1470"/>
      <c r="BA18" s="1470"/>
      <c r="BB18" s="1470"/>
      <c r="BC18" s="1470"/>
      <c r="BE18" s="646"/>
      <c r="BF18" s="646" t="str">
        <f>IF(T18="","",T18)</f>
        <v>Добавить территорию для дифференциации</v>
      </c>
      <c r="BG18" s="646"/>
      <c r="BH18" s="646"/>
      <c r="BI18" s="657">
        <v>0</v>
      </c>
    </row>
    <row customHeight="1" ht="14.25" hidden="1">
      <c r="AC19" s="473"/>
      <c r="BA19" s="473"/>
      <c r="BI19" s="1301">
        <v>0</v>
      </c>
    </row>
    <row customHeight="1" ht="14.25" hidden="1">
      <c r="AD20" s="1470" t="s">
        <v>19</v>
      </c>
      <c r="AE20" s="1647"/>
      <c r="AF20" s="694">
        <v>1</v>
      </c>
      <c r="AG20" s="1648"/>
      <c r="AH20" s="1470" t="s">
        <v>19</v>
      </c>
      <c r="AI20" s="1647"/>
      <c r="AJ20" s="694">
        <v>1</v>
      </c>
      <c r="AK20" s="1648"/>
      <c r="AL20" s="1470" t="s">
        <v>19</v>
      </c>
      <c r="AM20" s="1649"/>
      <c r="AN20" s="694">
        <v>1</v>
      </c>
      <c r="AO20" s="1650"/>
      <c r="AP20" s="1470" t="s">
        <v>19</v>
      </c>
      <c r="AQ20" s="1649"/>
      <c r="AR20" s="694">
        <v>1</v>
      </c>
      <c r="AS20" s="1650"/>
      <c r="AT20" s="471"/>
      <c r="AU20" s="530"/>
      <c r="AV20" s="471"/>
      <c r="AW20" s="530"/>
      <c r="AX20" s="1881"/>
      <c r="AY20" s="1631" t="s">
        <v>63</v>
      </c>
      <c r="AZ20" s="1881"/>
      <c r="BA20" s="1631" t="s">
        <v>63</v>
      </c>
      <c r="BI20" s="1301">
        <v>0</v>
      </c>
    </row>
    <row customHeight="1" ht="14.25" hidden="1">
      <c r="BD21" s="642"/>
      <c r="BE21" s="642"/>
      <c r="BF21" s="642"/>
      <c r="BG21" s="642"/>
      <c r="BH21" s="642"/>
      <c r="BI21" s="1301">
        <v>0</v>
      </c>
    </row>
    <row customHeight="1" ht="14.25" hidden="1">
      <c r="O22" s="1513" t="s">
        <v>439</v>
      </c>
      <c r="Z22" s="1491"/>
      <c r="AB22" s="1491"/>
      <c r="AC22" s="473"/>
      <c r="AX22" s="1491"/>
      <c r="AZ22" s="1491"/>
      <c r="BA22" s="473"/>
      <c r="BD22" s="642"/>
      <c r="BE22" s="642"/>
      <c r="BF22" s="642"/>
      <c r="BG22" s="642"/>
      <c r="BH22" s="642"/>
      <c r="BI22" s="1301">
        <v>0</v>
      </c>
    </row>
    <row customHeight="1" ht="14.25" hidden="1">
      <c r="AC23" s="473"/>
      <c r="BA23" s="473"/>
      <c r="BD23" s="642"/>
      <c r="BE23" s="642"/>
      <c r="BF23" s="642"/>
      <c r="BG23" s="642"/>
      <c r="BH23" s="642"/>
      <c r="BI23" s="1301">
        <v>0</v>
      </c>
    </row>
    <row s="6437" customFormat="1" customHeight="1" ht="14.25" hidden="1">
      <c r="M24" s="1654"/>
      <c r="N24" s="1654"/>
      <c r="O24" s="1655" t="s">
        <v>440</v>
      </c>
      <c r="P24" s="1654"/>
      <c r="Q24" s="1656"/>
      <c r="R24" s="1656"/>
      <c r="AA24" s="1653" t="s">
        <v>442</v>
      </c>
      <c r="AC24" s="1653" t="s">
        <v>443</v>
      </c>
      <c r="AD24" s="1653" t="s">
        <v>491</v>
      </c>
      <c r="AH24" s="1653" t="s">
        <v>491</v>
      </c>
      <c r="AK24" s="1653" t="s">
        <v>528</v>
      </c>
      <c r="AL24" s="1653" t="s">
        <v>491</v>
      </c>
      <c r="AP24" s="1653" t="s">
        <v>491</v>
      </c>
      <c r="AY24" s="1653" t="s">
        <v>442</v>
      </c>
      <c r="BA24" s="1653" t="s">
        <v>443</v>
      </c>
      <c r="BD24" s="1657"/>
      <c r="BE24" s="1657"/>
      <c r="BF24" s="1657"/>
      <c r="BG24" s="1657"/>
      <c r="BH24" s="1657"/>
      <c r="BI24" s="1653">
        <v>0</v>
      </c>
    </row>
    <row customHeight="1" ht="14.25" hidden="1">
      <c r="O25" s="1510"/>
      <c r="BD25" s="642"/>
      <c r="BE25" s="642"/>
      <c r="BF25" s="642"/>
      <c r="BG25" s="642"/>
      <c r="BH25" s="642"/>
      <c r="BI25" s="1301">
        <v>0</v>
      </c>
    </row>
    <row customHeight="1" ht="14.25" hidden="1">
      <c r="O26" s="1510"/>
      <c r="BD26" s="642"/>
      <c r="BE26" s="642"/>
      <c r="BF26" s="642"/>
      <c r="BG26" s="642"/>
      <c r="BH26" s="642"/>
      <c r="BI26" s="1301">
        <v>0</v>
      </c>
    </row>
    <row customHeight="1" ht="14.699999999999998">
      <c r="Q27" s="437"/>
      <c r="R27" s="522"/>
      <c r="S27" s="1421"/>
      <c r="T27" s="509"/>
      <c r="U27" s="509"/>
      <c r="V27" s="655"/>
      <c r="W27" s="655"/>
      <c r="X27" s="655"/>
      <c r="Y27" s="655"/>
      <c r="Z27" s="655"/>
      <c r="AA27" s="655"/>
      <c r="AB27" s="655"/>
      <c r="AC27" s="655"/>
      <c r="AD27" s="655"/>
      <c r="AE27" s="655"/>
      <c r="AF27" s="655"/>
      <c r="AG27" s="655"/>
      <c r="AH27" s="655"/>
      <c r="AI27" s="655"/>
      <c r="AJ27" s="655"/>
      <c r="AK27" s="655"/>
      <c r="AL27" s="655"/>
      <c r="AM27" s="655"/>
      <c r="AN27" s="655"/>
      <c r="AO27" s="655"/>
      <c r="AP27" s="655"/>
      <c r="AQ27" s="655"/>
      <c r="AR27" s="655"/>
      <c r="AS27" s="655"/>
      <c r="AT27" s="655"/>
      <c r="AU27" s="655"/>
      <c r="AV27" s="655"/>
      <c r="AW27" s="655"/>
      <c r="AX27" s="655"/>
      <c r="AY27" s="655"/>
      <c r="AZ27" s="655"/>
      <c r="BA27" s="655"/>
      <c r="BI27" s="1301">
        <v>14</v>
      </c>
    </row>
    <row customHeight="1" ht="14.699999999999998">
      <c r="Q28" s="437"/>
      <c r="R28" s="522"/>
      <c r="S28" s="240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407"/>
      <c r="AT28" s="2407"/>
      <c r="AU28" s="2407"/>
      <c r="AV28" s="2407"/>
      <c r="AW28" s="2407"/>
      <c r="AX28" s="2407"/>
      <c r="AY28" s="2407"/>
      <c r="AZ28" s="2407"/>
      <c r="BA28" s="1389"/>
      <c r="BI28" s="1301">
        <v>14</v>
      </c>
    </row>
    <row customHeight="1" ht="14.699999999999998">
      <c r="Q29" s="437"/>
      <c r="R29" s="522"/>
      <c r="S29" s="2408" t="str">
        <f>IF(org=0,"Не определено",org)</f>
        <v>ПАО "ТГК-14"</v>
      </c>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408"/>
      <c r="AT29" s="2408"/>
      <c r="AU29" s="2408"/>
      <c r="AV29" s="2408"/>
      <c r="AW29" s="2408"/>
      <c r="AX29" s="2408"/>
      <c r="AY29" s="2408"/>
      <c r="AZ29" s="2408"/>
      <c r="BA29" s="1389"/>
      <c r="BI29" s="1301">
        <v>14</v>
      </c>
    </row>
    <row customHeight="1" ht="14.25" hidden="1">
      <c r="Q30" s="437"/>
      <c r="R30" s="522"/>
      <c r="S30" s="1421"/>
      <c r="T30" s="509"/>
      <c r="U30" s="509"/>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655"/>
      <c r="BI30" s="1301">
        <v>0</v>
      </c>
    </row>
    <row s="7809" customFormat="1" customHeight="1" ht="25.5" hidden="1">
      <c r="A31" s="1514"/>
      <c r="B31" s="1514"/>
      <c r="C31" s="1514"/>
      <c r="D31" s="1514"/>
      <c r="E31" s="1514"/>
      <c r="F31" s="1514"/>
      <c r="G31" s="1514"/>
      <c r="H31" s="1514"/>
      <c r="I31" s="1514"/>
      <c r="J31" s="1514"/>
      <c r="K31" s="1514"/>
      <c r="L31" s="1515"/>
      <c r="M31" s="1514"/>
      <c r="N31" s="1514"/>
      <c r="O31" s="1514"/>
      <c r="P31" s="1514"/>
      <c r="Q31" s="1514"/>
      <c r="S31" s="2409" t="s">
        <v>42</v>
      </c>
      <c r="T31" s="2409"/>
      <c r="U31" s="1518"/>
      <c r="V31" s="2410" t="str">
        <f>IF(TITLE_NAME_OR_PR_CHANGE="",IF(TITLE_NAME_OR_PR="","",TITLE_NAME_OR_PR),TITLE_NAME_OR_PR_CHANGE)</f>
        <v/>
      </c>
      <c r="W31" s="2410"/>
      <c r="X31" s="2410"/>
      <c r="Y31" s="2410"/>
      <c r="Z31" s="2410"/>
      <c r="AA31" s="2410"/>
      <c r="AB31" s="2410"/>
      <c r="AC31" s="472"/>
      <c r="AD31" s="2410" t="str">
        <f>IF(TITLE_NAME_OR_PR_CHANGE="",IF(TITLE_NAME_OR_PR="","",TITLE_NAME_OR_PR),TITLE_NAME_OR_PR_CHANGE)</f>
        <v/>
      </c>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472"/>
      <c r="BB31" s="472"/>
      <c r="BC31" s="426"/>
      <c r="BD31" s="514"/>
      <c r="BE31" s="514"/>
      <c r="BF31" s="514"/>
      <c r="BG31" s="514"/>
      <c r="BH31" s="514"/>
      <c r="BI31" s="564">
        <v>0</v>
      </c>
    </row>
    <row s="7809" customFormat="1" customHeight="1" ht="18.75" hidden="1">
      <c r="A32" s="1514"/>
      <c r="B32" s="1514"/>
      <c r="C32" s="1514"/>
      <c r="D32" s="1514"/>
      <c r="E32" s="1514"/>
      <c r="F32" s="1514"/>
      <c r="G32" s="1514"/>
      <c r="H32" s="1514"/>
      <c r="I32" s="1514"/>
      <c r="J32" s="1514"/>
      <c r="K32" s="1514"/>
      <c r="L32" s="1515"/>
      <c r="M32" s="1514"/>
      <c r="N32" s="1514"/>
      <c r="O32" s="1514"/>
      <c r="P32" s="1514"/>
      <c r="Q32" s="1514"/>
      <c r="S32" s="2409" t="s">
        <v>445</v>
      </c>
      <c r="T32" s="2409"/>
      <c r="U32" s="1518"/>
      <c r="V32" s="2423" t="str">
        <f>IF(TITLE_DATE_PR_CHANGE="",IF(TITLE_DATE_PR="","",TITLE_DATE_PR),TITLE_DATE_PR_CHANGE)</f>
        <v/>
      </c>
      <c r="W32" s="2423"/>
      <c r="X32" s="2423"/>
      <c r="Y32" s="2423"/>
      <c r="Z32" s="2423"/>
      <c r="AA32" s="2423"/>
      <c r="AB32" s="2423"/>
      <c r="AC32" s="472"/>
      <c r="AD32" s="2423" t="str">
        <f>IF(TITLE_DATE_PR_CHANGE="",IF(TITLE_DATE_PR="","",TITLE_DATE_PR),TITLE_DATE_PR_CHANGE)</f>
        <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472"/>
      <c r="BB32" s="472"/>
      <c r="BC32" s="426"/>
      <c r="BD32" s="514"/>
      <c r="BE32" s="514"/>
      <c r="BF32" s="514"/>
      <c r="BG32" s="514"/>
      <c r="BH32" s="514"/>
      <c r="BI32" s="564">
        <v>0</v>
      </c>
    </row>
    <row s="7809" customFormat="1" customHeight="1" ht="18.75" hidden="1">
      <c r="A33" s="1514"/>
      <c r="B33" s="1514"/>
      <c r="C33" s="1514"/>
      <c r="D33" s="1514"/>
      <c r="E33" s="1514"/>
      <c r="F33" s="1514"/>
      <c r="G33" s="1514"/>
      <c r="H33" s="1514"/>
      <c r="I33" s="1514"/>
      <c r="J33" s="1514"/>
      <c r="K33" s="1514"/>
      <c r="L33" s="1515"/>
      <c r="M33" s="1514"/>
      <c r="N33" s="1514"/>
      <c r="O33" s="1514"/>
      <c r="P33" s="1514"/>
      <c r="Q33" s="1514"/>
      <c r="S33" s="2409" t="s">
        <v>446</v>
      </c>
      <c r="T33" s="2409"/>
      <c r="U33" s="1518"/>
      <c r="V33" s="2410" t="str">
        <f>IF(TITLE_NUMBER_PR_CHANGE="",IF(TITLE_NUMBER_PR="","",TITLE_NUMBER_PR),TITLE_NUMBER_PR_CHANGE)</f>
        <v/>
      </c>
      <c r="W33" s="2410"/>
      <c r="X33" s="2410"/>
      <c r="Y33" s="2410"/>
      <c r="Z33" s="2410"/>
      <c r="AA33" s="2410"/>
      <c r="AB33" s="2410"/>
      <c r="AC33" s="472"/>
      <c r="AD33" s="2410" t="str">
        <f>IF(TITLE_NUMBER_PR_CHANGE="",IF(TITLE_NUMBER_PR="","",TITLE_NUMBER_PR),TITLE_NUMBER_PR_CHANGE)</f>
        <v/>
      </c>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0"/>
      <c r="BA33" s="472"/>
      <c r="BB33" s="472"/>
      <c r="BC33" s="426"/>
      <c r="BD33" s="514"/>
      <c r="BE33" s="514"/>
      <c r="BF33" s="514"/>
      <c r="BG33" s="514"/>
      <c r="BH33" s="514"/>
      <c r="BI33" s="564">
        <v>0</v>
      </c>
    </row>
    <row s="7809" customFormat="1" customHeight="1" ht="18.75" hidden="1">
      <c r="A34" s="1514"/>
      <c r="B34" s="1514"/>
      <c r="C34" s="1514"/>
      <c r="D34" s="1514"/>
      <c r="E34" s="1514"/>
      <c r="F34" s="1514"/>
      <c r="G34" s="1514"/>
      <c r="H34" s="1514"/>
      <c r="I34" s="1514"/>
      <c r="J34" s="1514"/>
      <c r="K34" s="1514"/>
      <c r="L34" s="1515"/>
      <c r="M34" s="1514"/>
      <c r="N34" s="1514"/>
      <c r="O34" s="1514"/>
      <c r="P34" s="1514"/>
      <c r="Q34" s="1514"/>
      <c r="S34" s="2409" t="s">
        <v>43</v>
      </c>
      <c r="T34" s="2409"/>
      <c r="U34" s="1518"/>
      <c r="V34" s="2410" t="str">
        <f>IF(TITLE_IST_PUB_CHANGE="",IF(TITLE_IST_PUB="","",TITLE_IST_PUB),TITLE_IST_PUB_CHANGE)</f>
        <v/>
      </c>
      <c r="W34" s="2410"/>
      <c r="X34" s="2410"/>
      <c r="Y34" s="2410"/>
      <c r="Z34" s="2410"/>
      <c r="AA34" s="2410"/>
      <c r="AB34" s="2410"/>
      <c r="AC34" s="472"/>
      <c r="AD34" s="2410" t="str">
        <f>IF(TITLE_IST_PUB_CHANGE="",IF(TITLE_IST_PUB="","",TITLE_IST_PUB),TITLE_IST_PUB_CHANGE)</f>
        <v/>
      </c>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0"/>
      <c r="BA34" s="472"/>
      <c r="BB34" s="472"/>
      <c r="BC34" s="426"/>
      <c r="BD34" s="514"/>
      <c r="BE34" s="514"/>
      <c r="BF34" s="514"/>
      <c r="BG34" s="514"/>
      <c r="BH34" s="514"/>
      <c r="BI34" s="564">
        <v>0</v>
      </c>
    </row>
    <row customHeight="1" ht="14.25" hidden="1">
      <c r="Q35" s="437"/>
      <c r="R35" s="522"/>
      <c r="S35" s="1421"/>
      <c r="T35" s="509"/>
      <c r="U35" s="509"/>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655"/>
      <c r="BI35" s="1301">
        <v>0</v>
      </c>
    </row>
    <row s="7809" customFormat="1" customHeight="1" ht="18.75" hidden="1">
      <c r="A36" s="1514"/>
      <c r="B36" s="1514"/>
      <c r="C36" s="1514"/>
      <c r="D36" s="1514"/>
      <c r="E36" s="1514"/>
      <c r="F36" s="1514"/>
      <c r="G36" s="1514"/>
      <c r="H36" s="1514"/>
      <c r="I36" s="1514"/>
      <c r="J36" s="1514"/>
      <c r="K36" s="1514"/>
      <c r="L36" s="1515"/>
      <c r="M36" s="1514"/>
      <c r="N36" s="1514"/>
      <c r="O36" s="1514"/>
      <c r="P36" s="1514"/>
      <c r="Q36" s="1514"/>
      <c r="S36" s="2409" t="s">
        <v>445</v>
      </c>
      <c r="T36" s="2409"/>
      <c r="U36" s="1518"/>
      <c r="V36" s="2423" t="str">
        <f>IF(TITLE_DATE_PR_CHANGE="",IF(TITLE_DATE_PR="","",TITLE_DATE_PR),TITLE_DATE_PR_CHANGE)</f>
        <v/>
      </c>
      <c r="W36" s="2423"/>
      <c r="X36" s="2423"/>
      <c r="Y36" s="2423"/>
      <c r="Z36" s="2423"/>
      <c r="AA36" s="2423"/>
      <c r="AB36" s="2423"/>
      <c r="AC36" s="472"/>
      <c r="AD36" s="2423" t="str">
        <f>IF(TITLE_DATE_PR_CHANGE="",IF(TITLE_DATE_PR="","",TITLE_DATE_PR),TITLE_DATE_PR_CHANGE)</f>
        <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472"/>
      <c r="BB36" s="472"/>
      <c r="BC36" s="426"/>
      <c r="BD36" s="514"/>
      <c r="BE36" s="514"/>
      <c r="BF36" s="514"/>
      <c r="BG36" s="514"/>
      <c r="BH36" s="514"/>
      <c r="BI36" s="564">
        <v>0</v>
      </c>
    </row>
    <row s="7809" customFormat="1" customHeight="1" ht="18.75" hidden="1">
      <c r="A37" s="1514"/>
      <c r="B37" s="1514"/>
      <c r="C37" s="1514"/>
      <c r="D37" s="1514"/>
      <c r="E37" s="1514"/>
      <c r="F37" s="1514"/>
      <c r="G37" s="1514"/>
      <c r="H37" s="1514"/>
      <c r="I37" s="1514"/>
      <c r="J37" s="1514"/>
      <c r="K37" s="1514"/>
      <c r="L37" s="1515"/>
      <c r="M37" s="1514"/>
      <c r="N37" s="1514"/>
      <c r="O37" s="1514"/>
      <c r="P37" s="1514"/>
      <c r="Q37" s="1514"/>
      <c r="S37" s="2409" t="s">
        <v>446</v>
      </c>
      <c r="T37" s="2409"/>
      <c r="U37" s="1518"/>
      <c r="V37" s="2410" t="str">
        <f>IF(TITLE_NUMBER_PR_CHANGE="",IF(TITLE_NUMBER_PR="","",TITLE_NUMBER_PR),TITLE_NUMBER_PR_CHANGE)</f>
        <v/>
      </c>
      <c r="W37" s="2410"/>
      <c r="X37" s="2410"/>
      <c r="Y37" s="2410"/>
      <c r="Z37" s="2410"/>
      <c r="AA37" s="2410"/>
      <c r="AB37" s="2410"/>
      <c r="AC37" s="472"/>
      <c r="AD37" s="2410" t="str">
        <f>IF(TITLE_NUMBER_PR_CHANGE="",IF(TITLE_NUMBER_PR="","",TITLE_NUMBER_PR),TITLE_NUMBER_PR_CHANGE)</f>
        <v/>
      </c>
      <c r="AE37" s="2410"/>
      <c r="AF37" s="2410"/>
      <c r="AG37" s="2410"/>
      <c r="AH37" s="2410"/>
      <c r="AI37" s="2410"/>
      <c r="AJ37" s="2410"/>
      <c r="AK37" s="2410"/>
      <c r="AL37" s="2410"/>
      <c r="AM37" s="2410"/>
      <c r="AN37" s="2410"/>
      <c r="AO37" s="2410"/>
      <c r="AP37" s="2410"/>
      <c r="AQ37" s="2410"/>
      <c r="AR37" s="2410"/>
      <c r="AS37" s="2410"/>
      <c r="AT37" s="2410"/>
      <c r="AU37" s="2410"/>
      <c r="AV37" s="2410"/>
      <c r="AW37" s="2410"/>
      <c r="AX37" s="2410"/>
      <c r="AY37" s="2410"/>
      <c r="AZ37" s="2410"/>
      <c r="BA37" s="472"/>
      <c r="BB37" s="472"/>
      <c r="BC37" s="426"/>
      <c r="BD37" s="514"/>
      <c r="BE37" s="514"/>
      <c r="BF37" s="514"/>
      <c r="BG37" s="514"/>
      <c r="BH37" s="514"/>
      <c r="BI37" s="564">
        <v>0</v>
      </c>
    </row>
    <row s="7809" customFormat="1" customHeight="1" ht="0">
      <c r="A38" s="1514"/>
      <c r="B38" s="1514"/>
      <c r="C38" s="1514"/>
      <c r="D38" s="1514"/>
      <c r="E38" s="1514"/>
      <c r="F38" s="1514"/>
      <c r="G38" s="1514"/>
      <c r="H38" s="1514"/>
      <c r="I38" s="1514"/>
      <c r="J38" s="1514"/>
      <c r="K38" s="1514"/>
      <c r="L38" s="1515"/>
      <c r="M38" s="1514"/>
      <c r="N38" s="1514"/>
      <c r="O38" s="1514"/>
      <c r="P38" s="1514"/>
      <c r="Q38" s="1514"/>
      <c r="S38" s="469"/>
      <c r="T38" s="469"/>
      <c r="U38" s="1634"/>
      <c r="V38" s="472"/>
      <c r="W38" s="472"/>
      <c r="X38" s="472"/>
      <c r="Y38" s="472"/>
      <c r="Z38" s="472"/>
      <c r="AA38" s="472"/>
      <c r="AB38" s="472"/>
      <c r="AC38" s="424" t="s">
        <v>449</v>
      </c>
      <c r="AD38" s="472"/>
      <c r="AE38" s="472"/>
      <c r="AF38" s="472"/>
      <c r="AG38" s="472"/>
      <c r="AH38" s="472"/>
      <c r="AI38" s="472"/>
      <c r="AJ38" s="472"/>
      <c r="AK38" s="472"/>
      <c r="AL38" s="472"/>
      <c r="AM38" s="472"/>
      <c r="AN38" s="472"/>
      <c r="AO38" s="472"/>
      <c r="AP38" s="472"/>
      <c r="AQ38" s="472"/>
      <c r="AR38" s="472"/>
      <c r="AS38" s="472"/>
      <c r="AT38" s="472"/>
      <c r="AU38" s="472"/>
      <c r="AV38" s="472"/>
      <c r="AW38" s="472"/>
      <c r="AX38" s="472"/>
      <c r="AY38" s="472"/>
      <c r="AZ38" s="472"/>
      <c r="BA38" s="424" t="s">
        <v>449</v>
      </c>
      <c r="BD38" s="514"/>
      <c r="BE38" s="514"/>
      <c r="BF38" s="514"/>
      <c r="BG38" s="514"/>
      <c r="BH38" s="514"/>
      <c r="BI38" s="564">
        <v>0</v>
      </c>
    </row>
    <row customHeight="1" ht="14.699999999999998">
      <c r="Q39" s="437"/>
      <c r="R39" s="522"/>
      <c r="S39" s="1421"/>
      <c r="T39" s="509"/>
      <c r="U39" s="1390"/>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2411"/>
      <c r="AT39" s="2411"/>
      <c r="AU39" s="2411"/>
      <c r="AV39" s="2411"/>
      <c r="AW39" s="2411"/>
      <c r="AX39" s="2411"/>
      <c r="AY39" s="2411"/>
      <c r="AZ39" s="2411"/>
      <c r="BA39" s="2411"/>
      <c r="BI39" s="1301">
        <v>14</v>
      </c>
    </row>
    <row customHeight="1" ht="14.699999999999998">
      <c r="Q40" s="437"/>
      <c r="R40" s="522"/>
      <c r="S40" s="2286" t="s">
        <v>322</v>
      </c>
      <c r="T40" s="2286"/>
      <c r="U40" s="2286"/>
      <c r="V40" s="2286"/>
      <c r="W40" s="2286"/>
      <c r="X40" s="2286"/>
      <c r="Y40" s="2286"/>
      <c r="Z40" s="2286"/>
      <c r="AA40" s="2286"/>
      <c r="AB40" s="2286"/>
      <c r="AC40" s="2286"/>
      <c r="AD40" s="2286"/>
      <c r="AE40" s="2286"/>
      <c r="AF40" s="2286"/>
      <c r="AG40" s="2286"/>
      <c r="AH40" s="2286"/>
      <c r="AI40" s="2286"/>
      <c r="AJ40" s="2286"/>
      <c r="AK40" s="2286"/>
      <c r="AL40" s="2286"/>
      <c r="AM40" s="2286"/>
      <c r="AN40" s="2286"/>
      <c r="AO40" s="2286"/>
      <c r="AP40" s="2286"/>
      <c r="AQ40" s="2286"/>
      <c r="AR40" s="2286"/>
      <c r="AS40" s="2286"/>
      <c r="AT40" s="2286"/>
      <c r="AU40" s="2286"/>
      <c r="AV40" s="2286"/>
      <c r="AW40" s="2286"/>
      <c r="AX40" s="2286"/>
      <c r="AY40" s="2286"/>
      <c r="AZ40" s="2286"/>
      <c r="BA40" s="2286"/>
      <c r="BB40" s="2286"/>
      <c r="BC40" s="2286" t="s">
        <v>323</v>
      </c>
      <c r="BI40" s="1301">
        <v>14</v>
      </c>
    </row>
    <row customHeight="1" ht="14.699999999999998">
      <c r="Q41" s="437"/>
      <c r="R41" s="522"/>
      <c r="S41" s="2432" t="s">
        <v>89</v>
      </c>
      <c r="T41" s="2368" t="s">
        <v>529</v>
      </c>
      <c r="U41" s="447"/>
      <c r="V41" s="2433" t="s">
        <v>451</v>
      </c>
      <c r="W41" s="2434"/>
      <c r="X41" s="2434"/>
      <c r="Y41" s="2434"/>
      <c r="Z41" s="2434"/>
      <c r="AA41" s="2434"/>
      <c r="AB41" s="2435"/>
      <c r="AC41" s="2436" t="s">
        <v>452</v>
      </c>
      <c r="AD41" s="2487" t="s">
        <v>546</v>
      </c>
      <c r="AE41" s="2450"/>
      <c r="AF41" s="2450"/>
      <c r="AG41" s="2488"/>
      <c r="AH41" s="2487" t="s">
        <v>547</v>
      </c>
      <c r="AI41" s="2450"/>
      <c r="AJ41" s="2450"/>
      <c r="AK41" s="2488"/>
      <c r="AL41" s="2487" t="s">
        <v>548</v>
      </c>
      <c r="AM41" s="2450"/>
      <c r="AN41" s="2450"/>
      <c r="AO41" s="2488"/>
      <c r="AP41" s="2487" t="s">
        <v>533</v>
      </c>
      <c r="AQ41" s="2450"/>
      <c r="AR41" s="2450"/>
      <c r="AS41" s="2488"/>
      <c r="AT41" s="2433" t="s">
        <v>451</v>
      </c>
      <c r="AU41" s="2434"/>
      <c r="AV41" s="2434"/>
      <c r="AW41" s="2434"/>
      <c r="AX41" s="2434"/>
      <c r="AY41" s="2434"/>
      <c r="AZ41" s="2435"/>
      <c r="BA41" s="2436" t="s">
        <v>452</v>
      </c>
      <c r="BB41" s="2439" t="s">
        <v>454</v>
      </c>
      <c r="BC41" s="2286"/>
      <c r="BI41" s="1301">
        <v>14</v>
      </c>
    </row>
    <row customHeight="1" ht="35.699999999999996">
      <c r="Q42" s="437"/>
      <c r="R42" s="522"/>
      <c r="S42" s="2432"/>
      <c r="T42" s="2368"/>
      <c r="U42" s="1177"/>
      <c r="V42" s="2351" t="s">
        <v>534</v>
      </c>
      <c r="W42" s="2352"/>
      <c r="X42" s="2351" t="s">
        <v>535</v>
      </c>
      <c r="Y42" s="2352"/>
      <c r="Z42" s="2453" t="s">
        <v>536</v>
      </c>
      <c r="AA42" s="2472"/>
      <c r="AB42" s="2473"/>
      <c r="AC42" s="2437"/>
      <c r="AD42" s="2489"/>
      <c r="AE42" s="2490"/>
      <c r="AF42" s="2490"/>
      <c r="AG42" s="2491"/>
      <c r="AH42" s="2489"/>
      <c r="AI42" s="2490"/>
      <c r="AJ42" s="2490"/>
      <c r="AK42" s="2491"/>
      <c r="AL42" s="2489"/>
      <c r="AM42" s="2490"/>
      <c r="AN42" s="2490"/>
      <c r="AO42" s="2491"/>
      <c r="AP42" s="2489"/>
      <c r="AQ42" s="2490"/>
      <c r="AR42" s="2490"/>
      <c r="AS42" s="2491"/>
      <c r="AT42" s="2351" t="s">
        <v>549</v>
      </c>
      <c r="AU42" s="2352"/>
      <c r="AV42" s="2351" t="s">
        <v>550</v>
      </c>
      <c r="AW42" s="2352"/>
      <c r="AX42" s="2453" t="s">
        <v>536</v>
      </c>
      <c r="AY42" s="2472"/>
      <c r="AZ42" s="2473"/>
      <c r="BA42" s="2437"/>
      <c r="BB42" s="2440"/>
      <c r="BC42" s="2286"/>
      <c r="BI42" s="1301">
        <v>34</v>
      </c>
    </row>
    <row customHeight="1" ht="14.699999999999998">
      <c r="Q43" s="437"/>
      <c r="R43" s="522"/>
      <c r="S43" s="2432"/>
      <c r="T43" s="2368"/>
      <c r="U43" s="1177"/>
      <c r="V43" s="2359"/>
      <c r="W43" s="2360"/>
      <c r="X43" s="2359"/>
      <c r="Y43" s="2360"/>
      <c r="Z43" s="2454"/>
      <c r="AA43" s="2474"/>
      <c r="AB43" s="2475"/>
      <c r="AC43" s="2437"/>
      <c r="AD43" s="2489"/>
      <c r="AE43" s="2490"/>
      <c r="AF43" s="2490"/>
      <c r="AG43" s="2491"/>
      <c r="AH43" s="2489"/>
      <c r="AI43" s="2490"/>
      <c r="AJ43" s="2490"/>
      <c r="AK43" s="2491"/>
      <c r="AL43" s="2489"/>
      <c r="AM43" s="2490"/>
      <c r="AN43" s="2490"/>
      <c r="AO43" s="2491"/>
      <c r="AP43" s="2489"/>
      <c r="AQ43" s="2490"/>
      <c r="AR43" s="2490"/>
      <c r="AS43" s="2491"/>
      <c r="AT43" s="2359"/>
      <c r="AU43" s="2360"/>
      <c r="AV43" s="2359"/>
      <c r="AW43" s="2360"/>
      <c r="AX43" s="2454"/>
      <c r="AY43" s="2474"/>
      <c r="AZ43" s="2475"/>
      <c r="BA43" s="2437"/>
      <c r="BB43" s="2440"/>
      <c r="BC43" s="2286"/>
      <c r="BI43" s="1301">
        <v>14</v>
      </c>
    </row>
    <row customHeight="1" ht="14.699999999999998">
      <c r="A44" s="1516"/>
      <c r="B44" s="1516" t="s">
        <v>159</v>
      </c>
      <c r="C44" s="1516" t="s">
        <v>160</v>
      </c>
      <c r="D44" s="1516" t="s">
        <v>161</v>
      </c>
      <c r="E44" s="1510" t="s">
        <v>459</v>
      </c>
      <c r="F44" s="1510" t="s">
        <v>460</v>
      </c>
      <c r="G44" s="1510" t="s">
        <v>461</v>
      </c>
      <c r="H44" s="1510" t="s">
        <v>462</v>
      </c>
      <c r="I44" s="1510" t="s">
        <v>463</v>
      </c>
      <c r="J44" s="1510" t="s">
        <v>464</v>
      </c>
      <c r="K44" s="1510" t="s">
        <v>465</v>
      </c>
      <c r="L44" s="1510" t="s">
        <v>440</v>
      </c>
      <c r="Q44" s="437"/>
      <c r="R44" s="522"/>
      <c r="S44" s="2432"/>
      <c r="T44" s="2368"/>
      <c r="U44" s="448"/>
      <c r="V44" s="1625" t="s">
        <v>500</v>
      </c>
      <c r="W44" s="1625" t="s">
        <v>501</v>
      </c>
      <c r="X44" s="1625" t="s">
        <v>500</v>
      </c>
      <c r="Y44" s="1625" t="s">
        <v>501</v>
      </c>
      <c r="Z44" s="1635" t="s">
        <v>468</v>
      </c>
      <c r="AA44" s="2429" t="s">
        <v>469</v>
      </c>
      <c r="AB44" s="2430"/>
      <c r="AC44" s="2438"/>
      <c r="AD44" s="2492"/>
      <c r="AE44" s="2493"/>
      <c r="AF44" s="2493"/>
      <c r="AG44" s="2494"/>
      <c r="AH44" s="2492"/>
      <c r="AI44" s="2493"/>
      <c r="AJ44" s="2493"/>
      <c r="AK44" s="2494"/>
      <c r="AL44" s="2492"/>
      <c r="AM44" s="2493"/>
      <c r="AN44" s="2493"/>
      <c r="AO44" s="2494"/>
      <c r="AP44" s="2492"/>
      <c r="AQ44" s="2493"/>
      <c r="AR44" s="2493"/>
      <c r="AS44" s="2494"/>
      <c r="AT44" s="1625" t="s">
        <v>500</v>
      </c>
      <c r="AU44" s="1625" t="s">
        <v>501</v>
      </c>
      <c r="AV44" s="1625" t="s">
        <v>500</v>
      </c>
      <c r="AW44" s="1625" t="s">
        <v>501</v>
      </c>
      <c r="AX44" s="1635" t="s">
        <v>468</v>
      </c>
      <c r="AY44" s="2429" t="s">
        <v>469</v>
      </c>
      <c r="AZ44" s="2430"/>
      <c r="BA44" s="2438"/>
      <c r="BB44" s="2441"/>
      <c r="BC44" s="2286"/>
      <c r="BI44" s="1301">
        <v>14</v>
      </c>
    </row>
    <row s="6314" customFormat="1" customHeight="1" ht="11.25" hidden="1">
      <c r="A45" s="1516"/>
      <c r="B45" s="1516"/>
      <c r="C45" s="1516"/>
      <c r="D45" s="1516"/>
      <c r="E45" s="1516"/>
      <c r="F45" s="1516"/>
      <c r="G45" s="1516"/>
      <c r="H45" s="1516"/>
      <c r="I45" s="1516"/>
      <c r="J45" s="1516"/>
      <c r="K45" s="1516"/>
      <c r="L45" s="1510"/>
      <c r="M45" s="1508"/>
      <c r="N45" s="1508"/>
      <c r="O45" s="1508"/>
      <c r="P45" s="656"/>
      <c r="Q45" s="1400"/>
      <c r="R45" s="1400">
        <v>1</v>
      </c>
      <c r="S45" s="1423" t="s">
        <v>121</v>
      </c>
      <c r="T45" s="1401" t="s">
        <v>105</v>
      </c>
      <c r="U45" s="1391" t="str">
        <f>OFFSET(U45,0,-1)</f>
        <v>2</v>
      </c>
      <c r="V45" s="1628">
        <f>OFFSET(V45,0,-1)+1</f>
        <v>3</v>
      </c>
      <c r="W45" s="1628">
        <f>OFFSET(W45,0,-1)+1</f>
        <v>4</v>
      </c>
      <c r="X45" s="1628">
        <f>OFFSET(X45,0,-1)+1</f>
        <v>5</v>
      </c>
      <c r="Y45" s="1628">
        <f>OFFSET(Y45,0,-1)+1</f>
        <v>6</v>
      </c>
      <c r="Z45" s="1628">
        <f>OFFSET(Z45,0,-1)+1</f>
        <v>7</v>
      </c>
      <c r="AA45" s="2431">
        <f>OFFSET(AA45,0,-1)+1</f>
        <v>8</v>
      </c>
      <c r="AB45" s="2431"/>
      <c r="AC45" s="1628">
        <f>OFFSET(AC45,0,-2)+1</f>
        <v>9</v>
      </c>
      <c r="AD45" s="1628">
        <f>OFFSET(AD45,0,-1)+1</f>
        <v>10</v>
      </c>
      <c r="AE45" s="1628"/>
      <c r="AF45" s="1628"/>
      <c r="AG45" s="1628"/>
      <c r="AH45" s="1628"/>
      <c r="AI45" s="1628"/>
      <c r="AJ45" s="1628"/>
      <c r="AK45" s="1628"/>
      <c r="AL45" s="1628"/>
      <c r="AM45" s="1628"/>
      <c r="AN45" s="1628"/>
      <c r="AO45" s="1628"/>
      <c r="AP45" s="1628"/>
      <c r="AQ45" s="1628"/>
      <c r="AR45" s="1628"/>
      <c r="AS45" s="1628"/>
      <c r="AT45" s="1628"/>
      <c r="AU45" s="1628"/>
      <c r="AV45" s="1628"/>
      <c r="AW45" s="1628">
        <f>OFFSET(AW45,0,-1)+1</f>
        <v>1</v>
      </c>
      <c r="AX45" s="1628">
        <f>OFFSET(AX45,0,-1)+1</f>
        <v>2</v>
      </c>
      <c r="AY45" s="2431">
        <f>OFFSET(AY45,0,-1)+1</f>
        <v>3</v>
      </c>
      <c r="AZ45" s="2431"/>
      <c r="BA45" s="1628">
        <f>OFFSET(BA45,0,-2)+1</f>
        <v>4</v>
      </c>
      <c r="BB45" s="1391">
        <f>OFFSET(BB45,0,-1)</f>
        <v>4</v>
      </c>
      <c r="BC45" s="1628">
        <f>OFFSET(BC45,0,-1)+1</f>
        <v>5</v>
      </c>
      <c r="BD45" s="657"/>
      <c r="BE45" s="657"/>
      <c r="BF45" s="657"/>
      <c r="BG45" s="657"/>
      <c r="BH45" s="657"/>
      <c r="BI45" s="642">
        <v>0</v>
      </c>
    </row>
    <row customHeight="1" ht="22.049999999999997">
      <c r="A46" s="1509" t="s">
        <v>298</v>
      </c>
      <c r="B46" s="1509"/>
      <c r="C46" s="1509"/>
      <c r="D46" s="1509"/>
      <c r="E46" s="2417">
        <v>1</v>
      </c>
      <c r="F46" s="1509"/>
      <c r="G46" s="1509"/>
      <c r="H46" s="1509"/>
      <c r="I46" s="1509"/>
      <c r="J46" s="1509"/>
      <c r="K46" s="1509"/>
      <c r="L46" s="1510"/>
      <c r="M46" s="1511"/>
      <c r="N46" s="1511"/>
      <c r="O46" s="1511"/>
      <c r="P46" s="1555"/>
      <c r="Q46" s="1019"/>
      <c r="R46" s="501"/>
      <c r="S46" s="1639">
        <f>INDEX(PT_DIFFERENTIATION_NUM_NTAR,MATCH(A46,PT_DIFFERENTIATION_NTAR_ID,0))</f>
        <v>0</v>
      </c>
      <c r="T46" s="444" t="s">
        <v>147</v>
      </c>
      <c r="U46" s="446"/>
      <c r="V46" s="2402"/>
      <c r="W46" s="2402"/>
      <c r="X46" s="2402"/>
      <c r="Y46" s="2402"/>
      <c r="Z46" s="2402"/>
      <c r="AA46" s="2402"/>
      <c r="AB46" s="2402"/>
      <c r="AC46" s="2403"/>
      <c r="AD46" s="2401" t="str">
        <f>INDEX(PT_DIFFERENTIATION_NTAR,MATCH(A46,PT_DIFFERENTIATION_NTAR_ID,0))</f>
        <v/>
      </c>
      <c r="AE46" s="2402"/>
      <c r="AF46" s="2402"/>
      <c r="AG46" s="2402"/>
      <c r="AH46" s="2402"/>
      <c r="AI46" s="2402"/>
      <c r="AJ46" s="2402"/>
      <c r="AK46" s="2402"/>
      <c r="AL46" s="2402"/>
      <c r="AM46" s="2402"/>
      <c r="AN46" s="2402"/>
      <c r="AO46" s="2402"/>
      <c r="AP46" s="2402"/>
      <c r="AQ46" s="2402"/>
      <c r="AR46" s="2402"/>
      <c r="AS46" s="2402"/>
      <c r="AT46" s="2402"/>
      <c r="AU46" s="2402"/>
      <c r="AV46" s="2402"/>
      <c r="AW46" s="2402"/>
      <c r="AX46" s="2402"/>
      <c r="AY46" s="2402"/>
      <c r="AZ46" s="2402"/>
      <c r="BA46" s="2402"/>
      <c r="BB46" s="2403"/>
      <c r="BC46"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46"/>
      <c r="BF46" s="646" t="str">
        <f>IF(T46="","",T46)</f>
        <v>Наименование тарифа</v>
      </c>
      <c r="BG46" s="646"/>
      <c r="BH46" s="646"/>
      <c r="BI46" s="1301">
        <v>21</v>
      </c>
    </row>
    <row customHeight="1" ht="22.049999999999997">
      <c r="A47" s="1509" t="s">
        <v>298</v>
      </c>
      <c r="B47" s="1509" t="s">
        <v>299</v>
      </c>
      <c r="C47" s="1509"/>
      <c r="D47" s="1509"/>
      <c r="E47" s="2418"/>
      <c r="F47" s="2417">
        <v>1</v>
      </c>
      <c r="G47" s="1509"/>
      <c r="H47" s="1509"/>
      <c r="I47" s="1509"/>
      <c r="J47" s="1509"/>
      <c r="K47" s="1509"/>
      <c r="L47" s="1510"/>
      <c r="M47" s="1511"/>
      <c r="N47" s="1511"/>
      <c r="O47" s="1511"/>
      <c r="P47" s="1556"/>
      <c r="Q47" s="1557"/>
      <c r="R47" s="499"/>
      <c r="S47" s="1639" t="str">
        <f>INDEX(PT_DIFFERENTIATION_NUM_TER,MATCH(B47,PT_DIFFERENTIATION_TER_ID,0))</f>
        <v>.</v>
      </c>
      <c r="T47" s="454" t="s">
        <v>419</v>
      </c>
      <c r="U47" s="446"/>
      <c r="V47" s="2402"/>
      <c r="W47" s="2402"/>
      <c r="X47" s="2402"/>
      <c r="Y47" s="2402"/>
      <c r="Z47" s="2402"/>
      <c r="AA47" s="2402"/>
      <c r="AB47" s="2402"/>
      <c r="AC47" s="2403"/>
      <c r="AD47" s="2401" t="str">
        <f>INDEX(PT_DIFFERENTIATION_TER,MATCH(B47,PT_DIFFERENTIATION_TER_ID,0))</f>
        <v/>
      </c>
      <c r="AE47" s="2402"/>
      <c r="AF47" s="2402"/>
      <c r="AG47" s="2402"/>
      <c r="AH47" s="2402"/>
      <c r="AI47" s="2402"/>
      <c r="AJ47" s="2402"/>
      <c r="AK47" s="2402"/>
      <c r="AL47" s="2402"/>
      <c r="AM47" s="2402"/>
      <c r="AN47" s="2402"/>
      <c r="AO47" s="2402"/>
      <c r="AP47" s="2402"/>
      <c r="AQ47" s="2402"/>
      <c r="AR47" s="2402"/>
      <c r="AS47" s="2402"/>
      <c r="AT47" s="2402"/>
      <c r="AU47" s="2402"/>
      <c r="AV47" s="2402"/>
      <c r="AW47" s="2402"/>
      <c r="AX47" s="2402"/>
      <c r="AY47" s="2402"/>
      <c r="AZ47" s="2402"/>
      <c r="BA47" s="2402"/>
      <c r="BB47" s="2403"/>
      <c r="BC47" s="1404" t="s">
        <v>420</v>
      </c>
      <c r="BE47" s="646"/>
      <c r="BF47" s="646" t="str">
        <f>IF(T47="","",T47)</f>
        <v>Территория действия тарифа</v>
      </c>
      <c r="BG47" s="646"/>
      <c r="BH47" s="646"/>
      <c r="BI47" s="1301">
        <v>21</v>
      </c>
    </row>
    <row customHeight="1" ht="35.699999999999996">
      <c r="A48" s="1509" t="s">
        <v>298</v>
      </c>
      <c r="B48" s="1509" t="s">
        <v>299</v>
      </c>
      <c r="C48" s="1509" t="s">
        <v>300</v>
      </c>
      <c r="D48" s="1509"/>
      <c r="E48" s="2418"/>
      <c r="F48" s="2418"/>
      <c r="G48" s="2417">
        <v>1</v>
      </c>
      <c r="H48" s="1509"/>
      <c r="I48" s="1509"/>
      <c r="J48" s="1509"/>
      <c r="K48" s="1509"/>
      <c r="L48" s="1510"/>
      <c r="M48" s="1511"/>
      <c r="N48" s="1511"/>
      <c r="O48" s="1511"/>
      <c r="P48" s="1558"/>
      <c r="Q48" s="1557"/>
      <c r="R48" s="499"/>
      <c r="S48" s="1639" t="str">
        <f>INDEX(PT_DIFFERENTIATION_NUM_CS,MATCH(C48,PT_DIFFERENTIATION_CS_ID,0))</f>
        <v>..</v>
      </c>
      <c r="T48" s="455" t="s">
        <v>538</v>
      </c>
      <c r="U48" s="446"/>
      <c r="V48" s="2402"/>
      <c r="W48" s="2402"/>
      <c r="X48" s="2402"/>
      <c r="Y48" s="2402"/>
      <c r="Z48" s="2402"/>
      <c r="AA48" s="2402"/>
      <c r="AB48" s="2402"/>
      <c r="AC48" s="2403"/>
      <c r="AD48" s="2401" t="str">
        <f>INDEX(PT_DIFFERENTIATION_CS,MATCH(C48,PT_DIFFERENTIATION_CS_ID,0))</f>
        <v/>
      </c>
      <c r="AE48" s="2402"/>
      <c r="AF48" s="2402"/>
      <c r="AG48" s="2402"/>
      <c r="AH48" s="2402"/>
      <c r="AI48" s="2402"/>
      <c r="AJ48" s="2402"/>
      <c r="AK48" s="2402"/>
      <c r="AL48" s="2402"/>
      <c r="AM48" s="2402"/>
      <c r="AN48" s="2402"/>
      <c r="AO48" s="2402"/>
      <c r="AP48" s="2402"/>
      <c r="AQ48" s="2402"/>
      <c r="AR48" s="2402"/>
      <c r="AS48" s="2402"/>
      <c r="AT48" s="2402"/>
      <c r="AU48" s="2402"/>
      <c r="AV48" s="2402"/>
      <c r="AW48" s="2402"/>
      <c r="AX48" s="2402"/>
      <c r="AY48" s="2402"/>
      <c r="AZ48" s="2402"/>
      <c r="BA48" s="2402"/>
      <c r="BB48" s="2403"/>
      <c r="BC48" s="1404" t="s">
        <v>539</v>
      </c>
      <c r="BE48" s="646"/>
      <c r="BF48" s="646" t="str">
        <f>IF(T48="","",T48)</f>
        <v>Наименование централизованной системы водоотведения</v>
      </c>
      <c r="BG48" s="646"/>
      <c r="BH48" s="646"/>
      <c r="BI48" s="1301">
        <v>34</v>
      </c>
    </row>
    <row s="6720" customFormat="1" customHeight="1" ht="0">
      <c r="A49" s="1489" t="s">
        <v>298</v>
      </c>
      <c r="B49" s="1489" t="s">
        <v>299</v>
      </c>
      <c r="C49" s="1489" t="s">
        <v>300</v>
      </c>
      <c r="D49" s="1489" t="s">
        <v>551</v>
      </c>
      <c r="E49" s="2418"/>
      <c r="F49" s="2418"/>
      <c r="G49" s="2418"/>
      <c r="H49" s="2417">
        <v>1</v>
      </c>
      <c r="I49" s="1489"/>
      <c r="J49" s="1489"/>
      <c r="K49" s="1489"/>
      <c r="L49" s="1492"/>
      <c r="M49" s="1461"/>
      <c r="N49" s="1461"/>
      <c r="O49" s="1461"/>
      <c r="P49" s="1643"/>
      <c r="Q49" s="1644"/>
      <c r="R49" s="503"/>
      <c r="S49" s="1188"/>
      <c r="T49" s="1645"/>
      <c r="U49" s="1530"/>
      <c r="V49" s="2456"/>
      <c r="W49" s="2456"/>
      <c r="X49" s="2456"/>
      <c r="Y49" s="2456"/>
      <c r="Z49" s="2456"/>
      <c r="AA49" s="2456"/>
      <c r="AB49" s="2456"/>
      <c r="AC49" s="2457"/>
      <c r="AD49" s="2455"/>
      <c r="AE49" s="2456"/>
      <c r="AF49" s="2456"/>
      <c r="AG49" s="2456"/>
      <c r="AH49" s="2456"/>
      <c r="AI49" s="2456"/>
      <c r="AJ49" s="2456"/>
      <c r="AK49" s="2456"/>
      <c r="AL49" s="2456"/>
      <c r="AM49" s="2456"/>
      <c r="AN49" s="2456"/>
      <c r="AO49" s="2456"/>
      <c r="AP49" s="2456"/>
      <c r="AQ49" s="2456"/>
      <c r="AR49" s="2456"/>
      <c r="AS49" s="2456"/>
      <c r="AT49" s="2456"/>
      <c r="AU49" s="2456"/>
      <c r="AV49" s="2456"/>
      <c r="AW49" s="2456"/>
      <c r="AX49" s="2456"/>
      <c r="AY49" s="2456"/>
      <c r="AZ49" s="2456"/>
      <c r="BA49" s="2456"/>
      <c r="BB49" s="2457"/>
      <c r="BC49" s="1531" t="s">
        <v>424</v>
      </c>
      <c r="BE49" s="646"/>
      <c r="BF49" s="646" t="str">
        <f>IF(T49="","",T49)</f>
        <v/>
      </c>
      <c r="BG49" s="646"/>
      <c r="BH49" s="646"/>
      <c r="BI49" s="657">
        <v>0</v>
      </c>
    </row>
    <row s="6720" customFormat="1" customHeight="1" ht="0">
      <c r="A50" s="1489" t="s">
        <v>298</v>
      </c>
      <c r="B50" s="1489" t="s">
        <v>299</v>
      </c>
      <c r="C50" s="1489" t="s">
        <v>300</v>
      </c>
      <c r="D50" s="1489" t="s">
        <v>551</v>
      </c>
      <c r="E50" s="2418"/>
      <c r="F50" s="2418"/>
      <c r="G50" s="2418"/>
      <c r="H50" s="2418"/>
      <c r="I50" s="2415" t="str">
        <f>S49&amp;".1"</f>
        <v>.1</v>
      </c>
      <c r="J50" s="1489"/>
      <c r="K50" s="1489"/>
      <c r="L50" s="1492" t="s">
        <v>425</v>
      </c>
      <c r="M50" s="656"/>
      <c r="N50" s="656"/>
      <c r="O50" s="656"/>
      <c r="P50" s="2416">
        <v>1</v>
      </c>
      <c r="Q50" s="1627"/>
      <c r="R50" s="502"/>
      <c r="S50" s="1188"/>
      <c r="T50" s="1529"/>
      <c r="U50" s="1530"/>
      <c r="V50" s="2456"/>
      <c r="W50" s="2456"/>
      <c r="X50" s="2456"/>
      <c r="Y50" s="2456"/>
      <c r="Z50" s="2456"/>
      <c r="AA50" s="2456"/>
      <c r="AB50" s="2456"/>
      <c r="AC50" s="2457"/>
      <c r="AD50" s="2455"/>
      <c r="AE50" s="2456"/>
      <c r="AF50" s="2456"/>
      <c r="AG50" s="2456"/>
      <c r="AH50" s="2456"/>
      <c r="AI50" s="2456"/>
      <c r="AJ50" s="2456"/>
      <c r="AK50" s="2456"/>
      <c r="AL50" s="2456"/>
      <c r="AM50" s="2456"/>
      <c r="AN50" s="2456"/>
      <c r="AO50" s="2456"/>
      <c r="AP50" s="2456"/>
      <c r="AQ50" s="2456"/>
      <c r="AR50" s="2456"/>
      <c r="AS50" s="2456"/>
      <c r="AT50" s="2456"/>
      <c r="AU50" s="2456"/>
      <c r="AV50" s="2456"/>
      <c r="AW50" s="2456"/>
      <c r="AX50" s="2456"/>
      <c r="AY50" s="2456"/>
      <c r="AZ50" s="2456"/>
      <c r="BA50" s="2456"/>
      <c r="BB50" s="2457"/>
      <c r="BC50" s="1531"/>
      <c r="BE50" s="646"/>
      <c r="BF50" s="646" t="str">
        <f>IF(T50="","",T50)</f>
        <v/>
      </c>
      <c r="BG50" s="646"/>
      <c r="BH50" s="646"/>
      <c r="BI50" s="657">
        <v>0</v>
      </c>
    </row>
    <row s="6720" customFormat="1" customHeight="1" ht="0">
      <c r="A51" s="1489" t="s">
        <v>298</v>
      </c>
      <c r="B51" s="1489" t="s">
        <v>299</v>
      </c>
      <c r="C51" s="1489" t="s">
        <v>300</v>
      </c>
      <c r="D51" s="1489" t="s">
        <v>551</v>
      </c>
      <c r="E51" s="2418"/>
      <c r="F51" s="2418"/>
      <c r="G51" s="2418"/>
      <c r="H51" s="2418"/>
      <c r="I51" s="2445"/>
      <c r="J51" s="2415" t="str">
        <f>S49&amp;".1"</f>
        <v>.1</v>
      </c>
      <c r="K51" s="1489"/>
      <c r="L51" s="1492"/>
      <c r="M51" s="656"/>
      <c r="N51" s="656"/>
      <c r="O51" s="656"/>
      <c r="P51" s="2416"/>
      <c r="Q51" s="2416">
        <v>1</v>
      </c>
      <c r="R51" s="503"/>
      <c r="S51" s="1188"/>
      <c r="T51" s="1545"/>
      <c r="U51" s="1530"/>
      <c r="V51" s="2456"/>
      <c r="W51" s="2456"/>
      <c r="X51" s="2456"/>
      <c r="Y51" s="2456"/>
      <c r="Z51" s="2456"/>
      <c r="AA51" s="2456"/>
      <c r="AB51" s="2456"/>
      <c r="AC51" s="2457"/>
      <c r="AD51" s="2455"/>
      <c r="AE51" s="2456"/>
      <c r="AF51" s="2456"/>
      <c r="AG51" s="2456"/>
      <c r="AH51" s="2456"/>
      <c r="AI51" s="2456"/>
      <c r="AJ51" s="2456"/>
      <c r="AK51" s="2456"/>
      <c r="AL51" s="2456"/>
      <c r="AM51" s="2456"/>
      <c r="AN51" s="2523"/>
      <c r="AO51" s="2523"/>
      <c r="AP51" s="2456"/>
      <c r="AQ51" s="2456"/>
      <c r="AR51" s="2456"/>
      <c r="AS51" s="2456"/>
      <c r="AT51" s="2456"/>
      <c r="AU51" s="2456"/>
      <c r="AV51" s="2456"/>
      <c r="AW51" s="2456"/>
      <c r="AX51" s="2456"/>
      <c r="AY51" s="2456"/>
      <c r="AZ51" s="2456"/>
      <c r="BA51" s="2456"/>
      <c r="BB51" s="2457"/>
      <c r="BC51" s="1531"/>
      <c r="BE51" s="646"/>
      <c r="BF51" s="646" t="str">
        <f>IF(T51="","",T51)</f>
        <v/>
      </c>
      <c r="BG51" s="646"/>
      <c r="BH51" s="646"/>
      <c r="BI51" s="657">
        <v>0</v>
      </c>
    </row>
    <row customHeight="1" ht="11.549999999999999">
      <c r="A52" s="1509" t="s">
        <v>298</v>
      </c>
      <c r="B52" s="1509" t="s">
        <v>299</v>
      </c>
      <c r="C52" s="1509" t="s">
        <v>300</v>
      </c>
      <c r="D52" s="1509" t="s">
        <v>551</v>
      </c>
      <c r="E52" s="2418"/>
      <c r="F52" s="2418"/>
      <c r="G52" s="2418"/>
      <c r="H52" s="2418"/>
      <c r="I52" s="2445"/>
      <c r="J52" s="2445"/>
      <c r="K52" s="2415" t="str">
        <f>S48&amp;".1"</f>
        <v>...1</v>
      </c>
      <c r="L52" s="1510"/>
      <c r="P52" s="2416"/>
      <c r="Q52" s="2416"/>
      <c r="R52" s="503">
        <v>1</v>
      </c>
      <c r="S52" s="2500" t="str">
        <f>$K52</f>
        <v>...1</v>
      </c>
      <c r="T52" s="2519"/>
      <c r="U52" s="446"/>
      <c r="V52" s="897"/>
      <c r="W52" s="1403"/>
      <c r="X52" s="897"/>
      <c r="Y52" s="1403"/>
      <c r="Z52" s="1879"/>
      <c r="AA52" s="1615" t="s">
        <v>63</v>
      </c>
      <c r="AB52" s="1879"/>
      <c r="AC52" s="1615" t="s">
        <v>63</v>
      </c>
      <c r="AD52" s="2344" t="s">
        <v>63</v>
      </c>
      <c r="AE52" s="2485"/>
      <c r="AF52" s="2364">
        <v>1</v>
      </c>
      <c r="AG52" s="2522"/>
      <c r="AH52" s="2266" t="s">
        <v>63</v>
      </c>
      <c r="AI52" s="2485"/>
      <c r="AJ52" s="2364">
        <v>1</v>
      </c>
      <c r="AK52" s="2486" t="s">
        <v>22</v>
      </c>
      <c r="AL52" s="2266" t="s">
        <v>63</v>
      </c>
      <c r="AM52" s="2351"/>
      <c r="AN52" s="2364">
        <v>1</v>
      </c>
      <c r="AO52" s="2516"/>
      <c r="AP52" s="2517" t="s">
        <v>63</v>
      </c>
      <c r="AQ52" s="457"/>
      <c r="AR52" s="1632">
        <v>1</v>
      </c>
      <c r="AS52" s="1638" t="s">
        <v>22</v>
      </c>
      <c r="AT52" s="897"/>
      <c r="AU52" s="1403"/>
      <c r="AV52" s="897"/>
      <c r="AW52" s="1403"/>
      <c r="AX52" s="1879"/>
      <c r="AY52" s="1615" t="s">
        <v>63</v>
      </c>
      <c r="AZ52" s="1879"/>
      <c r="BA52" s="1615" t="s">
        <v>63</v>
      </c>
      <c r="BB52" s="1494"/>
      <c r="BC52" s="2412" t="s">
        <v>523</v>
      </c>
      <c r="BE52" s="646"/>
      <c r="BF52" s="646" t="str">
        <f>IF(T52="","",T52)</f>
        <v/>
      </c>
      <c r="BG52" s="646"/>
      <c r="BH52" s="646"/>
      <c r="BI52" s="1301">
        <v>11</v>
      </c>
    </row>
    <row customHeight="1" ht="11.549999999999999">
      <c r="A53" s="1509"/>
      <c r="B53" s="1509"/>
      <c r="C53" s="1509"/>
      <c r="D53" s="1509"/>
      <c r="E53" s="2418"/>
      <c r="F53" s="2418"/>
      <c r="G53" s="2418"/>
      <c r="H53" s="2418"/>
      <c r="I53" s="2445"/>
      <c r="J53" s="2445"/>
      <c r="K53" s="2415"/>
      <c r="L53" s="1510"/>
      <c r="P53" s="2416"/>
      <c r="Q53" s="2416"/>
      <c r="R53" s="503"/>
      <c r="S53" s="2501"/>
      <c r="T53" s="2520"/>
      <c r="U53" s="446"/>
      <c r="V53" s="1539"/>
      <c r="W53" s="1642"/>
      <c r="X53" s="1539"/>
      <c r="Y53" s="1642"/>
      <c r="Z53" s="1539"/>
      <c r="AA53" s="1539"/>
      <c r="AB53" s="1539"/>
      <c r="AC53" s="1539"/>
      <c r="AD53" s="2345"/>
      <c r="AE53" s="2485"/>
      <c r="AF53" s="2364"/>
      <c r="AG53" s="2522"/>
      <c r="AH53" s="2266"/>
      <c r="AI53" s="2485"/>
      <c r="AJ53" s="2364"/>
      <c r="AK53" s="2486"/>
      <c r="AL53" s="2266"/>
      <c r="AM53" s="2359"/>
      <c r="AN53" s="2364"/>
      <c r="AO53" s="2516"/>
      <c r="AP53" s="2518"/>
      <c r="AQ53" s="462"/>
      <c r="AR53" s="562"/>
      <c r="AS53" s="562" t="s">
        <v>524</v>
      </c>
      <c r="AT53" s="1539"/>
      <c r="AU53" s="1642"/>
      <c r="AV53" s="1539"/>
      <c r="AW53" s="1642"/>
      <c r="AX53" s="1539"/>
      <c r="AY53" s="1539"/>
      <c r="AZ53" s="1539"/>
      <c r="BA53" s="1539"/>
      <c r="BB53" s="1543"/>
      <c r="BC53" s="2413"/>
      <c r="BE53" s="646"/>
      <c r="BF53" s="646"/>
      <c r="BG53" s="646"/>
      <c r="BH53" s="646"/>
      <c r="BI53" s="1301">
        <v>11</v>
      </c>
    </row>
    <row customHeight="1" ht="11.549999999999999">
      <c r="A54" s="1509" t="s">
        <v>298</v>
      </c>
      <c r="B54" s="1509"/>
      <c r="C54" s="1509"/>
      <c r="D54" s="1509"/>
      <c r="E54" s="2418"/>
      <c r="F54" s="2418"/>
      <c r="G54" s="2418"/>
      <c r="H54" s="2418"/>
      <c r="I54" s="2445"/>
      <c r="J54" s="2445"/>
      <c r="K54" s="2415"/>
      <c r="L54" s="1510"/>
      <c r="P54" s="2416"/>
      <c r="Q54" s="2416"/>
      <c r="R54" s="503"/>
      <c r="S54" s="2501"/>
      <c r="T54" s="2520"/>
      <c r="U54" s="446"/>
      <c r="V54" s="1539"/>
      <c r="W54" s="1642"/>
      <c r="X54" s="1539"/>
      <c r="Y54" s="1642"/>
      <c r="Z54" s="1539"/>
      <c r="AA54" s="1539"/>
      <c r="AB54" s="1539"/>
      <c r="AC54" s="1539"/>
      <c r="AD54" s="2345"/>
      <c r="AE54" s="2485"/>
      <c r="AF54" s="2364"/>
      <c r="AG54" s="2522"/>
      <c r="AH54" s="2266"/>
      <c r="AI54" s="2485"/>
      <c r="AJ54" s="2364"/>
      <c r="AK54" s="2486"/>
      <c r="AL54" s="2266"/>
      <c r="AM54" s="462"/>
      <c r="AN54" s="1646"/>
      <c r="AO54" s="1646" t="s">
        <v>544</v>
      </c>
      <c r="AP54" s="562"/>
      <c r="AQ54" s="562"/>
      <c r="AR54" s="562"/>
      <c r="AS54" s="1539"/>
      <c r="AT54" s="1539"/>
      <c r="AU54" s="1642"/>
      <c r="AV54" s="1539"/>
      <c r="AW54" s="1642"/>
      <c r="AX54" s="1539"/>
      <c r="AY54" s="1539"/>
      <c r="AZ54" s="1539"/>
      <c r="BA54" s="1539"/>
      <c r="BB54" s="1543"/>
      <c r="BC54" s="2413"/>
      <c r="BE54" s="646"/>
      <c r="BF54" s="646"/>
      <c r="BG54" s="646"/>
      <c r="BH54" s="646"/>
      <c r="BI54" s="1301">
        <v>11</v>
      </c>
    </row>
    <row customHeight="1" ht="11.549999999999999">
      <c r="A55" s="1509" t="s">
        <v>298</v>
      </c>
      <c r="B55" s="1509"/>
      <c r="C55" s="1509"/>
      <c r="D55" s="1509"/>
      <c r="E55" s="2418"/>
      <c r="F55" s="2418"/>
      <c r="G55" s="2418"/>
      <c r="H55" s="2418"/>
      <c r="I55" s="2445"/>
      <c r="J55" s="2445"/>
      <c r="K55" s="2415"/>
      <c r="L55" s="1510"/>
      <c r="P55" s="2416"/>
      <c r="Q55" s="2416"/>
      <c r="R55" s="503"/>
      <c r="S55" s="2501"/>
      <c r="T55" s="2520"/>
      <c r="U55" s="446"/>
      <c r="V55" s="1539"/>
      <c r="W55" s="1642"/>
      <c r="X55" s="1539"/>
      <c r="Y55" s="1642"/>
      <c r="Z55" s="1539"/>
      <c r="AA55" s="1539"/>
      <c r="AB55" s="1539"/>
      <c r="AC55" s="1539"/>
      <c r="AD55" s="2345"/>
      <c r="AE55" s="2485"/>
      <c r="AF55" s="2364"/>
      <c r="AG55" s="2522"/>
      <c r="AH55" s="2266"/>
      <c r="AI55" s="440"/>
      <c r="AJ55" s="561"/>
      <c r="AK55" s="459" t="s">
        <v>545</v>
      </c>
      <c r="AL55" s="1539"/>
      <c r="AM55" s="1539"/>
      <c r="AN55" s="1539"/>
      <c r="AO55" s="1539"/>
      <c r="AP55" s="1539"/>
      <c r="AQ55" s="1539"/>
      <c r="AR55" s="1539"/>
      <c r="AS55" s="1539"/>
      <c r="AT55" s="1539"/>
      <c r="AU55" s="1642"/>
      <c r="AV55" s="1539"/>
      <c r="AW55" s="1642"/>
      <c r="AX55" s="1539"/>
      <c r="AY55" s="1539"/>
      <c r="AZ55" s="1539"/>
      <c r="BA55" s="1539"/>
      <c r="BB55" s="1543"/>
      <c r="BC55" s="2413"/>
      <c r="BE55" s="646"/>
      <c r="BF55" s="646"/>
      <c r="BG55" s="646"/>
      <c r="BH55" s="646"/>
      <c r="BI55" s="1301">
        <v>11</v>
      </c>
    </row>
    <row customHeight="1" ht="11.549999999999999">
      <c r="A56" s="1509" t="s">
        <v>298</v>
      </c>
      <c r="B56" s="1509" t="s">
        <v>299</v>
      </c>
      <c r="C56" s="1509" t="s">
        <v>300</v>
      </c>
      <c r="D56" s="1509" t="s">
        <v>551</v>
      </c>
      <c r="E56" s="2418"/>
      <c r="F56" s="2418"/>
      <c r="G56" s="2418"/>
      <c r="H56" s="2418"/>
      <c r="I56" s="2445"/>
      <c r="J56" s="2445"/>
      <c r="K56" s="2415"/>
      <c r="L56" s="1510"/>
      <c r="P56" s="2416"/>
      <c r="Q56" s="2416"/>
      <c r="R56" s="503"/>
      <c r="S56" s="2502"/>
      <c r="T56" s="2521"/>
      <c r="U56" s="446"/>
      <c r="V56" s="1539"/>
      <c r="W56" s="1540" t="str">
        <f>Z52&amp;"-"&amp;AB52</f>
        <v>-</v>
      </c>
      <c r="X56" s="1539"/>
      <c r="Y56" s="1540" t="str">
        <f>AB52&amp;"-"&amp;AD52</f>
        <v>-да</v>
      </c>
      <c r="Z56" s="1539"/>
      <c r="AA56" s="1539"/>
      <c r="AB56" s="1539"/>
      <c r="AC56" s="1539"/>
      <c r="AD56" s="2271"/>
      <c r="AE56" s="458"/>
      <c r="AF56" s="460"/>
      <c r="AG56" s="562" t="s">
        <v>527</v>
      </c>
      <c r="AH56" s="1539"/>
      <c r="AI56" s="1539"/>
      <c r="AJ56" s="1539"/>
      <c r="AK56" s="1539"/>
      <c r="AL56" s="1539"/>
      <c r="AM56" s="1539"/>
      <c r="AN56" s="1539"/>
      <c r="AO56" s="1539"/>
      <c r="AP56" s="1539"/>
      <c r="AQ56" s="1539"/>
      <c r="AR56" s="1539"/>
      <c r="AS56" s="1539"/>
      <c r="AT56" s="1539"/>
      <c r="AU56" s="1540" t="str">
        <f>AX52&amp;"-"&amp;AZ52</f>
        <v>-</v>
      </c>
      <c r="AV56" s="1539"/>
      <c r="AW56" s="1540" t="str">
        <f>AZ52&amp;"-"&amp;BB52</f>
        <v>-</v>
      </c>
      <c r="AX56" s="1539"/>
      <c r="AY56" s="1539"/>
      <c r="AZ56" s="1539"/>
      <c r="BA56" s="1539"/>
      <c r="BB56" s="1542" t="str">
        <f>BE52&amp;"-"&amp;BG52</f>
        <v>-</v>
      </c>
      <c r="BC56" s="2413"/>
      <c r="BE56" s="646"/>
      <c r="BF56" s="646" t="str">
        <f>IF(T56="","",T56)</f>
        <v/>
      </c>
      <c r="BG56" s="646"/>
      <c r="BH56" s="646"/>
      <c r="BI56" s="1301">
        <v>11</v>
      </c>
    </row>
    <row customHeight="1" ht="11.549999999999999">
      <c r="A57" s="1509" t="s">
        <v>298</v>
      </c>
      <c r="B57" s="1509" t="s">
        <v>299</v>
      </c>
      <c r="C57" s="1509" t="s">
        <v>300</v>
      </c>
      <c r="D57" s="1509" t="s">
        <v>551</v>
      </c>
      <c r="E57" s="2418"/>
      <c r="F57" s="2418"/>
      <c r="G57" s="2418"/>
      <c r="H57" s="2418"/>
      <c r="I57" s="2445"/>
      <c r="J57" s="2415"/>
      <c r="K57" s="1509"/>
      <c r="L57" s="1510"/>
      <c r="P57" s="2416"/>
      <c r="Q57" s="2416"/>
      <c r="R57" s="502"/>
      <c r="S57" s="1424"/>
      <c r="T57" s="433" t="s">
        <v>490</v>
      </c>
      <c r="U57" s="513"/>
      <c r="V57" s="513"/>
      <c r="W57" s="513"/>
      <c r="X57" s="513"/>
      <c r="Y57" s="513"/>
      <c r="Z57" s="513"/>
      <c r="AA57" s="513"/>
      <c r="AB57" s="513"/>
      <c r="AC57" s="470"/>
      <c r="AD57" s="1651"/>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470"/>
      <c r="BC57" s="2414"/>
      <c r="BE57" s="646"/>
      <c r="BF57" s="646" t="str">
        <f>IF(T57="","",T57)</f>
        <v>Добавить строку</v>
      </c>
      <c r="BG57" s="646"/>
      <c r="BH57" s="646"/>
      <c r="BI57" s="1301">
        <v>11</v>
      </c>
    </row>
    <row s="6720" customFormat="1" customHeight="1" ht="0">
      <c r="A58" s="1489" t="s">
        <v>298</v>
      </c>
      <c r="B58" s="1489" t="s">
        <v>299</v>
      </c>
      <c r="C58" s="1489" t="s">
        <v>300</v>
      </c>
      <c r="D58" s="1489" t="s">
        <v>551</v>
      </c>
      <c r="E58" s="2418"/>
      <c r="F58" s="2418"/>
      <c r="G58" s="2418"/>
      <c r="H58" s="2418"/>
      <c r="I58" s="2415"/>
      <c r="J58" s="1489"/>
      <c r="K58" s="1489"/>
      <c r="L58" s="1492"/>
      <c r="M58" s="656"/>
      <c r="N58" s="656"/>
      <c r="O58" s="656"/>
      <c r="P58" s="2416"/>
      <c r="Q58" s="1627"/>
      <c r="R58" s="502"/>
      <c r="S58" s="1532"/>
      <c r="T58" s="1533"/>
      <c r="U58" s="1534"/>
      <c r="V58" s="1534"/>
      <c r="W58" s="1534"/>
      <c r="X58" s="1534"/>
      <c r="Y58" s="1534"/>
      <c r="Z58" s="1534"/>
      <c r="AA58" s="1534"/>
      <c r="AB58" s="1534"/>
      <c r="AC58" s="1534"/>
      <c r="AD58" s="1534"/>
      <c r="AE58" s="1534"/>
      <c r="AF58" s="1534"/>
      <c r="AG58" s="1534"/>
      <c r="AH58" s="1534"/>
      <c r="AI58" s="1534"/>
      <c r="AJ58" s="1534"/>
      <c r="AK58" s="1534"/>
      <c r="AL58" s="1534"/>
      <c r="AM58" s="1534"/>
      <c r="AN58" s="1534"/>
      <c r="AO58" s="1534"/>
      <c r="AP58" s="1534"/>
      <c r="AQ58" s="1534"/>
      <c r="AR58" s="1534"/>
      <c r="AS58" s="1534"/>
      <c r="AT58" s="1534"/>
      <c r="AU58" s="1534"/>
      <c r="AV58" s="1534"/>
      <c r="AW58" s="1534"/>
      <c r="AX58" s="1534"/>
      <c r="AY58" s="1534"/>
      <c r="AZ58" s="1534"/>
      <c r="BA58" s="1534"/>
      <c r="BB58" s="1534"/>
      <c r="BC58" s="1535"/>
      <c r="BE58" s="646"/>
      <c r="BF58" s="646" t="str">
        <f>IF(T58="","",T58)</f>
        <v/>
      </c>
      <c r="BG58" s="646"/>
      <c r="BH58" s="646"/>
      <c r="BI58" s="657">
        <v>0</v>
      </c>
    </row>
    <row s="6720" customFormat="1" customHeight="1" ht="0">
      <c r="A59" s="1489" t="s">
        <v>298</v>
      </c>
      <c r="B59" s="1489" t="s">
        <v>299</v>
      </c>
      <c r="C59" s="1489" t="s">
        <v>300</v>
      </c>
      <c r="D59" s="1489" t="s">
        <v>551</v>
      </c>
      <c r="E59" s="2418"/>
      <c r="F59" s="2418"/>
      <c r="G59" s="2418"/>
      <c r="H59" s="2417"/>
      <c r="I59" s="1489"/>
      <c r="J59" s="1489"/>
      <c r="K59" s="1489"/>
      <c r="L59" s="1492"/>
      <c r="M59" s="1461"/>
      <c r="N59" s="1461"/>
      <c r="O59" s="664"/>
      <c r="P59" s="526"/>
      <c r="Q59" s="1490"/>
      <c r="R59" s="1547"/>
      <c r="S59" s="1532"/>
      <c r="T59" s="1533"/>
      <c r="U59" s="1534"/>
      <c r="V59" s="1534"/>
      <c r="W59" s="1534"/>
      <c r="X59" s="1534"/>
      <c r="Y59" s="1534"/>
      <c r="Z59" s="1534"/>
      <c r="AA59" s="1534"/>
      <c r="AB59" s="1534"/>
      <c r="AC59" s="1534"/>
      <c r="AD59" s="1534"/>
      <c r="AE59" s="1534"/>
      <c r="AF59" s="1534"/>
      <c r="AG59" s="1534"/>
      <c r="AH59" s="1534"/>
      <c r="AI59" s="1534"/>
      <c r="AJ59" s="1534"/>
      <c r="AK59" s="1534"/>
      <c r="AL59" s="1534"/>
      <c r="AM59" s="1534"/>
      <c r="AN59" s="1534"/>
      <c r="AO59" s="1534"/>
      <c r="AP59" s="1534"/>
      <c r="AQ59" s="1534"/>
      <c r="AR59" s="1534"/>
      <c r="AS59" s="1534"/>
      <c r="AT59" s="1534"/>
      <c r="AU59" s="1534"/>
      <c r="AV59" s="1534"/>
      <c r="AW59" s="1534"/>
      <c r="AX59" s="1534"/>
      <c r="AY59" s="1534"/>
      <c r="AZ59" s="1534"/>
      <c r="BA59" s="1534"/>
      <c r="BB59" s="1534"/>
      <c r="BC59" s="1535"/>
      <c r="BE59" s="646"/>
      <c r="BF59" s="646" t="str">
        <f>IF(T59="","",T59)</f>
        <v/>
      </c>
      <c r="BG59" s="646"/>
      <c r="BH59" s="646"/>
      <c r="BI59" s="657">
        <v>0</v>
      </c>
    </row>
    <row s="6720" customFormat="1" customHeight="1" ht="0">
      <c r="A60" s="1489" t="s">
        <v>298</v>
      </c>
      <c r="B60" s="1489" t="s">
        <v>299</v>
      </c>
      <c r="C60" s="1489" t="s">
        <v>300</v>
      </c>
      <c r="D60" s="1460"/>
      <c r="E60" s="2418"/>
      <c r="F60" s="2418"/>
      <c r="G60" s="2417"/>
      <c r="H60" s="1460"/>
      <c r="I60" s="1460"/>
      <c r="J60" s="1460"/>
      <c r="K60" s="1460"/>
      <c r="L60" s="1640"/>
      <c r="M60" s="1461"/>
      <c r="N60" s="1461"/>
      <c r="P60" s="1462"/>
      <c r="Q60" s="1463"/>
      <c r="R60" s="1462"/>
      <c r="S60" s="1468"/>
      <c r="T60" s="1471"/>
      <c r="U60" s="1470"/>
      <c r="V60" s="1470"/>
      <c r="W60" s="1470"/>
      <c r="X60" s="1470"/>
      <c r="Y60" s="1470"/>
      <c r="Z60" s="1470"/>
      <c r="AA60" s="1470"/>
      <c r="AB60" s="1470"/>
      <c r="AC60" s="1470"/>
      <c r="AD60" s="1470"/>
      <c r="AE60" s="1470"/>
      <c r="AF60" s="1470"/>
      <c r="AG60" s="1470"/>
      <c r="AH60" s="1470"/>
      <c r="AI60" s="1470"/>
      <c r="AJ60" s="1470"/>
      <c r="AK60" s="1470"/>
      <c r="AL60" s="1470"/>
      <c r="AM60" s="1470"/>
      <c r="AN60" s="1470"/>
      <c r="AO60" s="1470"/>
      <c r="AP60" s="1470"/>
      <c r="AQ60" s="1470"/>
      <c r="AR60" s="1470"/>
      <c r="AS60" s="1470"/>
      <c r="AT60" s="1470"/>
      <c r="AU60" s="1470"/>
      <c r="AV60" s="1470"/>
      <c r="AW60" s="1470"/>
      <c r="AX60" s="1470"/>
      <c r="AY60" s="1470"/>
      <c r="AZ60" s="1470"/>
      <c r="BA60" s="1470"/>
      <c r="BB60" s="1470"/>
      <c r="BC60" s="1470"/>
      <c r="BE60" s="935"/>
      <c r="BF60" s="935" t="str">
        <f>IF(T60="","",T60)</f>
        <v/>
      </c>
      <c r="BG60" s="935"/>
      <c r="BH60" s="935"/>
      <c r="BI60" s="664">
        <v>0</v>
      </c>
    </row>
    <row s="6720" customFormat="1" customHeight="1" ht="0">
      <c r="A61" s="1489" t="s">
        <v>298</v>
      </c>
      <c r="B61" s="1489" t="s">
        <v>299</v>
      </c>
      <c r="C61" s="1460"/>
      <c r="D61" s="1460"/>
      <c r="E61" s="2418"/>
      <c r="F61" s="2417"/>
      <c r="G61" s="1460"/>
      <c r="H61" s="1460"/>
      <c r="I61" s="1460"/>
      <c r="J61" s="1460"/>
      <c r="K61" s="1460"/>
      <c r="L61" s="1640"/>
      <c r="M61" s="1467"/>
      <c r="N61" s="1467"/>
      <c r="P61" s="1462"/>
      <c r="Q61" s="1463"/>
      <c r="R61" s="1462"/>
      <c r="S61" s="1468"/>
      <c r="T61" s="1471" t="s">
        <v>437</v>
      </c>
      <c r="U61" s="1470"/>
      <c r="V61" s="1470"/>
      <c r="W61" s="1470"/>
      <c r="X61" s="1470"/>
      <c r="Y61" s="1470"/>
      <c r="Z61" s="1470"/>
      <c r="AA61" s="1470"/>
      <c r="AB61" s="1470"/>
      <c r="AC61" s="1470"/>
      <c r="AD61" s="1470"/>
      <c r="AE61" s="1470"/>
      <c r="AF61" s="1470"/>
      <c r="AG61" s="1470"/>
      <c r="AH61" s="1470"/>
      <c r="AI61" s="1470"/>
      <c r="AJ61" s="1470"/>
      <c r="AK61" s="1470"/>
      <c r="AL61" s="1470"/>
      <c r="AM61" s="1470"/>
      <c r="AN61" s="1470"/>
      <c r="AO61" s="1470"/>
      <c r="AP61" s="1470"/>
      <c r="AQ61" s="1470"/>
      <c r="AR61" s="1470"/>
      <c r="AS61" s="1470"/>
      <c r="AT61" s="1470"/>
      <c r="AU61" s="1470"/>
      <c r="AV61" s="1470"/>
      <c r="AW61" s="1470"/>
      <c r="AX61" s="1470"/>
      <c r="AY61" s="1470"/>
      <c r="AZ61" s="1470"/>
      <c r="BA61" s="1470"/>
      <c r="BB61" s="1470"/>
      <c r="BC61" s="1470"/>
      <c r="BE61" s="935"/>
      <c r="BF61" s="935" t="str">
        <f>IF(T61="","",T61)</f>
        <v>Добавить централизованную систему для дифференциации</v>
      </c>
      <c r="BG61" s="935"/>
      <c r="BH61" s="935"/>
      <c r="BI61" s="664">
        <v>0</v>
      </c>
    </row>
    <row s="6720" customFormat="1" customHeight="1" ht="0">
      <c r="A62" s="1489" t="s">
        <v>298</v>
      </c>
      <c r="B62" s="1489"/>
      <c r="C62" s="1489"/>
      <c r="D62" s="1489"/>
      <c r="E62" s="2417"/>
      <c r="F62" s="1489"/>
      <c r="G62" s="1489"/>
      <c r="H62" s="1489"/>
      <c r="I62" s="1489"/>
      <c r="J62" s="1489"/>
      <c r="K62" s="1489"/>
      <c r="L62" s="1492"/>
      <c r="M62" s="1467"/>
      <c r="N62" s="1467"/>
      <c r="O62" s="664"/>
      <c r="P62" s="526"/>
      <c r="Q62" s="1490"/>
      <c r="R62" s="526"/>
      <c r="S62" s="1468"/>
      <c r="T62" s="1471" t="s">
        <v>438</v>
      </c>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70"/>
      <c r="AW62" s="1470"/>
      <c r="AX62" s="1470"/>
      <c r="AY62" s="1470"/>
      <c r="AZ62" s="1470"/>
      <c r="BA62" s="1470"/>
      <c r="BB62" s="1470"/>
      <c r="BC62" s="1470"/>
      <c r="BE62" s="646"/>
      <c r="BF62" s="646" t="str">
        <f>IF(T62="","",T62)</f>
        <v>Добавить территорию для дифференциации</v>
      </c>
      <c r="BG62" s="646"/>
      <c r="BH62" s="646"/>
      <c r="BI62" s="657">
        <v>0</v>
      </c>
    </row>
    <row s="6720" customFormat="1" customHeight="1" ht="0">
      <c r="A63" s="1460"/>
      <c r="B63" s="1460"/>
      <c r="C63" s="1460"/>
      <c r="D63" s="1460"/>
      <c r="E63" s="1489"/>
      <c r="F63" s="1460"/>
      <c r="G63" s="1460"/>
      <c r="H63" s="1460"/>
      <c r="I63" s="1460"/>
      <c r="J63" s="1460"/>
      <c r="K63" s="1460"/>
      <c r="L63" s="1640"/>
      <c r="M63" s="1467"/>
      <c r="N63" s="1467"/>
      <c r="P63" s="1462"/>
      <c r="Q63" s="1463"/>
      <c r="R63" s="1462"/>
      <c r="S63" s="1468"/>
      <c r="T63" s="1471" t="s">
        <v>470</v>
      </c>
      <c r="U63" s="1470"/>
      <c r="V63" s="1470"/>
      <c r="W63" s="1470"/>
      <c r="X63" s="1470"/>
      <c r="Y63" s="1470"/>
      <c r="Z63" s="1470"/>
      <c r="AA63" s="1470"/>
      <c r="AB63" s="1470"/>
      <c r="AC63" s="1470"/>
      <c r="AD63" s="1470"/>
      <c r="AE63" s="1470"/>
      <c r="AF63" s="1470"/>
      <c r="AG63" s="1470"/>
      <c r="AH63" s="1470"/>
      <c r="AI63" s="1470"/>
      <c r="AJ63" s="1470"/>
      <c r="AK63" s="1470"/>
      <c r="AL63" s="1470"/>
      <c r="AM63" s="1470"/>
      <c r="AN63" s="1470"/>
      <c r="AO63" s="1470"/>
      <c r="AP63" s="1470"/>
      <c r="AQ63" s="1470"/>
      <c r="AR63" s="1470"/>
      <c r="AS63" s="1470"/>
      <c r="AT63" s="1470"/>
      <c r="AU63" s="1470"/>
      <c r="AV63" s="1470"/>
      <c r="AW63" s="1470"/>
      <c r="AX63" s="1470"/>
      <c r="AY63" s="1470"/>
      <c r="AZ63" s="1470"/>
      <c r="BA63" s="1470"/>
      <c r="BB63" s="1470"/>
      <c r="BC63" s="1470"/>
      <c r="BE63" s="935"/>
      <c r="BF63" s="935" t="str">
        <f>IF(T63="","",T63)</f>
        <v>Добавить наименование тарифа</v>
      </c>
      <c r="BG63" s="935"/>
      <c r="BH63" s="935"/>
      <c r="BI63" s="664">
        <v>0</v>
      </c>
    </row>
    <row customHeight="1" ht="11.549999999999999">
      <c r="M64" s="1306"/>
      <c r="N64" s="1306"/>
      <c r="O64" s="683"/>
      <c r="P64" s="1306"/>
      <c r="Q64" s="1306"/>
      <c r="R64" s="1301"/>
      <c r="S64" s="1301"/>
      <c r="BD64" s="1301"/>
      <c r="BE64" s="1301"/>
      <c r="BF64" s="1301"/>
      <c r="BG64" s="1301"/>
      <c r="BH64" s="1301"/>
      <c r="BI64" s="1301">
        <v>11</v>
      </c>
    </row>
    <row customHeight="1" ht="14.699999999999998">
      <c r="O65" s="683"/>
      <c r="S65" s="1399"/>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c r="AS65" s="2444"/>
      <c r="AT65" s="2444"/>
      <c r="AU65" s="2444"/>
      <c r="AV65" s="2444"/>
      <c r="AW65" s="2444"/>
      <c r="AX65" s="2444"/>
      <c r="AY65" s="2444"/>
      <c r="AZ65" s="2444"/>
      <c r="BA65" s="2444"/>
      <c r="BB65" s="2444"/>
      <c r="BC65" s="2444"/>
      <c r="BI65" s="1301">
        <v>14</v>
      </c>
    </row>
    <row customHeight="1" ht="14.699999999999998">
      <c r="O66" s="683"/>
      <c r="T66" s="1626"/>
      <c r="U66" s="1626"/>
      <c r="V66" s="1626"/>
      <c r="W66" s="1626"/>
      <c r="X66" s="1626"/>
      <c r="Y66" s="1626"/>
      <c r="Z66" s="1626"/>
      <c r="AA66" s="1626"/>
      <c r="AB66" s="1626"/>
      <c r="AC66" s="1626"/>
      <c r="AD66" s="1626"/>
      <c r="AE66" s="1626"/>
      <c r="AF66" s="1626"/>
      <c r="AG66" s="1626"/>
      <c r="AH66" s="1626"/>
      <c r="AI66" s="1626"/>
      <c r="AJ66" s="1626"/>
      <c r="AK66" s="1626"/>
      <c r="AL66" s="1626"/>
      <c r="AM66" s="1626"/>
      <c r="AN66" s="1626"/>
      <c r="AO66" s="1626"/>
      <c r="AP66" s="1626"/>
      <c r="AQ66" s="1626"/>
      <c r="AR66" s="1626"/>
      <c r="AS66" s="1626"/>
      <c r="AT66" s="1626"/>
      <c r="AU66" s="1626"/>
      <c r="AV66" s="1626"/>
      <c r="AW66" s="1626"/>
      <c r="AX66" s="1626"/>
      <c r="AY66" s="1626"/>
      <c r="AZ66" s="1626"/>
      <c r="BA66" s="1626"/>
      <c r="BB66" s="1626"/>
      <c r="BC66" s="1626"/>
      <c r="BI66" s="1301">
        <v>14</v>
      </c>
    </row>
    <row customHeight="1" ht="14.699999999999998">
      <c r="O67" s="683"/>
      <c r="S67" s="1399"/>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c r="AS67" s="2444"/>
      <c r="AT67" s="2444"/>
      <c r="AU67" s="2444"/>
      <c r="AV67" s="2444"/>
      <c r="AW67" s="2444"/>
      <c r="AX67" s="2444"/>
      <c r="AY67" s="2444"/>
      <c r="AZ67" s="2444"/>
      <c r="BA67" s="2444"/>
      <c r="BB67" s="2444"/>
      <c r="BC67" s="2444"/>
      <c r="BI67" s="1301">
        <v>14</v>
      </c>
    </row>
    <row customHeight="1" ht="14.699999999999998">
      <c r="O68" s="683"/>
      <c r="BI68" s="1301">
        <v>14</v>
      </c>
    </row>
    <row customHeight="1" ht="14.25" hidden="1">
      <c r="A69" s="1306" t="s">
        <v>83</v>
      </c>
      <c r="B69" s="1306">
        <v>0</v>
      </c>
      <c r="C69" s="1306">
        <v>0</v>
      </c>
      <c r="D69" s="1306">
        <v>0</v>
      </c>
      <c r="E69" s="1306">
        <v>0</v>
      </c>
      <c r="F69" s="1306">
        <v>0</v>
      </c>
      <c r="G69" s="1306">
        <v>0</v>
      </c>
      <c r="H69" s="1306">
        <v>0</v>
      </c>
      <c r="I69" s="1306">
        <v>0</v>
      </c>
      <c r="J69" s="1306">
        <v>0</v>
      </c>
      <c r="K69" s="1306">
        <v>0</v>
      </c>
      <c r="L69" s="1624">
        <v>0</v>
      </c>
      <c r="M69" s="1508">
        <v>0</v>
      </c>
      <c r="N69" s="1508">
        <v>0</v>
      </c>
      <c r="O69" s="1508">
        <v>0</v>
      </c>
      <c r="P69" s="1508">
        <v>0</v>
      </c>
      <c r="Q69" s="1517">
        <v>0</v>
      </c>
      <c r="R69" s="490">
        <v>3</v>
      </c>
      <c r="S69" s="727">
        <v>12</v>
      </c>
      <c r="T69" s="1301">
        <v>31</v>
      </c>
      <c r="U69" s="1301">
        <v>0</v>
      </c>
      <c r="V69" s="1301">
        <v>0</v>
      </c>
      <c r="W69" s="1301">
        <v>0</v>
      </c>
      <c r="X69" s="1301">
        <v>0</v>
      </c>
      <c r="Y69" s="1301">
        <v>0</v>
      </c>
      <c r="Z69" s="1301">
        <v>0</v>
      </c>
      <c r="AA69" s="1301">
        <v>0</v>
      </c>
      <c r="AB69" s="1301">
        <v>0</v>
      </c>
      <c r="AC69" s="1301">
        <v>0</v>
      </c>
      <c r="AD69" s="1301">
        <v>3</v>
      </c>
      <c r="AE69" s="1301">
        <v>3</v>
      </c>
      <c r="AF69" s="1301">
        <v>3</v>
      </c>
      <c r="AG69" s="1301">
        <v>24</v>
      </c>
      <c r="AH69" s="1301">
        <v>3</v>
      </c>
      <c r="AI69" s="1301">
        <v>3</v>
      </c>
      <c r="AJ69" s="1301">
        <v>3</v>
      </c>
      <c r="AK69" s="1301">
        <v>24</v>
      </c>
      <c r="AL69" s="1301">
        <v>3</v>
      </c>
      <c r="AM69" s="1301">
        <v>3</v>
      </c>
      <c r="AN69" s="1301">
        <v>3</v>
      </c>
      <c r="AO69" s="1301">
        <v>18</v>
      </c>
      <c r="AP69" s="1301">
        <v>3</v>
      </c>
      <c r="AQ69" s="1301">
        <v>3</v>
      </c>
      <c r="AR69" s="1301">
        <v>3</v>
      </c>
      <c r="AS69" s="1301">
        <v>18</v>
      </c>
      <c r="AT69" s="1301">
        <v>21</v>
      </c>
      <c r="AU69" s="1301">
        <v>21</v>
      </c>
      <c r="AV69" s="1301">
        <v>21</v>
      </c>
      <c r="AW69" s="1301">
        <v>21</v>
      </c>
      <c r="AX69" s="1301">
        <v>11</v>
      </c>
      <c r="AY69" s="1301">
        <v>3</v>
      </c>
      <c r="AZ69" s="1301">
        <v>11</v>
      </c>
      <c r="BA69" s="1301">
        <v>0</v>
      </c>
      <c r="BB69" s="1301">
        <v>4</v>
      </c>
      <c r="BC69" s="1301">
        <v>115</v>
      </c>
      <c r="BD69" s="657">
        <v>10</v>
      </c>
      <c r="BE69" s="657">
        <v>10</v>
      </c>
      <c r="BF69" s="657">
        <v>10</v>
      </c>
      <c r="BG69" s="657">
        <v>10</v>
      </c>
      <c r="BH69" s="657">
        <v>10</v>
      </c>
      <c r="BI69" s="130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2C4C8F-7D9B-87B5-B2D4-0.AA5A53C2}" mc:Ignorable="x14ac xr xr2 xr3">
  <sheetPr>
    <tabColor rgb="FFCCCCFF"/>
    <pageSetUpPr fitToPage="1"/>
  </sheetPr>
  <dimension ref="A1:AC35"/>
  <sheetViews>
    <sheetView topLeftCell="A1" showGridLines="0" zoomScale="90" workbookViewId="0">
      <selection activeCell="I12" sqref="I12"/>
    </sheetView>
  </sheetViews>
  <sheetFormatPr defaultColWidth="9.140625" customHeight="1" defaultRowHeight="14.25"/>
  <cols>
    <col min="1" max="1" style="7235" width="8.00390625" hidden="1" customWidth="1"/>
    <col min="2" max="2" style="7180" width="6.00390625" hidden="1" customWidth="1"/>
    <col min="3" max="3" style="7235" width="3.00390625" customWidth="1"/>
    <col min="4" max="4" style="7758" width="3.00390625" customWidth="1"/>
    <col min="5" max="5" style="7235" width="6.00390625" customWidth="1"/>
    <col min="6" max="6" style="7235" width="2.7109375" hidden="1" customWidth="1"/>
    <col min="7" max="7" style="7235" width="46.7109375" customWidth="1"/>
    <col min="8" max="8" style="7235" width="42.00390625" customWidth="1"/>
    <col min="9" max="9" style="7235" width="14.00390625" customWidth="1"/>
    <col min="10" max="10" style="7183" width="3.00390625" customWidth="1"/>
    <col min="11" max="13" style="7183" width="9.140625" hidden="1"/>
    <col min="14" max="14" style="7183" width="25.7109375" hidden="1" customWidth="1"/>
    <col min="15" max="15" style="7183" width="14.421875" hidden="1" customWidth="1"/>
    <col min="16" max="19" style="5605" width="9.140625" hidden="1"/>
    <col min="20" max="27" style="7235" width="9.140625" hidden="1"/>
    <col min="28" max="28" style="7235" width="8.00390625" customWidth="1"/>
    <col min="29" max="29" style="7235" width="9.140625" hidden="1"/>
  </cols>
  <sheetData>
    <row s="6720" customFormat="1" customHeight="1" ht="5.25" hidden="1">
      <c r="A1" s="642"/>
      <c r="B1" s="657"/>
      <c r="C1" s="657"/>
      <c r="D1" s="367"/>
      <c r="F1" s="657"/>
      <c r="G1" s="393" t="s">
        <v>84</v>
      </c>
      <c r="H1" s="640" t="s">
        <v>85</v>
      </c>
      <c r="I1" s="373" t="s">
        <v>86</v>
      </c>
      <c r="J1" s="393" t="s">
        <v>84</v>
      </c>
      <c r="K1" s="393"/>
      <c r="L1" s="393"/>
      <c r="M1" s="393"/>
      <c r="N1" s="394"/>
      <c r="O1" s="393"/>
      <c r="P1" s="393"/>
      <c r="Q1" s="393"/>
      <c r="R1" s="393"/>
      <c r="S1" s="393"/>
      <c r="T1" s="373"/>
      <c r="U1" s="373"/>
      <c r="V1" s="373"/>
      <c r="W1" s="373"/>
      <c r="X1" s="373"/>
      <c r="Y1" s="373"/>
      <c r="Z1" s="373"/>
      <c r="AA1" s="373"/>
      <c r="AB1" s="373"/>
      <c r="AC1" s="298" t="s">
        <v>14</v>
      </c>
    </row>
    <row s="6399" customFormat="1" customHeight="1" ht="11.25">
      <c r="A2" s="977"/>
      <c r="B2" s="374"/>
      <c r="C2" s="374"/>
      <c r="D2" s="375"/>
      <c r="E2" s="374"/>
      <c r="F2" s="374"/>
      <c r="G2" s="374"/>
      <c r="H2" s="374"/>
      <c r="I2" s="374"/>
      <c r="J2" s="393"/>
      <c r="K2" s="393"/>
      <c r="L2" s="393"/>
      <c r="M2" s="393"/>
      <c r="N2" s="394"/>
      <c r="O2" s="393"/>
      <c r="P2" s="376"/>
      <c r="Q2" s="376"/>
      <c r="R2" s="376"/>
      <c r="S2" s="376"/>
      <c r="T2" s="375"/>
      <c r="U2" s="375"/>
      <c r="V2" s="375"/>
      <c r="W2" s="375"/>
      <c r="X2" s="375"/>
      <c r="Y2" s="375"/>
      <c r="Z2" s="375"/>
      <c r="AA2" s="375"/>
      <c r="AB2" s="375"/>
      <c r="AC2" s="377">
        <v>11</v>
      </c>
    </row>
    <row s="6055" customFormat="1" customHeight="1" ht="3">
      <c r="A3" s="904"/>
      <c r="B3" s="563"/>
      <c r="C3" s="904"/>
      <c r="D3" s="310"/>
      <c r="E3" s="249"/>
      <c r="F3" s="655"/>
      <c r="G3" s="249"/>
      <c r="H3" s="249"/>
      <c r="I3" s="312"/>
      <c r="J3" s="393"/>
      <c r="K3" s="301"/>
      <c r="L3" s="301"/>
      <c r="M3" s="301"/>
      <c r="N3" s="372"/>
      <c r="O3" s="301"/>
      <c r="P3" s="371"/>
      <c r="Q3" s="371"/>
      <c r="R3" s="371"/>
      <c r="S3" s="371"/>
      <c r="AC3" s="262">
        <v>3</v>
      </c>
    </row>
    <row s="6055" customFormat="1" customHeight="1" ht="27.299999999999997">
      <c r="A4" s="904"/>
      <c r="B4" s="563"/>
      <c r="C4" s="904"/>
      <c r="D4" s="310"/>
      <c r="E4" s="2259" t="str">
        <f>NameTemplatesInListMO</f>
        <v>Перечень муниципальных районов и муниципальных образований (территорий оказания услуг)</v>
      </c>
      <c r="F4" s="2259"/>
      <c r="G4" s="2259"/>
      <c r="H4" s="2259"/>
      <c r="I4" s="2259"/>
      <c r="J4" s="393"/>
      <c r="K4" s="301"/>
      <c r="L4" s="301"/>
      <c r="M4" s="301"/>
      <c r="N4" s="372"/>
      <c r="O4" s="301"/>
      <c r="P4" s="371"/>
      <c r="Q4" s="371"/>
      <c r="R4" s="371"/>
      <c r="S4" s="371"/>
      <c r="AC4" s="262">
        <v>26</v>
      </c>
    </row>
    <row s="6055" customFormat="1" customHeight="1" ht="3">
      <c r="A5" s="904"/>
      <c r="B5" s="563"/>
      <c r="C5" s="904"/>
      <c r="D5" s="310"/>
      <c r="E5" s="249"/>
      <c r="F5" s="655"/>
      <c r="G5" s="313"/>
      <c r="H5" s="313"/>
      <c r="I5" s="314"/>
      <c r="J5" s="301"/>
      <c r="K5" s="301"/>
      <c r="L5" s="301"/>
      <c r="M5" s="301"/>
      <c r="N5" s="372"/>
      <c r="O5" s="301"/>
      <c r="P5" s="371"/>
      <c r="Q5" s="371"/>
      <c r="R5" s="371"/>
      <c r="S5" s="371"/>
      <c r="AC5" s="262">
        <v>3</v>
      </c>
    </row>
    <row s="6055" customFormat="1" customHeight="1" ht="20.25" hidden="1">
      <c r="A6" s="983"/>
      <c r="B6" s="979"/>
      <c r="C6" s="315"/>
      <c r="D6" s="310"/>
      <c r="E6" s="925"/>
      <c r="F6" s="925"/>
      <c r="G6" s="313"/>
      <c r="H6" s="316"/>
      <c r="I6" s="316"/>
      <c r="J6" s="301"/>
      <c r="K6" s="301"/>
      <c r="L6" s="301"/>
      <c r="M6" s="301"/>
      <c r="N6" s="372"/>
      <c r="O6" s="301"/>
      <c r="P6" s="371"/>
      <c r="Q6" s="371"/>
      <c r="R6" s="371"/>
      <c r="S6" s="371"/>
      <c r="AC6" s="262">
        <v>0</v>
      </c>
    </row>
    <row customHeight="1" ht="25.5" hidden="1">
      <c r="AC7" s="229">
        <v>0</v>
      </c>
    </row>
    <row s="6055" customFormat="1" customHeight="1" ht="14.699999999999998">
      <c r="A8" s="904"/>
      <c r="B8" s="563"/>
      <c r="C8" s="904"/>
      <c r="D8" s="310"/>
      <c r="E8" s="2260" t="s">
        <v>87</v>
      </c>
      <c r="F8" s="2261"/>
      <c r="G8" s="2262"/>
      <c r="H8" s="2263" t="s">
        <v>88</v>
      </c>
      <c r="I8" s="2263"/>
      <c r="J8" s="301"/>
      <c r="K8" s="301"/>
      <c r="L8" s="301"/>
      <c r="M8" s="301"/>
      <c r="N8" s="372"/>
      <c r="O8" s="301"/>
      <c r="P8" s="371"/>
      <c r="Q8" s="371"/>
      <c r="R8" s="371"/>
      <c r="S8" s="371"/>
      <c r="AC8" s="262">
        <v>14</v>
      </c>
    </row>
    <row s="6055" customFormat="1" customHeight="1" ht="21">
      <c r="A9" s="904"/>
      <c r="B9" s="563"/>
      <c r="C9" s="904"/>
      <c r="D9" s="310"/>
      <c r="E9" s="923" t="s">
        <v>89</v>
      </c>
      <c r="F9" s="923"/>
      <c r="G9" s="318" t="s">
        <v>90</v>
      </c>
      <c r="H9" s="318" t="s">
        <v>90</v>
      </c>
      <c r="I9" s="318" t="s">
        <v>86</v>
      </c>
      <c r="J9" s="301"/>
      <c r="K9" s="301"/>
      <c r="L9" s="301"/>
      <c r="M9" s="301"/>
      <c r="N9" s="372"/>
      <c r="O9" s="301"/>
      <c r="P9" s="371"/>
      <c r="Q9" s="371"/>
      <c r="R9" s="371"/>
      <c r="S9" s="371"/>
      <c r="AC9" s="262">
        <v>20</v>
      </c>
    </row>
    <row customHeight="1" ht="11.549999999999999">
      <c r="D10" s="322"/>
      <c r="E10" s="924" t="s">
        <v>91</v>
      </c>
      <c r="F10" s="924"/>
      <c r="G10" s="369" t="s">
        <v>92</v>
      </c>
      <c r="H10" s="369" t="s">
        <v>93</v>
      </c>
      <c r="I10" s="369" t="s">
        <v>94</v>
      </c>
      <c r="J10" s="332"/>
      <c r="K10" s="332"/>
      <c r="L10" s="332"/>
      <c r="M10" s="332"/>
      <c r="N10" s="317"/>
      <c r="O10" s="332"/>
      <c r="P10" s="370"/>
      <c r="Q10" s="370"/>
      <c r="R10" s="370"/>
      <c r="S10" s="370"/>
      <c r="AC10" s="229">
        <v>11</v>
      </c>
    </row>
    <row s="6055" customFormat="1" customHeight="1" ht="1.05">
      <c r="A11" s="904"/>
      <c r="B11" s="563"/>
      <c r="C11" s="904"/>
      <c r="D11" s="310"/>
      <c r="E11" s="936"/>
      <c r="F11" s="936"/>
      <c r="G11" s="319"/>
      <c r="H11" s="319"/>
      <c r="I11" s="321"/>
      <c r="J11" s="395" t="s">
        <v>95</v>
      </c>
      <c r="K11" s="301"/>
      <c r="L11" s="301"/>
      <c r="M11" s="301" t="s">
        <v>96</v>
      </c>
      <c r="N11" s="372" t="s">
        <v>97</v>
      </c>
      <c r="O11" s="301" t="s">
        <v>98</v>
      </c>
      <c r="P11" s="371"/>
      <c r="Q11" s="371"/>
      <c r="R11" s="371"/>
      <c r="S11" s="371"/>
      <c r="AC11" s="262">
        <v>1</v>
      </c>
    </row>
    <row s="6055" customFormat="1" customHeight="1" ht="15">
      <c r="A12" s="2258">
        <v>1</v>
      </c>
      <c r="B12" s="563"/>
      <c r="C12" s="904"/>
      <c r="D12" s="928"/>
      <c r="E12" s="365">
        <f>A12</f>
        <v>1</v>
      </c>
      <c r="F12" s="948" t="s">
        <v>99</v>
      </c>
      <c r="G12" s="686" t="str">
        <f>"Территория "&amp;E12</f>
        <v>Территория 1</v>
      </c>
      <c r="H12" s="938"/>
      <c r="I12" s="938"/>
      <c r="J12" s="935"/>
      <c r="K12" s="646"/>
      <c r="L12" s="646"/>
      <c r="M12" s="646"/>
      <c r="N12" s="372"/>
      <c r="O12" s="646"/>
      <c r="P12" s="371"/>
      <c r="Q12" s="371"/>
      <c r="R12" s="371"/>
      <c r="S12" s="371"/>
      <c r="AC12" s="653">
        <v>14</v>
      </c>
    </row>
    <row s="7976" customFormat="1" customHeight="1" ht="15.75">
      <c r="A13" s="2258"/>
      <c r="B13" s="563">
        <v>1</v>
      </c>
      <c r="C13" s="563"/>
      <c r="D13" s="946"/>
      <c r="E13" s="926" t="str">
        <f>A12&amp;"."&amp;B13</f>
        <v>1.1</v>
      </c>
      <c r="F13" s="941" t="s">
        <v>100</v>
      </c>
      <c r="G13" s="939" t="s">
        <v>101</v>
      </c>
      <c r="H13" s="939" t="s">
        <v>102</v>
      </c>
      <c r="I13" s="937" t="s">
        <v>103</v>
      </c>
      <c r="J13" s="646">
        <f>MERGEVALUE(G13)</f>
      </c>
      <c r="K13" s="657"/>
      <c r="L13" s="657"/>
      <c r="M13" s="646" t="str">
        <f t="array" ref="M13:M13">IF(ISERROR(MATCH(MID(N13,1,250),MID(note_ter,1,250),0)),"n","y")</f>
        <v>n</v>
      </c>
      <c r="N13" s="657"/>
      <c r="O13" s="646" t="str">
        <f>H13&amp;"("&amp;I13&amp;")"</f>
        <v>Шерловогорское(76609154)</v>
      </c>
      <c r="P13" s="563"/>
      <c r="Q13" s="563"/>
      <c r="R13" s="566"/>
      <c r="S13" s="563"/>
      <c r="T13" s="563"/>
      <c r="U13" s="563"/>
      <c r="V13" s="568"/>
      <c r="W13" s="568"/>
      <c r="X13" s="565"/>
      <c r="Y13" s="565"/>
      <c r="Z13" s="565"/>
      <c r="AA13" s="565"/>
      <c r="AB13" s="565"/>
      <c r="AC13" s="569">
        <v>15</v>
      </c>
    </row>
    <row s="7976" customFormat="1" customHeight="1" ht="15.75">
      <c r="A14" s="2258"/>
      <c r="B14" s="563"/>
      <c r="C14" s="558"/>
      <c r="D14" s="947"/>
      <c r="E14" s="567"/>
      <c r="F14" s="323"/>
      <c r="G14" s="561" t="s">
        <v>104</v>
      </c>
      <c r="H14" s="333"/>
      <c r="I14" s="570"/>
      <c r="J14" s="657"/>
      <c r="K14" s="657"/>
      <c r="L14" s="657"/>
      <c r="M14" s="657"/>
      <c r="N14" s="646"/>
      <c r="O14" s="657"/>
      <c r="P14" s="563"/>
      <c r="Q14" s="563"/>
      <c r="R14" s="566"/>
      <c r="S14" s="563"/>
      <c r="T14" s="563"/>
      <c r="U14" s="563"/>
      <c r="V14" s="568"/>
      <c r="W14" s="568"/>
      <c r="X14" s="565"/>
      <c r="Y14" s="565"/>
      <c r="Z14" s="565"/>
      <c r="AA14" s="565"/>
      <c r="AB14" s="565"/>
      <c r="AC14" s="569">
        <v>15</v>
      </c>
    </row>
    <row customHeight="1" ht="15">
      <c r="A15" s="2376" t="s">
        <v>105</v>
      </c>
      <c r="B15" s="1306"/>
      <c r="C15" s="947" t="s">
        <v>106</v>
      </c>
      <c r="D15" s="1963"/>
      <c r="E15" s="1950" t="str">
        <f>A15</f>
        <v>2</v>
      </c>
      <c r="F15" s="950" t="s">
        <v>107</v>
      </c>
      <c r="G15" s="686" t="str">
        <f>"Территория "&amp;E15</f>
        <v>Территория 2</v>
      </c>
      <c r="H15" s="938"/>
      <c r="I15" s="938"/>
      <c r="J15" s="935"/>
      <c r="K15" s="1770"/>
      <c r="L15" s="1770"/>
      <c r="M15" s="1770"/>
      <c r="N15" s="372"/>
      <c r="O15" s="1770"/>
      <c r="P15" s="371"/>
      <c r="Q15" s="371"/>
      <c r="R15" s="371"/>
      <c r="S15" s="371"/>
      <c r="T15" s="6055"/>
      <c r="U15" s="6055"/>
      <c r="V15" s="6055"/>
      <c r="W15" s="6055"/>
      <c r="X15" s="6055"/>
      <c r="Y15" s="6055"/>
      <c r="Z15" s="6055"/>
      <c r="AA15" s="6055"/>
      <c r="AB15" s="6055"/>
      <c r="AC15" s="6055"/>
    </row>
    <row customHeight="1" ht="15">
      <c r="A16" s="2376"/>
      <c r="B16" s="1306">
        <v>1</v>
      </c>
      <c r="C16" s="1306"/>
      <c r="D16" s="946"/>
      <c r="E16" s="1958" t="str">
        <f>A15&amp;"."&amp;B16</f>
        <v>2.1</v>
      </c>
      <c r="F16" s="949" t="s">
        <v>108</v>
      </c>
      <c r="G16" s="939" t="s">
        <v>109</v>
      </c>
      <c r="H16" s="939" t="s">
        <v>109</v>
      </c>
      <c r="I16" s="937" t="s">
        <v>110</v>
      </c>
      <c r="J16" s="1770"/>
      <c r="K16" s="1782"/>
      <c r="L16" s="1782"/>
      <c r="M16" s="1770" t="str">
        <f t="array" ref="M16:M16">IF(ISERROR(MATCH(MID(N16,1,250),MID(note_ter,1,250),0)),"n","y")</f>
        <v>n</v>
      </c>
      <c r="N16" s="1782"/>
      <c r="O16" s="1770" t="str">
        <f>H16&amp;"("&amp;I16&amp;")"</f>
        <v>Приаргунский муниципальный округ(76538000)</v>
      </c>
      <c r="P16" s="1306"/>
      <c r="Q16" s="1306"/>
      <c r="R16" s="566"/>
      <c r="S16" s="1306"/>
      <c r="T16" s="1306"/>
      <c r="U16" s="1306"/>
      <c r="V16" s="568"/>
      <c r="W16" s="568"/>
      <c r="X16" s="565"/>
      <c r="Y16" s="565"/>
      <c r="Z16" s="565"/>
      <c r="AA16" s="565"/>
      <c r="AB16" s="565"/>
      <c r="AC16" s="565"/>
    </row>
    <row customHeight="1" ht="15">
      <c r="A17" s="2376"/>
      <c r="B17" s="1306"/>
      <c r="C17" s="558"/>
      <c r="D17" s="947"/>
      <c r="E17" s="567"/>
      <c r="F17" s="323"/>
      <c r="G17" s="561" t="s">
        <v>104</v>
      </c>
      <c r="H17" s="333"/>
      <c r="I17" s="570"/>
      <c r="J17" s="1782"/>
      <c r="K17" s="1782"/>
      <c r="L17" s="1782"/>
      <c r="M17" s="1782"/>
      <c r="N17" s="1770"/>
      <c r="O17" s="1782"/>
      <c r="P17" s="1306"/>
      <c r="Q17" s="1306"/>
      <c r="R17" s="566"/>
      <c r="S17" s="1306"/>
      <c r="T17" s="1306"/>
      <c r="U17" s="1306"/>
      <c r="V17" s="568"/>
      <c r="W17" s="568"/>
      <c r="X17" s="565"/>
      <c r="Y17" s="565"/>
      <c r="Z17" s="565"/>
      <c r="AA17" s="565"/>
      <c r="AB17" s="565"/>
      <c r="AC17" s="565"/>
    </row>
    <row customHeight="1" ht="15">
      <c r="A18" s="2376" t="s">
        <v>91</v>
      </c>
      <c r="B18" s="1306"/>
      <c r="C18" s="947" t="s">
        <v>106</v>
      </c>
      <c r="D18" s="1963"/>
      <c r="E18" s="1950" t="str">
        <f>A18</f>
        <v>3</v>
      </c>
      <c r="F18" s="950" t="s">
        <v>111</v>
      </c>
      <c r="G18" s="686" t="str">
        <f>"Территория "&amp;E18</f>
        <v>Территория 3</v>
      </c>
      <c r="H18" s="938"/>
      <c r="I18" s="938"/>
      <c r="J18" s="935"/>
      <c r="K18" s="1770"/>
      <c r="L18" s="1770"/>
      <c r="M18" s="1770"/>
      <c r="N18" s="372"/>
      <c r="O18" s="1770"/>
      <c r="P18" s="371"/>
      <c r="Q18" s="371"/>
      <c r="R18" s="371"/>
      <c r="S18" s="371"/>
      <c r="T18" s="6055"/>
      <c r="U18" s="6055"/>
      <c r="V18" s="6055"/>
      <c r="W18" s="6055"/>
      <c r="X18" s="6055"/>
      <c r="Y18" s="6055"/>
      <c r="Z18" s="6055"/>
      <c r="AA18" s="6055"/>
      <c r="AB18" s="6055"/>
      <c r="AC18" s="6055"/>
    </row>
    <row customHeight="1" ht="15">
      <c r="A19" s="2376"/>
      <c r="B19" s="1306">
        <v>1</v>
      </c>
      <c r="C19" s="1306"/>
      <c r="D19" s="946"/>
      <c r="E19" s="1958" t="str">
        <f>A18&amp;"."&amp;B19</f>
        <v>3.1</v>
      </c>
      <c r="F19" s="949" t="s">
        <v>112</v>
      </c>
      <c r="G19" s="939" t="s">
        <v>113</v>
      </c>
      <c r="H19" s="939" t="s">
        <v>113</v>
      </c>
      <c r="I19" s="937" t="s">
        <v>114</v>
      </c>
      <c r="J19" s="1770"/>
      <c r="K19" s="1782"/>
      <c r="L19" s="1782"/>
      <c r="M19" s="1770" t="str">
        <f t="array" ref="M19:M19">IF(ISERROR(MATCH(MID(N19,1,250),MID(note_ter,1,250),0)),"n","y")</f>
        <v>n</v>
      </c>
      <c r="N19" s="1782"/>
      <c r="O19" s="1770" t="str">
        <f>H19&amp;"("&amp;I19&amp;")"</f>
        <v>Городской округ "Город Чита"(76701000)</v>
      </c>
      <c r="P19" s="1306"/>
      <c r="Q19" s="1306"/>
      <c r="R19" s="566"/>
      <c r="S19" s="1306"/>
      <c r="T19" s="1306"/>
      <c r="U19" s="1306"/>
      <c r="V19" s="568"/>
      <c r="W19" s="568"/>
      <c r="X19" s="565"/>
      <c r="Y19" s="565"/>
      <c r="Z19" s="565"/>
      <c r="AA19" s="565"/>
      <c r="AB19" s="565"/>
      <c r="AC19" s="565"/>
    </row>
    <row customHeight="1" ht="15">
      <c r="A20" s="2376"/>
      <c r="B20" s="1306"/>
      <c r="C20" s="558"/>
      <c r="D20" s="947"/>
      <c r="E20" s="567"/>
      <c r="F20" s="323"/>
      <c r="G20" s="561" t="s">
        <v>104</v>
      </c>
      <c r="H20" s="333"/>
      <c r="I20" s="570"/>
      <c r="J20" s="1782"/>
      <c r="K20" s="1782"/>
      <c r="L20" s="1782"/>
      <c r="M20" s="1782"/>
      <c r="N20" s="1770"/>
      <c r="O20" s="1782"/>
      <c r="P20" s="1306"/>
      <c r="Q20" s="1306"/>
      <c r="R20" s="566"/>
      <c r="S20" s="1306"/>
      <c r="T20" s="1306"/>
      <c r="U20" s="1306"/>
      <c r="V20" s="568"/>
      <c r="W20" s="568"/>
      <c r="X20" s="565"/>
      <c r="Y20" s="565"/>
      <c r="Z20" s="565"/>
      <c r="AA20" s="565"/>
      <c r="AB20" s="565"/>
      <c r="AC20" s="565"/>
    </row>
    <row s="6055" customFormat="1" customHeight="1" ht="14.699999999999998">
      <c r="A21" s="904"/>
      <c r="B21" s="563"/>
      <c r="C21" s="904"/>
      <c r="D21" s="928"/>
      <c r="E21" s="940"/>
      <c r="F21" s="324"/>
      <c r="G21" s="562" t="s">
        <v>115</v>
      </c>
      <c r="H21" s="324"/>
      <c r="I21" s="325"/>
      <c r="J21" s="395"/>
      <c r="K21" s="301"/>
      <c r="L21" s="301"/>
      <c r="M21" s="301"/>
      <c r="N21" s="372" t="s">
        <v>116</v>
      </c>
      <c r="O21" s="301"/>
      <c r="P21" s="371"/>
      <c r="Q21" s="371"/>
      <c r="R21" s="371"/>
      <c r="S21" s="371"/>
      <c r="AC21" s="262">
        <v>14</v>
      </c>
    </row>
    <row s="6055" customFormat="1" customHeight="1" ht="22.049999999999997">
      <c r="A22" s="904"/>
      <c r="B22" s="563"/>
      <c r="C22" s="904"/>
      <c r="D22" s="311"/>
      <c r="E22" s="326"/>
      <c r="F22" s="326"/>
      <c r="G22" s="326"/>
      <c r="H22" s="326"/>
      <c r="I22" s="326"/>
      <c r="J22" s="301"/>
      <c r="K22" s="301"/>
      <c r="L22" s="301"/>
      <c r="M22" s="301"/>
      <c r="N22" s="372"/>
      <c r="O22" s="301"/>
      <c r="P22" s="371"/>
      <c r="Q22" s="371"/>
      <c r="R22" s="371"/>
      <c r="S22" s="371"/>
      <c r="AC22" s="262">
        <v>21</v>
      </c>
    </row>
    <row s="6055" customFormat="1" customHeight="1" ht="14.699999999999998">
      <c r="A23" s="904"/>
      <c r="B23" s="563"/>
      <c r="C23" s="904"/>
      <c r="D23" s="311"/>
      <c r="E23" s="229"/>
      <c r="F23" s="904"/>
      <c r="G23" s="229"/>
      <c r="H23" s="229"/>
      <c r="I23" s="229"/>
      <c r="J23" s="301"/>
      <c r="K23" s="301"/>
      <c r="L23" s="301"/>
      <c r="M23" s="301"/>
      <c r="N23" s="372"/>
      <c r="O23" s="301"/>
      <c r="P23" s="371"/>
      <c r="Q23" s="371"/>
      <c r="R23" s="371"/>
      <c r="S23" s="371"/>
      <c r="AC23" s="262">
        <v>14</v>
      </c>
    </row>
    <row s="6055" customFormat="1" customHeight="1" ht="1.05">
      <c r="A24" s="904"/>
      <c r="B24" s="563"/>
      <c r="C24" s="904"/>
      <c r="D24" s="311"/>
      <c r="E24" s="229"/>
      <c r="F24" s="904"/>
      <c r="G24" s="229"/>
      <c r="H24" s="229"/>
      <c r="I24" s="229"/>
      <c r="J24" s="301"/>
      <c r="K24" s="301"/>
      <c r="L24" s="301"/>
      <c r="M24" s="301"/>
      <c r="N24" s="372"/>
      <c r="O24" s="301"/>
      <c r="P24" s="371"/>
      <c r="Q24" s="371"/>
      <c r="R24" s="371"/>
      <c r="S24" s="371"/>
      <c r="AC24" s="262">
        <v>1</v>
      </c>
    </row>
    <row s="7138" customFormat="1" customHeight="1" ht="10.5">
      <c r="B25" s="980"/>
      <c r="D25" s="328"/>
      <c r="J25" s="301"/>
      <c r="K25" s="301"/>
      <c r="L25" s="301"/>
      <c r="M25" s="301"/>
      <c r="N25" s="372"/>
      <c r="O25" s="301"/>
      <c r="P25" s="371"/>
      <c r="Q25" s="371"/>
      <c r="R25" s="371"/>
      <c r="S25" s="371"/>
      <c r="AC25" s="327">
        <v>10</v>
      </c>
    </row>
    <row s="7138" customFormat="1" customHeight="1" ht="10.5">
      <c r="B26" s="980"/>
      <c r="D26" s="328"/>
      <c r="J26" s="301"/>
      <c r="K26" s="301"/>
      <c r="L26" s="301"/>
      <c r="M26" s="301"/>
      <c r="N26" s="372"/>
      <c r="O26" s="301"/>
      <c r="P26" s="371"/>
      <c r="Q26" s="371"/>
      <c r="R26" s="371"/>
      <c r="S26" s="371"/>
      <c r="AC26" s="327">
        <v>10</v>
      </c>
    </row>
    <row customHeight="1" ht="14.699999999999998">
      <c r="AC27" s="229">
        <v>14</v>
      </c>
    </row>
    <row customHeight="1" ht="14.699999999999998">
      <c r="AC28" s="229">
        <v>14</v>
      </c>
    </row>
    <row customHeight="1" ht="14.699999999999998">
      <c r="AC29" s="229">
        <v>14</v>
      </c>
    </row>
    <row customHeight="1" ht="14.699999999999998">
      <c r="H30" s="208"/>
      <c r="AC30" s="229">
        <v>14</v>
      </c>
    </row>
    <row customHeight="1" ht="14.699999999999998">
      <c r="AC31" s="229">
        <v>14</v>
      </c>
    </row>
    <row customHeight="1" ht="14.699999999999998">
      <c r="AC32" s="229">
        <v>14</v>
      </c>
    </row>
    <row customHeight="1" ht="14.699999999999998">
      <c r="AC33" s="229">
        <v>14</v>
      </c>
    </row>
    <row customHeight="1" ht="14.699999999999998">
      <c r="J34" s="229"/>
      <c r="K34" s="229"/>
      <c r="L34" s="229"/>
      <c r="AC34" s="229">
        <v>14</v>
      </c>
    </row>
    <row customHeight="1" ht="22.5" hidden="1">
      <c r="A35" s="904" t="s">
        <v>83</v>
      </c>
      <c r="B35" s="563">
        <v>0</v>
      </c>
      <c r="C35" s="904">
        <v>3</v>
      </c>
      <c r="D35" s="311">
        <v>3</v>
      </c>
      <c r="E35" s="229">
        <v>6</v>
      </c>
      <c r="F35" s="904">
        <v>0</v>
      </c>
      <c r="G35" s="229">
        <v>46</v>
      </c>
      <c r="H35" s="229">
        <v>42</v>
      </c>
      <c r="I35" s="229">
        <v>14</v>
      </c>
      <c r="J35" s="301">
        <v>3</v>
      </c>
      <c r="K35" s="301">
        <v>0</v>
      </c>
      <c r="L35" s="301">
        <v>0</v>
      </c>
      <c r="M35" s="301">
        <v>0</v>
      </c>
      <c r="N35" s="372">
        <v>0</v>
      </c>
      <c r="O35" s="301">
        <v>0</v>
      </c>
      <c r="P35" s="371">
        <v>0</v>
      </c>
      <c r="Q35" s="371">
        <v>0</v>
      </c>
      <c r="R35" s="371">
        <v>0</v>
      </c>
      <c r="S35" s="371">
        <v>0</v>
      </c>
      <c r="T35" s="229">
        <v>0</v>
      </c>
      <c r="U35" s="229">
        <v>0</v>
      </c>
      <c r="V35" s="229">
        <v>0</v>
      </c>
      <c r="W35" s="229">
        <v>0</v>
      </c>
      <c r="X35" s="229">
        <v>0</v>
      </c>
      <c r="Y35" s="229">
        <v>0</v>
      </c>
      <c r="Z35" s="229">
        <v>0</v>
      </c>
      <c r="AA35" s="229">
        <v>0</v>
      </c>
      <c r="AB35" s="229">
        <v>8</v>
      </c>
      <c r="AC35" s="229">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CBC042-4077-54CA-4B22-0.AB851721}"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8" style="7235" width="19.7109375" hidden="1" customWidth="1"/>
    <col min="29" max="29" style="7235" width="11.7109375" hidden="1" customWidth="1"/>
    <col min="30" max="30" style="7235" width="3.7109375" hidden="1" customWidth="1"/>
    <col min="31" max="31" style="7235" width="11.7109375" hidden="1" customWidth="1"/>
    <col min="32" max="32" style="7235" width="8.57421875" hidden="1" customWidth="1"/>
    <col min="33" max="33" style="7235" width="19.7109375" customWidth="1"/>
    <col min="34" max="39" style="7235" width="19.00390625" customWidth="1"/>
    <col min="40" max="40" style="7235" width="11.00390625" customWidth="1"/>
    <col min="41" max="41" style="7235" width="3.7109375" customWidth="1"/>
    <col min="42" max="42" style="7235" width="11.00390625" customWidth="1"/>
    <col min="43" max="43" style="7235" width="8.57421875" hidden="1" customWidth="1"/>
    <col min="44" max="44" style="7235" width="4.00390625" customWidth="1"/>
    <col min="45" max="45" style="7235" width="115.00390625" customWidth="1"/>
    <col min="46" max="50" style="6720" width="10.00390625" customWidth="1"/>
    <col min="51" max="51" style="7235" width="10.57421875" hidden="1"/>
  </cols>
  <sheetData>
    <row customHeight="1" ht="22.5" hidden="1">
      <c r="AC1" s="473"/>
      <c r="AN1" s="473"/>
      <c r="AY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639">
        <f>INDEX(PT_DIFFERENTIATION_NUM_NTAR,MATCH(A2,PT_DIFFERENTIATION_NTAR_ID,0))</f>
      </c>
      <c r="T2" s="444" t="s">
        <v>147</v>
      </c>
      <c r="U2" s="446"/>
      <c r="V2" s="2401"/>
      <c r="W2" s="2402"/>
      <c r="X2" s="2402"/>
      <c r="Y2" s="2402"/>
      <c r="Z2" s="2402"/>
      <c r="AA2" s="2402"/>
      <c r="AB2" s="2402"/>
      <c r="AC2" s="2402"/>
      <c r="AD2" s="2402"/>
      <c r="AE2" s="2402"/>
      <c r="AF2" s="2403"/>
      <c r="AG2" s="2401">
        <f>INDEX(PT_DIFFERENTIATION_NTAR,MATCH(A2,PT_DIFFERENTIATION_NTAR_ID,0))</f>
      </c>
      <c r="AH2" s="2402"/>
      <c r="AI2" s="2402"/>
      <c r="AJ2" s="2402"/>
      <c r="AK2" s="2402"/>
      <c r="AL2" s="2402"/>
      <c r="AM2" s="2402"/>
      <c r="AN2" s="2402"/>
      <c r="AO2" s="2402"/>
      <c r="AP2" s="2402"/>
      <c r="AQ2" s="2402"/>
      <c r="AR2" s="2403"/>
      <c r="AS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46"/>
      <c r="AV2" s="646" t="str">
        <f>IF(T2="","",T2)</f>
        <v>Наименование тарифа</v>
      </c>
      <c r="AW2" s="646"/>
      <c r="AX2" s="646"/>
      <c r="AY2" s="1301">
        <v>0</v>
      </c>
    </row>
    <row customHeight="1" ht="23.25" hidden="1">
      <c r="A3" s="1509"/>
      <c r="B3" s="1509"/>
      <c r="C3" s="1509"/>
      <c r="D3" s="1509"/>
      <c r="E3" s="2418"/>
      <c r="F3" s="2417">
        <v>1</v>
      </c>
      <c r="G3" s="1509"/>
      <c r="H3" s="1509"/>
      <c r="I3" s="1509"/>
      <c r="J3" s="1509"/>
      <c r="K3" s="1509"/>
      <c r="L3" s="1510"/>
      <c r="M3" s="1511"/>
      <c r="N3" s="1511"/>
      <c r="O3" s="1511"/>
      <c r="P3" s="1633"/>
      <c r="Q3" s="498"/>
      <c r="R3" s="499"/>
      <c r="S3" s="1639">
        <f>INDEX(PT_DIFFERENTIATION_NUM_TER,MATCH(B3,PT_DIFFERENTIATION_TER_ID,0))</f>
      </c>
      <c r="T3" s="454" t="s">
        <v>419</v>
      </c>
      <c r="U3" s="446"/>
      <c r="V3" s="2401"/>
      <c r="W3" s="2402"/>
      <c r="X3" s="2402"/>
      <c r="Y3" s="2402"/>
      <c r="Z3" s="2402"/>
      <c r="AA3" s="2402"/>
      <c r="AB3" s="2402"/>
      <c r="AC3" s="2402"/>
      <c r="AD3" s="2402"/>
      <c r="AE3" s="2402"/>
      <c r="AF3" s="2403"/>
      <c r="AG3" s="2401">
        <f>INDEX(PT_DIFFERENTIATION_TER,MATCH(B3,PT_DIFFERENTIATION_TER_ID,0))</f>
      </c>
      <c r="AH3" s="2402"/>
      <c r="AI3" s="2402"/>
      <c r="AJ3" s="2402"/>
      <c r="AK3" s="2402"/>
      <c r="AL3" s="2402"/>
      <c r="AM3" s="2402"/>
      <c r="AN3" s="2402"/>
      <c r="AO3" s="2402"/>
      <c r="AP3" s="2402"/>
      <c r="AQ3" s="2402"/>
      <c r="AR3" s="2403"/>
      <c r="AS3" s="1404" t="s">
        <v>420</v>
      </c>
      <c r="AU3" s="646"/>
      <c r="AV3" s="646" t="str">
        <f>IF(T3="","",T3)</f>
        <v>Территория действия тарифа</v>
      </c>
      <c r="AW3" s="646"/>
      <c r="AX3" s="646"/>
      <c r="AY3" s="1301">
        <v>0</v>
      </c>
    </row>
    <row customHeight="1" ht="23.25" hidden="1">
      <c r="A4" s="1509"/>
      <c r="B4" s="1509"/>
      <c r="C4" s="1509"/>
      <c r="D4" s="1509"/>
      <c r="E4" s="2418"/>
      <c r="F4" s="2418"/>
      <c r="G4" s="2417">
        <v>1</v>
      </c>
      <c r="H4" s="1509"/>
      <c r="I4" s="1509"/>
      <c r="J4" s="1509"/>
      <c r="K4" s="1509"/>
      <c r="L4" s="1510"/>
      <c r="M4" s="1511"/>
      <c r="N4" s="1511"/>
      <c r="O4" s="1511"/>
      <c r="P4" s="500"/>
      <c r="Q4" s="498"/>
      <c r="R4" s="499"/>
      <c r="S4" s="1639">
        <f>INDEX(PT_DIFFERENTIATION_NUM_CS,MATCH(C4,PT_DIFFERENTIATION_CS_ID,0))</f>
      </c>
      <c r="T4" s="455" t="s">
        <v>552</v>
      </c>
      <c r="U4" s="446"/>
      <c r="V4" s="2401"/>
      <c r="W4" s="2402"/>
      <c r="X4" s="2402"/>
      <c r="Y4" s="2402"/>
      <c r="Z4" s="2402"/>
      <c r="AA4" s="2402"/>
      <c r="AB4" s="2402"/>
      <c r="AC4" s="2402"/>
      <c r="AD4" s="2402"/>
      <c r="AE4" s="2402"/>
      <c r="AF4" s="2403"/>
      <c r="AG4" s="2401">
        <f>INDEX(PT_DIFFERENTIATION_CS,MATCH(C4,PT_DIFFERENTIATION_CS_ID,0))</f>
      </c>
      <c r="AH4" s="2402"/>
      <c r="AI4" s="2402"/>
      <c r="AJ4" s="2402"/>
      <c r="AK4" s="2402"/>
      <c r="AL4" s="2402"/>
      <c r="AM4" s="2402"/>
      <c r="AN4" s="2402"/>
      <c r="AO4" s="2402"/>
      <c r="AP4" s="2402"/>
      <c r="AQ4" s="2402"/>
      <c r="AR4" s="2403"/>
      <c r="AS4" s="1404" t="s">
        <v>553</v>
      </c>
      <c r="AU4" s="646"/>
      <c r="AV4" s="646" t="str">
        <f>IF(T4="","",T4)</f>
        <v>Наименование централизованной системы горячего водоснабжения</v>
      </c>
      <c r="AW4" s="646"/>
      <c r="AX4" s="646"/>
      <c r="AY4" s="1301">
        <v>0</v>
      </c>
    </row>
    <row customHeight="1" ht="23.25" hidden="1">
      <c r="A5" s="1509"/>
      <c r="B5" s="1509"/>
      <c r="C5" s="1509"/>
      <c r="D5" s="1509"/>
      <c r="E5" s="2418"/>
      <c r="F5" s="2418"/>
      <c r="G5" s="2418"/>
      <c r="H5" s="2418"/>
      <c r="I5" s="2415">
        <f>S4&amp;".1"</f>
      </c>
      <c r="J5" s="1509"/>
      <c r="K5" s="1509"/>
      <c r="L5" s="1510"/>
      <c r="P5" s="2416">
        <v>1</v>
      </c>
      <c r="Q5" s="1627"/>
      <c r="R5" s="502"/>
      <c r="S5" s="1639">
        <f>$I5</f>
      </c>
      <c r="T5" s="431" t="s">
        <v>505</v>
      </c>
      <c r="U5" s="446"/>
      <c r="V5" s="2509"/>
      <c r="W5" s="2510"/>
      <c r="X5" s="2510"/>
      <c r="Y5" s="2510"/>
      <c r="Z5" s="2510"/>
      <c r="AA5" s="2510"/>
      <c r="AB5" s="2510"/>
      <c r="AC5" s="2510"/>
      <c r="AD5" s="2510"/>
      <c r="AE5" s="2510"/>
      <c r="AF5" s="2511"/>
      <c r="AG5" s="2512"/>
      <c r="AH5" s="2513"/>
      <c r="AI5" s="2513"/>
      <c r="AJ5" s="2513"/>
      <c r="AK5" s="2513"/>
      <c r="AL5" s="2513"/>
      <c r="AM5" s="2513"/>
      <c r="AN5" s="2513"/>
      <c r="AO5" s="2513"/>
      <c r="AP5" s="2513"/>
      <c r="AQ5" s="2513"/>
      <c r="AR5" s="2514"/>
      <c r="AS5" s="1404" t="s">
        <v>506</v>
      </c>
      <c r="AU5" s="646"/>
      <c r="AV5" s="646" t="str">
        <f>IF(T5="","",T5)</f>
        <v>Наименование признака дифференциации</v>
      </c>
      <c r="AW5" s="646"/>
      <c r="AX5" s="646"/>
      <c r="AY5" s="1301">
        <v>0</v>
      </c>
    </row>
    <row customHeight="1" ht="23.25" hidden="1">
      <c r="A6" s="1509"/>
      <c r="B6" s="1509"/>
      <c r="C6" s="1509"/>
      <c r="D6" s="1509"/>
      <c r="E6" s="2418"/>
      <c r="F6" s="2418"/>
      <c r="G6" s="2418"/>
      <c r="H6" s="2418"/>
      <c r="I6" s="2445"/>
      <c r="J6" s="2415">
        <f>I5&amp;".1"</f>
      </c>
      <c r="K6" s="1509"/>
      <c r="L6" s="1510" t="s">
        <v>428</v>
      </c>
      <c r="P6" s="2416"/>
      <c r="Q6" s="2416">
        <v>1</v>
      </c>
      <c r="R6" s="503"/>
      <c r="S6" s="1639">
        <f>$J6</f>
      </c>
      <c r="T6" s="432" t="s">
        <v>429</v>
      </c>
      <c r="U6" s="446"/>
      <c r="V6" s="2404"/>
      <c r="W6" s="2405"/>
      <c r="X6" s="2405"/>
      <c r="Y6" s="2405"/>
      <c r="Z6" s="2405"/>
      <c r="AA6" s="2405"/>
      <c r="AB6" s="2405"/>
      <c r="AC6" s="2405"/>
      <c r="AD6" s="2405"/>
      <c r="AE6" s="2405"/>
      <c r="AF6" s="2406"/>
      <c r="AG6" s="2404"/>
      <c r="AH6" s="2405"/>
      <c r="AI6" s="2405"/>
      <c r="AJ6" s="2405"/>
      <c r="AK6" s="2405"/>
      <c r="AL6" s="2405"/>
      <c r="AM6" s="2405"/>
      <c r="AN6" s="2405"/>
      <c r="AO6" s="2405"/>
      <c r="AP6" s="2405"/>
      <c r="AQ6" s="2405"/>
      <c r="AR6" s="2406"/>
      <c r="AS6" s="1453" t="s">
        <v>507</v>
      </c>
      <c r="AU6" s="646"/>
      <c r="AV6" s="646" t="str">
        <f>IF(T6="","",T6)</f>
        <v>Группа потребителей</v>
      </c>
      <c r="AW6" s="646"/>
      <c r="AX6" s="646"/>
      <c r="AY6" s="1301">
        <v>0</v>
      </c>
    </row>
    <row customHeight="1" ht="23.25" hidden="1">
      <c r="A7" s="1509"/>
      <c r="B7" s="1509"/>
      <c r="C7" s="1509"/>
      <c r="D7" s="1509"/>
      <c r="E7" s="2418"/>
      <c r="F7" s="2418"/>
      <c r="G7" s="2418"/>
      <c r="H7" s="2418"/>
      <c r="I7" s="2445"/>
      <c r="J7" s="2445"/>
      <c r="K7" s="2415">
        <f>J6&amp;".1"</f>
      </c>
      <c r="L7" s="1510"/>
      <c r="P7" s="2416"/>
      <c r="Q7" s="2416"/>
      <c r="R7" s="503">
        <v>1</v>
      </c>
      <c r="S7" s="1639">
        <f>$K7</f>
      </c>
      <c r="T7" s="1583"/>
      <c r="U7" s="446"/>
      <c r="V7" s="897"/>
      <c r="W7" s="897"/>
      <c r="X7" s="897"/>
      <c r="Y7" s="897"/>
      <c r="Z7" s="897"/>
      <c r="AA7" s="897"/>
      <c r="AB7" s="897"/>
      <c r="AC7" s="2424"/>
      <c r="AD7" s="2266" t="s">
        <v>63</v>
      </c>
      <c r="AE7" s="2424"/>
      <c r="AF7" s="2266" t="s">
        <v>63</v>
      </c>
      <c r="AG7" s="897"/>
      <c r="AH7" s="897"/>
      <c r="AI7" s="897"/>
      <c r="AJ7" s="897"/>
      <c r="AK7" s="897"/>
      <c r="AL7" s="897"/>
      <c r="AM7" s="897"/>
      <c r="AN7" s="2424"/>
      <c r="AO7" s="2266" t="s">
        <v>63</v>
      </c>
      <c r="AP7" s="2446"/>
      <c r="AQ7" s="2266" t="s">
        <v>63</v>
      </c>
      <c r="AR7" s="1584"/>
      <c r="AS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7">
        <f>STRCHECKDATE(V8:AR8)</f>
      </c>
      <c r="AU7" s="646"/>
      <c r="AV7" s="646" t="str">
        <f>IF(T7="","",T7)</f>
        <v/>
      </c>
      <c r="AW7" s="646"/>
      <c r="AX7" s="646"/>
      <c r="AY7" s="1301">
        <v>0</v>
      </c>
    </row>
    <row customHeight="1" ht="14.25" hidden="1">
      <c r="A8" s="1509"/>
      <c r="B8" s="1509"/>
      <c r="C8" s="1509"/>
      <c r="D8" s="1509"/>
      <c r="E8" s="2418"/>
      <c r="F8" s="2418"/>
      <c r="G8" s="2418"/>
      <c r="H8" s="2418"/>
      <c r="I8" s="2445"/>
      <c r="J8" s="2445"/>
      <c r="K8" s="2415"/>
      <c r="L8" s="1510"/>
      <c r="P8" s="2416"/>
      <c r="Q8" s="2416"/>
      <c r="R8" s="503"/>
      <c r="S8" s="1636"/>
      <c r="T8" s="446"/>
      <c r="U8" s="446"/>
      <c r="V8" s="471"/>
      <c r="W8" s="471"/>
      <c r="X8" s="471"/>
      <c r="Y8" s="471"/>
      <c r="Z8" s="471"/>
      <c r="AA8" s="471"/>
      <c r="AB8" s="471"/>
      <c r="AC8" s="2425"/>
      <c r="AD8" s="2266"/>
      <c r="AE8" s="2425"/>
      <c r="AF8" s="2266"/>
      <c r="AG8" s="471"/>
      <c r="AH8" s="471"/>
      <c r="AI8" s="471"/>
      <c r="AJ8" s="471"/>
      <c r="AK8" s="471"/>
      <c r="AL8" s="471"/>
      <c r="AM8" s="471"/>
      <c r="AN8" s="2425"/>
      <c r="AO8" s="2266"/>
      <c r="AP8" s="2447"/>
      <c r="AQ8" s="2266"/>
      <c r="AR8" s="1585"/>
      <c r="AS8" s="2508"/>
      <c r="AU8" s="646"/>
      <c r="AV8" s="646" t="str">
        <f>IF(T8="","",T8)</f>
        <v/>
      </c>
      <c r="AW8" s="646"/>
      <c r="AX8" s="646"/>
      <c r="AY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746"/>
      <c r="X9" s="746"/>
      <c r="Y9" s="746"/>
      <c r="Z9" s="746"/>
      <c r="AA9" s="746"/>
      <c r="AB9" s="746"/>
      <c r="AC9" s="513"/>
      <c r="AD9" s="513"/>
      <c r="AE9" s="513"/>
      <c r="AF9" s="513"/>
      <c r="AG9" s="513"/>
      <c r="AH9" s="746"/>
      <c r="AI9" s="746"/>
      <c r="AJ9" s="746"/>
      <c r="AK9" s="746"/>
      <c r="AL9" s="746"/>
      <c r="AM9" s="513"/>
      <c r="AN9" s="513"/>
      <c r="AO9" s="513"/>
      <c r="AP9" s="513"/>
      <c r="AQ9" s="513"/>
      <c r="AR9" s="513"/>
      <c r="AS9" s="1404" t="s">
        <v>509</v>
      </c>
      <c r="AU9" s="646"/>
      <c r="AV9" s="646" t="str">
        <f>IF(T9="","",T9)</f>
        <v>Добавить значение признака дифференциации</v>
      </c>
      <c r="AW9" s="646"/>
      <c r="AX9" s="646"/>
      <c r="AY9" s="1301">
        <v>0</v>
      </c>
    </row>
    <row customHeight="1" ht="21" hidden="1">
      <c r="A10" s="1509"/>
      <c r="B10" s="1509"/>
      <c r="C10" s="1509"/>
      <c r="D10" s="1509"/>
      <c r="E10" s="2418"/>
      <c r="F10" s="2418"/>
      <c r="G10" s="2418"/>
      <c r="H10" s="2418"/>
      <c r="I10" s="2415"/>
      <c r="J10" s="1509"/>
      <c r="K10" s="1509"/>
      <c r="L10" s="1510"/>
      <c r="P10" s="2416"/>
      <c r="Q10" s="1627"/>
      <c r="R10" s="502"/>
      <c r="S10" s="1424"/>
      <c r="T10" s="511" t="s">
        <v>434</v>
      </c>
      <c r="U10" s="513"/>
      <c r="V10" s="513"/>
      <c r="W10" s="746"/>
      <c r="X10" s="746"/>
      <c r="Y10" s="746"/>
      <c r="Z10" s="746"/>
      <c r="AA10" s="746"/>
      <c r="AB10" s="746"/>
      <c r="AC10" s="513"/>
      <c r="AD10" s="513"/>
      <c r="AE10" s="513"/>
      <c r="AF10" s="512"/>
      <c r="AG10" s="513"/>
      <c r="AH10" s="746"/>
      <c r="AI10" s="746"/>
      <c r="AJ10" s="746"/>
      <c r="AK10" s="746"/>
      <c r="AL10" s="746"/>
      <c r="AM10" s="513"/>
      <c r="AN10" s="513"/>
      <c r="AO10" s="513"/>
      <c r="AP10" s="513"/>
      <c r="AQ10" s="512"/>
      <c r="AR10" s="513"/>
      <c r="AS10" s="1586"/>
      <c r="AU10" s="646"/>
      <c r="AV10" s="646" t="str">
        <f>IF(T10="","",T10)</f>
        <v>Добавить группу потребителей</v>
      </c>
      <c r="AW10" s="646"/>
      <c r="AX10" s="646"/>
      <c r="AY10" s="1301">
        <v>0</v>
      </c>
    </row>
    <row customHeight="1" ht="21"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746"/>
      <c r="X11" s="746"/>
      <c r="Y11" s="746"/>
      <c r="Z11" s="746"/>
      <c r="AA11" s="746"/>
      <c r="AB11" s="746"/>
      <c r="AC11" s="513"/>
      <c r="AD11" s="513"/>
      <c r="AE11" s="513"/>
      <c r="AF11" s="512"/>
      <c r="AG11" s="513"/>
      <c r="AH11" s="746"/>
      <c r="AI11" s="746"/>
      <c r="AJ11" s="746"/>
      <c r="AK11" s="746"/>
      <c r="AL11" s="746"/>
      <c r="AM11" s="513"/>
      <c r="AN11" s="513"/>
      <c r="AO11" s="513"/>
      <c r="AP11" s="513"/>
      <c r="AQ11" s="512"/>
      <c r="AR11" s="513"/>
      <c r="AS11" s="449"/>
      <c r="AU11" s="646"/>
      <c r="AV11" s="646" t="str">
        <f>IF(T11="","",T11)</f>
        <v>Добавить наименование признака дифференциации</v>
      </c>
      <c r="AW11" s="646"/>
      <c r="AX11" s="646"/>
      <c r="AY11" s="1301">
        <v>0</v>
      </c>
    </row>
    <row s="6720" customFormat="1" customHeight="1" ht="14.25" hidden="1">
      <c r="A12" s="1489"/>
      <c r="B12" s="1489"/>
      <c r="C12" s="1460"/>
      <c r="D12" s="1460"/>
      <c r="E12" s="2418"/>
      <c r="F12" s="2417"/>
      <c r="G12" s="1460"/>
      <c r="H12" s="1460"/>
      <c r="I12" s="1460"/>
      <c r="J12" s="1460"/>
      <c r="K12" s="1460"/>
      <c r="L12" s="1640"/>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c r="AU12" s="935"/>
      <c r="AV12" s="935" t="str">
        <f>IF(T12="","",T12)</f>
        <v>Добавить централизованную систему для дифференциации</v>
      </c>
      <c r="AW12" s="935"/>
      <c r="AX12" s="935"/>
      <c r="AY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c r="AU13" s="646"/>
      <c r="AV13" s="646" t="str">
        <f>IF(T13="","",T13)</f>
        <v>Добавить территорию для дифференциации</v>
      </c>
      <c r="AW13" s="646"/>
      <c r="AX13" s="646"/>
      <c r="AY13" s="657">
        <v>0</v>
      </c>
    </row>
    <row customHeight="1" ht="14.25" hidden="1">
      <c r="AF14" s="473"/>
      <c r="AQ14" s="473"/>
      <c r="AY14" s="1301">
        <v>0</v>
      </c>
    </row>
    <row customHeight="1" ht="14.25" hidden="1">
      <c r="AG15" s="1506"/>
      <c r="AH15" s="1506"/>
      <c r="AI15" s="1506"/>
      <c r="AJ15" s="1506"/>
      <c r="AK15" s="1506"/>
      <c r="AL15" s="1506"/>
      <c r="AM15" s="1506"/>
      <c r="AN15" s="2426"/>
      <c r="AO15" s="2427" t="s">
        <v>63</v>
      </c>
      <c r="AP15" s="2426"/>
      <c r="AQ15" s="2427" t="s">
        <v>63</v>
      </c>
      <c r="AY15" s="1301">
        <v>0</v>
      </c>
    </row>
    <row customHeight="1" ht="14.25" hidden="1">
      <c r="AG16" s="1506"/>
      <c r="AH16" s="1506"/>
      <c r="AI16" s="1506"/>
      <c r="AJ16" s="1506"/>
      <c r="AK16" s="1506"/>
      <c r="AL16" s="1506"/>
      <c r="AM16" s="1506"/>
      <c r="AN16" s="2427"/>
      <c r="AO16" s="2427"/>
      <c r="AP16" s="2427"/>
      <c r="AQ16" s="2427"/>
      <c r="AY16" s="1301">
        <v>0</v>
      </c>
    </row>
    <row customHeight="1" ht="14.25" hidden="1">
      <c r="AQ17" s="473"/>
      <c r="AY17" s="1301">
        <v>0</v>
      </c>
    </row>
    <row s="7180" customFormat="1" customHeight="1" ht="22.5" hidden="1">
      <c r="L18" s="1624"/>
      <c r="M18" s="1508"/>
      <c r="N18" s="1508"/>
      <c r="O18" s="1513" t="s">
        <v>439</v>
      </c>
      <c r="P18" s="1508"/>
      <c r="Q18" s="1517"/>
      <c r="R18" s="1517"/>
      <c r="S18" s="875"/>
      <c r="W18" s="1512"/>
      <c r="X18" s="1512"/>
      <c r="Y18" s="1512"/>
      <c r="Z18" s="1512"/>
      <c r="AA18" s="1512"/>
      <c r="AB18" s="1512"/>
      <c r="AC18" s="1513"/>
      <c r="AE18" s="1513"/>
      <c r="AF18" s="1512"/>
      <c r="AH18" s="1512"/>
      <c r="AI18" s="1512"/>
      <c r="AJ18" s="1512"/>
      <c r="AK18" s="1512"/>
      <c r="AL18" s="1512"/>
      <c r="AN18" s="1513"/>
      <c r="AP18" s="1513"/>
      <c r="AQ18" s="1512"/>
      <c r="AT18" s="657"/>
      <c r="AU18" s="657"/>
      <c r="AV18" s="657"/>
      <c r="AW18" s="657"/>
      <c r="AX18" s="657"/>
      <c r="AY18" s="1306">
        <v>0</v>
      </c>
    </row>
    <row s="7180" customFormat="1" customHeight="1" ht="14.25" hidden="1">
      <c r="L19" s="1624"/>
      <c r="M19" s="1508"/>
      <c r="N19" s="1508"/>
      <c r="O19" s="1508"/>
      <c r="P19" s="1508"/>
      <c r="Q19" s="1517"/>
      <c r="R19" s="1517"/>
      <c r="S19" s="875"/>
      <c r="W19" s="1512"/>
      <c r="X19" s="1512"/>
      <c r="Y19" s="1512"/>
      <c r="Z19" s="1512"/>
      <c r="AA19" s="1512"/>
      <c r="AB19" s="1512"/>
      <c r="AF19" s="1512"/>
      <c r="AH19" s="1512"/>
      <c r="AI19" s="1512"/>
      <c r="AJ19" s="1512"/>
      <c r="AK19" s="1512"/>
      <c r="AL19" s="1512"/>
      <c r="AQ19" s="1512"/>
      <c r="AT19" s="657"/>
      <c r="AU19" s="657"/>
      <c r="AV19" s="657"/>
      <c r="AW19" s="657"/>
      <c r="AX19" s="657"/>
      <c r="AY19" s="1306">
        <v>0</v>
      </c>
    </row>
    <row s="7180" customFormat="1" customHeight="1" ht="12" hidden="1">
      <c r="L20" s="1624"/>
      <c r="M20" s="1508"/>
      <c r="N20" s="1508"/>
      <c r="O20" s="1510" t="s">
        <v>440</v>
      </c>
      <c r="P20" s="1508"/>
      <c r="Q20" s="1588"/>
      <c r="R20" s="1588"/>
      <c r="S20" s="875"/>
      <c r="T20" s="1306" t="s">
        <v>441</v>
      </c>
      <c r="W20" s="1512"/>
      <c r="X20" s="1512"/>
      <c r="Y20" s="1512"/>
      <c r="Z20" s="1512"/>
      <c r="AA20" s="1512"/>
      <c r="AB20" s="1512"/>
      <c r="AD20" s="332" t="s">
        <v>442</v>
      </c>
      <c r="AF20" s="332" t="s">
        <v>443</v>
      </c>
      <c r="AG20" s="1306" t="s">
        <v>441</v>
      </c>
      <c r="AH20" s="1512"/>
      <c r="AI20" s="1512"/>
      <c r="AJ20" s="1512"/>
      <c r="AK20" s="1512"/>
      <c r="AL20" s="1512"/>
      <c r="AO20" s="332" t="s">
        <v>444</v>
      </c>
      <c r="AQ20" s="332" t="s">
        <v>443</v>
      </c>
      <c r="AY20" s="1306">
        <v>0</v>
      </c>
    </row>
    <row customHeight="1" ht="14.25" hidden="1">
      <c r="O21" s="1510"/>
      <c r="AY21" s="1301">
        <v>0</v>
      </c>
    </row>
    <row customHeight="1" ht="14.25" hidden="1">
      <c r="O22" s="1510"/>
      <c r="AY22" s="1301">
        <v>0</v>
      </c>
    </row>
    <row customHeight="1" ht="14.699999999999998">
      <c r="Q23" s="522"/>
      <c r="R23" s="522"/>
      <c r="S23" s="1421"/>
      <c r="T23" s="509"/>
      <c r="U23" s="509"/>
      <c r="V23" s="655"/>
      <c r="W23" s="1781"/>
      <c r="X23" s="1781"/>
      <c r="Y23" s="1781"/>
      <c r="Z23" s="1781"/>
      <c r="AA23" s="1781"/>
      <c r="AB23" s="1781"/>
      <c r="AC23" s="655"/>
      <c r="AD23" s="655"/>
      <c r="AE23" s="655"/>
      <c r="AF23" s="655"/>
      <c r="AG23" s="655"/>
      <c r="AH23" s="1781"/>
      <c r="AI23" s="1781"/>
      <c r="AJ23" s="1781"/>
      <c r="AK23" s="1781"/>
      <c r="AL23" s="1781"/>
      <c r="AM23" s="655"/>
      <c r="AN23" s="655"/>
      <c r="AO23" s="655"/>
      <c r="AP23" s="655"/>
      <c r="AQ23" s="655"/>
      <c r="AY23" s="1301">
        <v>14</v>
      </c>
    </row>
    <row customHeight="1" ht="26.25">
      <c r="Q24" s="522"/>
      <c r="R24" s="522"/>
      <c r="S24" s="24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1389"/>
      <c r="AY24" s="1301">
        <v>25</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1389"/>
      <c r="AY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655"/>
      <c r="AY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2410"/>
      <c r="AC27" s="2410"/>
      <c r="AD27" s="2410"/>
      <c r="AE27" s="2410"/>
      <c r="AF27" s="472"/>
      <c r="AG27" s="2410" t="str">
        <f>IF(TITLE_NAME_OR_PR_CHANGE="",IF(TITLE_NAME_OR_PR="","",TITLE_NAME_OR_PR),TITLE_NAME_OR_PR_CHANGE)</f>
        <v/>
      </c>
      <c r="AH27" s="2410"/>
      <c r="AI27" s="2410"/>
      <c r="AJ27" s="2410"/>
      <c r="AK27" s="2410"/>
      <c r="AL27" s="2410"/>
      <c r="AM27" s="2410"/>
      <c r="AN27" s="2410"/>
      <c r="AO27" s="2410"/>
      <c r="AP27" s="2410"/>
      <c r="AQ27" s="472"/>
      <c r="AR27" s="472"/>
      <c r="AS27" s="426"/>
      <c r="AT27" s="514"/>
      <c r="AU27" s="514"/>
      <c r="AV27" s="514"/>
      <c r="AW27" s="514"/>
      <c r="AX27" s="514"/>
      <c r="AY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2423"/>
      <c r="AC28" s="2423"/>
      <c r="AD28" s="2423"/>
      <c r="AE28" s="2423"/>
      <c r="AF28" s="472"/>
      <c r="AG28" s="2423" t="str">
        <f>IF(TITLE_DATE_PR_CHANGE="",IF(TITLE_DATE_PR="","",TITLE_DATE_PR),TITLE_DATE_PR_CHANGE)</f>
        <v/>
      </c>
      <c r="AH28" s="2423"/>
      <c r="AI28" s="2423"/>
      <c r="AJ28" s="2423"/>
      <c r="AK28" s="2423"/>
      <c r="AL28" s="2423"/>
      <c r="AM28" s="2423"/>
      <c r="AN28" s="2423"/>
      <c r="AO28" s="2423"/>
      <c r="AP28" s="2423"/>
      <c r="AQ28" s="472"/>
      <c r="AR28" s="472"/>
      <c r="AS28" s="426"/>
      <c r="AT28" s="514"/>
      <c r="AU28" s="514"/>
      <c r="AV28" s="514"/>
      <c r="AW28" s="514"/>
      <c r="AX28" s="514"/>
      <c r="AY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2410"/>
      <c r="AC29" s="2410"/>
      <c r="AD29" s="2410"/>
      <c r="AE29" s="2410"/>
      <c r="AF29" s="472"/>
      <c r="AG29" s="2410" t="str">
        <f>IF(TITLE_NUMBER_PR_CHANGE="",IF(TITLE_NUMBER_PR="","",TITLE_NUMBER_PR),TITLE_NUMBER_PR_CHANGE)</f>
        <v/>
      </c>
      <c r="AH29" s="2410"/>
      <c r="AI29" s="2410"/>
      <c r="AJ29" s="2410"/>
      <c r="AK29" s="2410"/>
      <c r="AL29" s="2410"/>
      <c r="AM29" s="2410"/>
      <c r="AN29" s="2410"/>
      <c r="AO29" s="2410"/>
      <c r="AP29" s="2410"/>
      <c r="AQ29" s="472"/>
      <c r="AR29" s="472"/>
      <c r="AS29" s="426"/>
      <c r="AT29" s="514"/>
      <c r="AU29" s="514"/>
      <c r="AV29" s="514"/>
      <c r="AW29" s="514"/>
      <c r="AX29" s="514"/>
      <c r="AY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2410"/>
      <c r="AC30" s="2410"/>
      <c r="AD30" s="2410"/>
      <c r="AE30" s="2410"/>
      <c r="AF30" s="472"/>
      <c r="AG30" s="2410" t="str">
        <f>IF(TITLE_IST_PUB_CHANGE="",IF(TITLE_IST_PUB="","",TITLE_IST_PUB),TITLE_IST_PUB_CHANGE)</f>
        <v/>
      </c>
      <c r="AH30" s="2410"/>
      <c r="AI30" s="2410"/>
      <c r="AJ30" s="2410"/>
      <c r="AK30" s="2410"/>
      <c r="AL30" s="2410"/>
      <c r="AM30" s="2410"/>
      <c r="AN30" s="2410"/>
      <c r="AO30" s="2410"/>
      <c r="AP30" s="2410"/>
      <c r="AQ30" s="472"/>
      <c r="AR30" s="472"/>
      <c r="AS30" s="426"/>
      <c r="AT30" s="514"/>
      <c r="AU30" s="514"/>
      <c r="AV30" s="514"/>
      <c r="AW30" s="514"/>
      <c r="AX30" s="514"/>
      <c r="AY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655"/>
      <c r="AY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2423"/>
      <c r="AC32" s="2423"/>
      <c r="AD32" s="2423"/>
      <c r="AE32" s="2423"/>
      <c r="AF32" s="472"/>
      <c r="AG32" s="2423" t="str">
        <f>IF(TITLE_DATE_PR_CHANGE="",IF(TITLE_DATE_PR="","",TITLE_DATE_PR),TITLE_DATE_PR_CHANGE)</f>
        <v/>
      </c>
      <c r="AH32" s="2423"/>
      <c r="AI32" s="2423"/>
      <c r="AJ32" s="2423"/>
      <c r="AK32" s="2423"/>
      <c r="AL32" s="2423"/>
      <c r="AM32" s="2423"/>
      <c r="AN32" s="2423"/>
      <c r="AO32" s="2423"/>
      <c r="AP32" s="2423"/>
      <c r="AQ32" s="472"/>
      <c r="AR32" s="472"/>
      <c r="AS32" s="426"/>
      <c r="AT32" s="514"/>
      <c r="AU32" s="514"/>
      <c r="AV32" s="514"/>
      <c r="AW32" s="514"/>
      <c r="AX32" s="514"/>
      <c r="AY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2410"/>
      <c r="AC33" s="2410"/>
      <c r="AD33" s="2410"/>
      <c r="AE33" s="2410"/>
      <c r="AF33" s="472"/>
      <c r="AG33" s="2410" t="str">
        <f>IF(TITLE_NUMBER_PR_CHANGE="",IF(TITLE_NUMBER_PR="","",TITLE_NUMBER_PR),TITLE_NUMBER_PR_CHANGE)</f>
        <v/>
      </c>
      <c r="AH33" s="2410"/>
      <c r="AI33" s="2410"/>
      <c r="AJ33" s="2410"/>
      <c r="AK33" s="2410"/>
      <c r="AL33" s="2410"/>
      <c r="AM33" s="2410"/>
      <c r="AN33" s="2410"/>
      <c r="AO33" s="2410"/>
      <c r="AP33" s="2410"/>
      <c r="AQ33" s="472"/>
      <c r="AR33" s="472"/>
      <c r="AS33" s="426"/>
      <c r="AT33" s="514"/>
      <c r="AU33" s="514"/>
      <c r="AV33" s="514"/>
      <c r="AW33" s="514"/>
      <c r="AX33" s="514"/>
      <c r="AY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634"/>
      <c r="V34" s="472"/>
      <c r="W34" s="1781"/>
      <c r="X34" s="1781"/>
      <c r="Y34" s="1781"/>
      <c r="Z34" s="1781"/>
      <c r="AA34" s="1781"/>
      <c r="AB34" s="1781"/>
      <c r="AC34" s="472"/>
      <c r="AD34" s="472"/>
      <c r="AE34" s="472"/>
      <c r="AF34" s="424" t="s">
        <v>449</v>
      </c>
      <c r="AG34" s="472"/>
      <c r="AH34" s="1781"/>
      <c r="AI34" s="1781"/>
      <c r="AJ34" s="1781"/>
      <c r="AK34" s="1781"/>
      <c r="AL34" s="1781"/>
      <c r="AM34" s="472"/>
      <c r="AN34" s="472"/>
      <c r="AO34" s="472"/>
      <c r="AP34" s="472"/>
      <c r="AQ34" s="424" t="s">
        <v>449</v>
      </c>
      <c r="AT34" s="514"/>
      <c r="AU34" s="514"/>
      <c r="AV34" s="514"/>
      <c r="AW34" s="514"/>
      <c r="AX34" s="514"/>
      <c r="AY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Y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c r="AL36" s="2286"/>
      <c r="AM36" s="2286"/>
      <c r="AN36" s="2286"/>
      <c r="AO36" s="2286"/>
      <c r="AP36" s="2286"/>
      <c r="AQ36" s="2286"/>
      <c r="AR36" s="2286"/>
      <c r="AS36" s="2286" t="s">
        <v>323</v>
      </c>
      <c r="AY36" s="1301">
        <v>14</v>
      </c>
    </row>
    <row customHeight="1" ht="14.699999999999998">
      <c r="Q37" s="522"/>
      <c r="R37" s="522"/>
      <c r="S37" s="2432" t="s">
        <v>89</v>
      </c>
      <c r="T37" s="2368" t="s">
        <v>450</v>
      </c>
      <c r="U37" s="447"/>
      <c r="V37" s="2433" t="s">
        <v>451</v>
      </c>
      <c r="W37" s="2450"/>
      <c r="X37" s="2450"/>
      <c r="Y37" s="2450"/>
      <c r="Z37" s="2450"/>
      <c r="AA37" s="2450"/>
      <c r="AB37" s="2450"/>
      <c r="AC37" s="2434"/>
      <c r="AD37" s="2434"/>
      <c r="AE37" s="2435"/>
      <c r="AF37" s="2436" t="s">
        <v>452</v>
      </c>
      <c r="AG37" s="2433" t="s">
        <v>451</v>
      </c>
      <c r="AH37" s="2434"/>
      <c r="AI37" s="2434"/>
      <c r="AJ37" s="2434"/>
      <c r="AK37" s="2434"/>
      <c r="AL37" s="2434"/>
      <c r="AM37" s="2434"/>
      <c r="AN37" s="2434"/>
      <c r="AO37" s="2434"/>
      <c r="AP37" s="2435"/>
      <c r="AQ37" s="2436" t="s">
        <v>453</v>
      </c>
      <c r="AR37" s="2439" t="s">
        <v>454</v>
      </c>
      <c r="AS37" s="2286"/>
      <c r="AY37" s="1301">
        <v>14</v>
      </c>
    </row>
    <row customHeight="1" ht="19.95">
      <c r="Q38" s="522"/>
      <c r="R38" s="522"/>
      <c r="S38" s="2432"/>
      <c r="T38" s="2368"/>
      <c r="U38" s="1177"/>
      <c r="V38" s="2525" t="s">
        <v>554</v>
      </c>
      <c r="W38" s="2524" t="s">
        <v>555</v>
      </c>
      <c r="X38" s="2524"/>
      <c r="Y38" s="2524"/>
      <c r="Z38" s="2524" t="s">
        <v>556</v>
      </c>
      <c r="AA38" s="2524"/>
      <c r="AB38" s="2524"/>
      <c r="AC38" s="2453" t="s">
        <v>458</v>
      </c>
      <c r="AD38" s="2472"/>
      <c r="AE38" s="2473"/>
      <c r="AF38" s="2437"/>
      <c r="AG38" s="2525" t="s">
        <v>554</v>
      </c>
      <c r="AH38" s="2524" t="s">
        <v>555</v>
      </c>
      <c r="AI38" s="2524"/>
      <c r="AJ38" s="2524"/>
      <c r="AK38" s="2524" t="s">
        <v>556</v>
      </c>
      <c r="AL38" s="2524"/>
      <c r="AM38" s="2524"/>
      <c r="AN38" s="2453" t="s">
        <v>458</v>
      </c>
      <c r="AO38" s="2472"/>
      <c r="AP38" s="2473"/>
      <c r="AQ38" s="2437"/>
      <c r="AR38" s="2440"/>
      <c r="AS38" s="2286"/>
      <c r="AY38" s="1301">
        <v>19</v>
      </c>
    </row>
    <row s="7235" customFormat="1" customHeight="1" ht="19.95">
      <c r="A39" s="1512"/>
      <c r="B39" s="1512"/>
      <c r="C39" s="1512"/>
      <c r="D39" s="1512"/>
      <c r="E39" s="1512"/>
      <c r="F39" s="1512"/>
      <c r="G39" s="1512"/>
      <c r="H39" s="1512"/>
      <c r="I39" s="1512"/>
      <c r="J39" s="1512"/>
      <c r="K39" s="1512"/>
      <c r="L39" s="2094"/>
      <c r="M39" s="1508"/>
      <c r="N39" s="1508"/>
      <c r="O39" s="1508"/>
      <c r="P39" s="2108"/>
      <c r="Q39" s="522"/>
      <c r="R39" s="522"/>
      <c r="S39" s="2432"/>
      <c r="T39" s="2368"/>
      <c r="U39" s="1177"/>
      <c r="V39" s="2525"/>
      <c r="W39" s="2524" t="s">
        <v>557</v>
      </c>
      <c r="X39" s="2524" t="s">
        <v>558</v>
      </c>
      <c r="Y39" s="2524"/>
      <c r="Z39" s="2524" t="s">
        <v>559</v>
      </c>
      <c r="AA39" s="2524" t="s">
        <v>558</v>
      </c>
      <c r="AB39" s="2524"/>
      <c r="AC39" s="2454"/>
      <c r="AD39" s="2474"/>
      <c r="AE39" s="2475"/>
      <c r="AF39" s="2437"/>
      <c r="AG39" s="2525"/>
      <c r="AH39" s="2524" t="s">
        <v>557</v>
      </c>
      <c r="AI39" s="2524" t="s">
        <v>558</v>
      </c>
      <c r="AJ39" s="2524"/>
      <c r="AK39" s="2524" t="s">
        <v>559</v>
      </c>
      <c r="AL39" s="2524" t="s">
        <v>558</v>
      </c>
      <c r="AM39" s="2524"/>
      <c r="AN39" s="2454"/>
      <c r="AO39" s="2474"/>
      <c r="AP39" s="2475"/>
      <c r="AQ39" s="2437"/>
      <c r="AR39" s="2440"/>
      <c r="AS39" s="2286"/>
      <c r="AT39" s="1782"/>
      <c r="AU39" s="1782"/>
      <c r="AV39" s="1782"/>
      <c r="AW39" s="1782"/>
      <c r="AX39" s="1782"/>
      <c r="AY39" s="1777">
        <v>19</v>
      </c>
    </row>
    <row customHeight="1" ht="61.949999999999996">
      <c r="A40" s="1516"/>
      <c r="B40" s="1516" t="s">
        <v>159</v>
      </c>
      <c r="C40" s="1516" t="s">
        <v>160</v>
      </c>
      <c r="D40" s="1516" t="s">
        <v>161</v>
      </c>
      <c r="E40" s="1510" t="s">
        <v>459</v>
      </c>
      <c r="F40" s="1510" t="s">
        <v>460</v>
      </c>
      <c r="G40" s="1510" t="s">
        <v>461</v>
      </c>
      <c r="H40" s="1510"/>
      <c r="I40" s="1510" t="s">
        <v>512</v>
      </c>
      <c r="J40" s="1510" t="s">
        <v>464</v>
      </c>
      <c r="K40" s="1510" t="s">
        <v>513</v>
      </c>
      <c r="L40" s="1510" t="s">
        <v>440</v>
      </c>
      <c r="Q40" s="522"/>
      <c r="R40" s="522"/>
      <c r="S40" s="2432"/>
      <c r="T40" s="2368"/>
      <c r="U40" s="448"/>
      <c r="V40" s="2525"/>
      <c r="W40" s="2524"/>
      <c r="X40" s="2126" t="s">
        <v>560</v>
      </c>
      <c r="Y40" s="2126" t="s">
        <v>561</v>
      </c>
      <c r="Z40" s="2524"/>
      <c r="AA40" s="2126" t="s">
        <v>562</v>
      </c>
      <c r="AB40" s="2126" t="s">
        <v>563</v>
      </c>
      <c r="AC40" s="1635" t="s">
        <v>468</v>
      </c>
      <c r="AD40" s="2429" t="s">
        <v>469</v>
      </c>
      <c r="AE40" s="2430"/>
      <c r="AF40" s="2438"/>
      <c r="AG40" s="2525"/>
      <c r="AH40" s="2524"/>
      <c r="AI40" s="2126" t="s">
        <v>560</v>
      </c>
      <c r="AJ40" s="2126" t="s">
        <v>561</v>
      </c>
      <c r="AK40" s="2524"/>
      <c r="AL40" s="2126" t="s">
        <v>562</v>
      </c>
      <c r="AM40" s="2126" t="s">
        <v>563</v>
      </c>
      <c r="AN40" s="1635" t="s">
        <v>468</v>
      </c>
      <c r="AO40" s="2429" t="s">
        <v>469</v>
      </c>
      <c r="AP40" s="2430"/>
      <c r="AQ40" s="2438"/>
      <c r="AR40" s="2441"/>
      <c r="AS40" s="2286"/>
      <c r="AY40" s="1301">
        <v>59</v>
      </c>
    </row>
    <row s="6314" customFormat="1" customHeight="1" ht="11.25" hidden="1">
      <c r="A41" s="1516"/>
      <c r="B41" s="1516"/>
      <c r="C41" s="1516"/>
      <c r="D41" s="1516"/>
      <c r="E41" s="1516"/>
      <c r="F41" s="1516"/>
      <c r="G41" s="1516"/>
      <c r="H41" s="1516"/>
      <c r="I41" s="1516"/>
      <c r="J41" s="1516"/>
      <c r="K41" s="1516"/>
      <c r="L41" s="1510"/>
      <c r="M41" s="1508"/>
      <c r="N41" s="1508"/>
      <c r="O41" s="1508"/>
      <c r="P41" s="1392"/>
      <c r="Q41" s="1393"/>
      <c r="R41" s="1400">
        <v>1</v>
      </c>
      <c r="S41" s="1423" t="s">
        <v>121</v>
      </c>
      <c r="T41" s="1401" t="s">
        <v>105</v>
      </c>
      <c r="U41" s="1391" t="str">
        <f>OFFSET(U41,0,-1)</f>
        <v>2</v>
      </c>
      <c r="V41" s="1628">
        <f>OFFSET(V41,0,-1)+1</f>
        <v>3</v>
      </c>
      <c r="W41" s="1487"/>
      <c r="X41" s="1487"/>
      <c r="Y41" s="1487"/>
      <c r="Z41" s="1487"/>
      <c r="AA41" s="1487"/>
      <c r="AB41" s="1487"/>
      <c r="AC41" s="1628">
        <f>OFFSET(AC41,0,-1)+1</f>
        <v>1</v>
      </c>
      <c r="AD41" s="2431">
        <f>OFFSET(AD41,0,-1)+1</f>
        <v>2</v>
      </c>
      <c r="AE41" s="2431"/>
      <c r="AF41" s="1628">
        <f>OFFSET(AF41,0,-2)+1</f>
        <v>3</v>
      </c>
      <c r="AG41" s="1628">
        <f>OFFSET(AG41,0,-1)+1</f>
        <v>4</v>
      </c>
      <c r="AH41" s="2099"/>
      <c r="AI41" s="2099"/>
      <c r="AJ41" s="2099"/>
      <c r="AK41" s="2099"/>
      <c r="AL41" s="2099"/>
      <c r="AM41" s="1628">
        <f>OFFSET(AM41,0,-1)+1</f>
        <v>1</v>
      </c>
      <c r="AN41" s="1628">
        <f>OFFSET(AN41,0,-1)+1</f>
        <v>2</v>
      </c>
      <c r="AO41" s="2431">
        <f>OFFSET(AO41,0,-1)+1</f>
        <v>3</v>
      </c>
      <c r="AP41" s="2431"/>
      <c r="AQ41" s="1628">
        <f>OFFSET(AQ41,0,-2)+1</f>
        <v>4</v>
      </c>
      <c r="AR41" s="1391">
        <f>OFFSET(AR41,0,-1)</f>
        <v>4</v>
      </c>
      <c r="AS41" s="1628">
        <f>OFFSET(AS41,0,-1)+1</f>
        <v>5</v>
      </c>
      <c r="AT41" s="657"/>
      <c r="AU41" s="657"/>
      <c r="AV41" s="657"/>
      <c r="AW41" s="657"/>
      <c r="AX41" s="657"/>
      <c r="AY41" s="642">
        <v>0</v>
      </c>
    </row>
    <row customHeight="1" ht="24">
      <c r="A42" s="1509" t="s">
        <v>273</v>
      </c>
      <c r="B42" s="1509"/>
      <c r="C42" s="1509"/>
      <c r="D42" s="1509"/>
      <c r="E42" s="2417">
        <v>1</v>
      </c>
      <c r="F42" s="1509"/>
      <c r="G42" s="1509"/>
      <c r="H42" s="1509"/>
      <c r="I42" s="1509"/>
      <c r="J42" s="1509"/>
      <c r="K42" s="1509"/>
      <c r="L42" s="1510"/>
      <c r="M42" s="1511"/>
      <c r="N42" s="1511"/>
      <c r="O42" s="1511"/>
      <c r="P42" s="507"/>
      <c r="Q42" s="506"/>
      <c r="R42" s="501"/>
      <c r="S42" s="1639">
        <f>INDEX(PT_DIFFERENTIATION_NUM_NTAR,MATCH(A42,PT_DIFFERENTIATION_NTAR_ID,0))</f>
        <v>0</v>
      </c>
      <c r="T42" s="444" t="s">
        <v>147</v>
      </c>
      <c r="U42" s="446"/>
      <c r="V42" s="2401"/>
      <c r="W42" s="2402"/>
      <c r="X42" s="2402"/>
      <c r="Y42" s="2402"/>
      <c r="Z42" s="2402"/>
      <c r="AA42" s="2402"/>
      <c r="AB42" s="2402"/>
      <c r="AC42" s="2402"/>
      <c r="AD42" s="2402"/>
      <c r="AE42" s="2402"/>
      <c r="AF42" s="2403"/>
      <c r="AG42" s="2401" t="str">
        <f>INDEX(PT_DIFFERENTIATION_NTAR,MATCH(A42,PT_DIFFERENTIATION_NTAR_ID,0))</f>
        <v/>
      </c>
      <c r="AH42" s="2402"/>
      <c r="AI42" s="2402"/>
      <c r="AJ42" s="2402"/>
      <c r="AK42" s="2402"/>
      <c r="AL42" s="2402"/>
      <c r="AM42" s="2402"/>
      <c r="AN42" s="2402"/>
      <c r="AO42" s="2402"/>
      <c r="AP42" s="2402"/>
      <c r="AQ42" s="2402"/>
      <c r="AR42" s="2403"/>
      <c r="AS4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46"/>
      <c r="AV42" s="646" t="str">
        <f>IF(T42="","",T42)</f>
        <v>Наименование тарифа</v>
      </c>
      <c r="AW42" s="646"/>
      <c r="AX42" s="646"/>
      <c r="AY42" s="1301">
        <v>23</v>
      </c>
    </row>
    <row customHeight="1" ht="24">
      <c r="A43" s="1509" t="s">
        <v>273</v>
      </c>
      <c r="B43" s="1509" t="s">
        <v>274</v>
      </c>
      <c r="C43" s="1509"/>
      <c r="D43" s="1509"/>
      <c r="E43" s="2418"/>
      <c r="F43" s="2417">
        <v>1</v>
      </c>
      <c r="G43" s="1509"/>
      <c r="H43" s="1509"/>
      <c r="I43" s="1509"/>
      <c r="J43" s="1509"/>
      <c r="K43" s="1509"/>
      <c r="L43" s="1510"/>
      <c r="M43" s="1511"/>
      <c r="N43" s="1511"/>
      <c r="O43" s="1511"/>
      <c r="P43" s="1633"/>
      <c r="Q43" s="498"/>
      <c r="R43" s="499"/>
      <c r="S43" s="1639" t="str">
        <f>INDEX(PT_DIFFERENTIATION_NUM_TER,MATCH(B43,PT_DIFFERENTIATION_TER_ID,0))</f>
        <v>.</v>
      </c>
      <c r="T43" s="454" t="s">
        <v>419</v>
      </c>
      <c r="U43" s="446"/>
      <c r="V43" s="2401"/>
      <c r="W43" s="2402"/>
      <c r="X43" s="2402"/>
      <c r="Y43" s="2402"/>
      <c r="Z43" s="2402"/>
      <c r="AA43" s="2402"/>
      <c r="AB43" s="2402"/>
      <c r="AC43" s="2402"/>
      <c r="AD43" s="2402"/>
      <c r="AE43" s="2402"/>
      <c r="AF43" s="2403"/>
      <c r="AG43" s="2401" t="str">
        <f>INDEX(PT_DIFFERENTIATION_TER,MATCH(B43,PT_DIFFERENTIATION_TER_ID,0))</f>
        <v/>
      </c>
      <c r="AH43" s="2402"/>
      <c r="AI43" s="2402"/>
      <c r="AJ43" s="2402"/>
      <c r="AK43" s="2402"/>
      <c r="AL43" s="2402"/>
      <c r="AM43" s="2402"/>
      <c r="AN43" s="2402"/>
      <c r="AO43" s="2402"/>
      <c r="AP43" s="2402"/>
      <c r="AQ43" s="2402"/>
      <c r="AR43" s="2403"/>
      <c r="AS43" s="1404" t="s">
        <v>420</v>
      </c>
      <c r="AU43" s="646"/>
      <c r="AV43" s="646" t="str">
        <f>IF(T43="","",T43)</f>
        <v>Территория действия тарифа</v>
      </c>
      <c r="AW43" s="646"/>
      <c r="AX43" s="646"/>
      <c r="AY43" s="1301">
        <v>23</v>
      </c>
    </row>
    <row customHeight="1" ht="24">
      <c r="A44" s="1509" t="s">
        <v>273</v>
      </c>
      <c r="B44" s="1509" t="s">
        <v>274</v>
      </c>
      <c r="C44" s="1509" t="s">
        <v>275</v>
      </c>
      <c r="D44" s="1509"/>
      <c r="E44" s="2418"/>
      <c r="F44" s="2418"/>
      <c r="G44" s="2417">
        <v>1</v>
      </c>
      <c r="H44" s="1509"/>
      <c r="I44" s="1509"/>
      <c r="J44" s="1509"/>
      <c r="K44" s="1509"/>
      <c r="L44" s="1510"/>
      <c r="M44" s="1511"/>
      <c r="N44" s="1511"/>
      <c r="O44" s="1511"/>
      <c r="P44" s="500"/>
      <c r="Q44" s="498"/>
      <c r="R44" s="499"/>
      <c r="S44" s="1639" t="str">
        <f>INDEX(PT_DIFFERENTIATION_NUM_CS,MATCH(C44,PT_DIFFERENTIATION_CS_ID,0))</f>
        <v>..</v>
      </c>
      <c r="T44" s="455" t="s">
        <v>552</v>
      </c>
      <c r="U44" s="446"/>
      <c r="V44" s="2401"/>
      <c r="W44" s="2402"/>
      <c r="X44" s="2402"/>
      <c r="Y44" s="2402"/>
      <c r="Z44" s="2402"/>
      <c r="AA44" s="2402"/>
      <c r="AB44" s="2402"/>
      <c r="AC44" s="2402"/>
      <c r="AD44" s="2402"/>
      <c r="AE44" s="2402"/>
      <c r="AF44" s="2403"/>
      <c r="AG44" s="2401" t="str">
        <f>INDEX(PT_DIFFERENTIATION_CS,MATCH(C44,PT_DIFFERENTIATION_CS_ID,0))</f>
        <v/>
      </c>
      <c r="AH44" s="2402"/>
      <c r="AI44" s="2402"/>
      <c r="AJ44" s="2402"/>
      <c r="AK44" s="2402"/>
      <c r="AL44" s="2402"/>
      <c r="AM44" s="2402"/>
      <c r="AN44" s="2402"/>
      <c r="AO44" s="2402"/>
      <c r="AP44" s="2402"/>
      <c r="AQ44" s="2402"/>
      <c r="AR44" s="2403"/>
      <c r="AS44" s="1404" t="s">
        <v>553</v>
      </c>
      <c r="AU44" s="646"/>
      <c r="AV44" s="646" t="str">
        <f>IF(T44="","",T44)</f>
        <v>Наименование централизованной системы горячего водоснабжения</v>
      </c>
      <c r="AW44" s="646"/>
      <c r="AX44" s="646"/>
      <c r="AY44" s="1301">
        <v>23</v>
      </c>
    </row>
    <row customHeight="1" ht="24">
      <c r="A45" s="1509" t="s">
        <v>273</v>
      </c>
      <c r="B45" s="1509" t="s">
        <v>274</v>
      </c>
      <c r="C45" s="1509" t="s">
        <v>275</v>
      </c>
      <c r="D45" s="1509" t="s">
        <v>564</v>
      </c>
      <c r="E45" s="2418"/>
      <c r="F45" s="2418"/>
      <c r="G45" s="2418"/>
      <c r="H45" s="2418"/>
      <c r="I45" s="2415" t="str">
        <f>S44&amp;".1"</f>
        <v>...1</v>
      </c>
      <c r="J45" s="1509"/>
      <c r="K45" s="1509"/>
      <c r="L45" s="1510"/>
      <c r="P45" s="2416">
        <v>1</v>
      </c>
      <c r="Q45" s="1627"/>
      <c r="R45" s="502"/>
      <c r="S45" s="1639" t="str">
        <f>$I45</f>
        <v>...1</v>
      </c>
      <c r="T45" s="431" t="s">
        <v>505</v>
      </c>
      <c r="U45" s="446"/>
      <c r="V45" s="2509"/>
      <c r="W45" s="2510"/>
      <c r="X45" s="2510"/>
      <c r="Y45" s="2510"/>
      <c r="Z45" s="2510"/>
      <c r="AA45" s="2510"/>
      <c r="AB45" s="2510"/>
      <c r="AC45" s="2510"/>
      <c r="AD45" s="2510"/>
      <c r="AE45" s="2510"/>
      <c r="AF45" s="2511"/>
      <c r="AG45" s="2512"/>
      <c r="AH45" s="2513"/>
      <c r="AI45" s="2513"/>
      <c r="AJ45" s="2513"/>
      <c r="AK45" s="2513"/>
      <c r="AL45" s="2513"/>
      <c r="AM45" s="2513"/>
      <c r="AN45" s="2513"/>
      <c r="AO45" s="2513"/>
      <c r="AP45" s="2513"/>
      <c r="AQ45" s="2513"/>
      <c r="AR45" s="2514"/>
      <c r="AS45" s="1404" t="s">
        <v>506</v>
      </c>
      <c r="AU45" s="646"/>
      <c r="AV45" s="646" t="str">
        <f>IF(T45="","",T45)</f>
        <v>Наименование признака дифференциации</v>
      </c>
      <c r="AW45" s="646"/>
      <c r="AX45" s="646"/>
      <c r="AY45" s="1301">
        <v>23</v>
      </c>
    </row>
    <row customHeight="1" ht="24">
      <c r="A46" s="1509" t="s">
        <v>273</v>
      </c>
      <c r="B46" s="1509" t="s">
        <v>274</v>
      </c>
      <c r="C46" s="1509" t="s">
        <v>275</v>
      </c>
      <c r="D46" s="1509" t="s">
        <v>564</v>
      </c>
      <c r="E46" s="2418"/>
      <c r="F46" s="2418"/>
      <c r="G46" s="2418"/>
      <c r="H46" s="2418"/>
      <c r="I46" s="2445"/>
      <c r="J46" s="2415" t="str">
        <f>I45&amp;".1"</f>
        <v>...1.1</v>
      </c>
      <c r="K46" s="1509"/>
      <c r="L46" s="1510" t="s">
        <v>428</v>
      </c>
      <c r="P46" s="2416"/>
      <c r="Q46" s="2416">
        <v>1</v>
      </c>
      <c r="R46" s="503"/>
      <c r="S46" s="1639" t="str">
        <f>$J46</f>
        <v>...1.1</v>
      </c>
      <c r="T46" s="432" t="s">
        <v>429</v>
      </c>
      <c r="U46" s="446"/>
      <c r="V46" s="2404"/>
      <c r="W46" s="2405"/>
      <c r="X46" s="2405"/>
      <c r="Y46" s="2405"/>
      <c r="Z46" s="2405"/>
      <c r="AA46" s="2405"/>
      <c r="AB46" s="2405"/>
      <c r="AC46" s="2405"/>
      <c r="AD46" s="2405"/>
      <c r="AE46" s="2405"/>
      <c r="AF46" s="2406"/>
      <c r="AG46" s="2404"/>
      <c r="AH46" s="2405"/>
      <c r="AI46" s="2405"/>
      <c r="AJ46" s="2405"/>
      <c r="AK46" s="2405"/>
      <c r="AL46" s="2405"/>
      <c r="AM46" s="2405"/>
      <c r="AN46" s="2405"/>
      <c r="AO46" s="2405"/>
      <c r="AP46" s="2405"/>
      <c r="AQ46" s="2405"/>
      <c r="AR46" s="2406"/>
      <c r="AS46" s="1453" t="s">
        <v>507</v>
      </c>
      <c r="AU46" s="646"/>
      <c r="AV46" s="646" t="str">
        <f>IF(T46="","",T46)</f>
        <v>Группа потребителей</v>
      </c>
      <c r="AW46" s="646"/>
      <c r="AX46" s="646"/>
      <c r="AY46" s="1301">
        <v>23</v>
      </c>
    </row>
    <row customHeight="1" ht="24">
      <c r="A47" s="1509" t="s">
        <v>273</v>
      </c>
      <c r="B47" s="1509" t="s">
        <v>274</v>
      </c>
      <c r="C47" s="1509" t="s">
        <v>275</v>
      </c>
      <c r="D47" s="1509" t="s">
        <v>564</v>
      </c>
      <c r="E47" s="2418"/>
      <c r="F47" s="2418"/>
      <c r="G47" s="2418"/>
      <c r="H47" s="2418"/>
      <c r="I47" s="2445"/>
      <c r="J47" s="2445"/>
      <c r="K47" s="2415" t="str">
        <f>J46&amp;".1"</f>
        <v>...1.1.1</v>
      </c>
      <c r="L47" s="1510"/>
      <c r="P47" s="2416"/>
      <c r="Q47" s="2416"/>
      <c r="R47" s="503">
        <v>1</v>
      </c>
      <c r="S47" s="1639" t="str">
        <f>$K47</f>
        <v>...1.1.1</v>
      </c>
      <c r="T47" s="1583"/>
      <c r="U47" s="446"/>
      <c r="V47" s="897"/>
      <c r="W47" s="897"/>
      <c r="X47" s="897"/>
      <c r="Y47" s="897"/>
      <c r="Z47" s="897"/>
      <c r="AA47" s="897"/>
      <c r="AB47" s="897"/>
      <c r="AC47" s="2426"/>
      <c r="AD47" s="2427" t="s">
        <v>63</v>
      </c>
      <c r="AE47" s="2426"/>
      <c r="AF47" s="2427" t="s">
        <v>63</v>
      </c>
      <c r="AG47" s="897"/>
      <c r="AH47" s="897"/>
      <c r="AI47" s="897"/>
      <c r="AJ47" s="897"/>
      <c r="AK47" s="897"/>
      <c r="AL47" s="897"/>
      <c r="AM47" s="897"/>
      <c r="AN47" s="2424"/>
      <c r="AO47" s="2266" t="s">
        <v>63</v>
      </c>
      <c r="AP47" s="2446"/>
      <c r="AQ47" s="2266" t="s">
        <v>19</v>
      </c>
      <c r="AR47" s="1584"/>
      <c r="AS4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7">
        <f>STRCHECKDATE(V48:AR48)</f>
      </c>
      <c r="AU47" s="646"/>
      <c r="AV47" s="646" t="str">
        <f>IF(T47="","",T47)</f>
        <v/>
      </c>
      <c r="AW47" s="646"/>
      <c r="AX47" s="646"/>
      <c r="AY47" s="1301">
        <v>23</v>
      </c>
    </row>
    <row customHeight="1" ht="0">
      <c r="A48" s="1509" t="s">
        <v>273</v>
      </c>
      <c r="B48" s="1509" t="s">
        <v>274</v>
      </c>
      <c r="C48" s="1509" t="s">
        <v>275</v>
      </c>
      <c r="D48" s="1509" t="s">
        <v>564</v>
      </c>
      <c r="E48" s="2418"/>
      <c r="F48" s="2418"/>
      <c r="G48" s="2418"/>
      <c r="H48" s="2418"/>
      <c r="I48" s="2445"/>
      <c r="J48" s="2445"/>
      <c r="K48" s="2415"/>
      <c r="L48" s="1510"/>
      <c r="P48" s="2416"/>
      <c r="Q48" s="2416"/>
      <c r="R48" s="503"/>
      <c r="S48" s="1636"/>
      <c r="T48" s="446"/>
      <c r="U48" s="446"/>
      <c r="V48" s="1506"/>
      <c r="W48" s="1506"/>
      <c r="X48" s="1506"/>
      <c r="Y48" s="1506"/>
      <c r="Z48" s="1506"/>
      <c r="AA48" s="1506"/>
      <c r="AB48" s="1506"/>
      <c r="AC48" s="2427"/>
      <c r="AD48" s="2427"/>
      <c r="AE48" s="2427"/>
      <c r="AF48" s="2427"/>
      <c r="AG48" s="471"/>
      <c r="AH48" s="471"/>
      <c r="AI48" s="471"/>
      <c r="AJ48" s="471"/>
      <c r="AK48" s="471"/>
      <c r="AL48" s="471"/>
      <c r="AM48" s="471"/>
      <c r="AN48" s="2425"/>
      <c r="AO48" s="2266"/>
      <c r="AP48" s="2447"/>
      <c r="AQ48" s="2266"/>
      <c r="AR48" s="1585"/>
      <c r="AS48" s="2508"/>
      <c r="AU48" s="646"/>
      <c r="AV48" s="646" t="str">
        <f>IF(T48="","",T48)</f>
        <v/>
      </c>
      <c r="AW48" s="646"/>
      <c r="AX48" s="646"/>
      <c r="AY48" s="1301">
        <v>0</v>
      </c>
    </row>
    <row customHeight="1" ht="21">
      <c r="A49" s="1509" t="s">
        <v>273</v>
      </c>
      <c r="B49" s="1509" t="s">
        <v>274</v>
      </c>
      <c r="C49" s="1509" t="s">
        <v>275</v>
      </c>
      <c r="D49" s="1509" t="s">
        <v>564</v>
      </c>
      <c r="E49" s="2418"/>
      <c r="F49" s="2418"/>
      <c r="G49" s="2418"/>
      <c r="H49" s="2418"/>
      <c r="I49" s="2445"/>
      <c r="J49" s="2415"/>
      <c r="K49" s="1509"/>
      <c r="L49" s="1510"/>
      <c r="P49" s="2416"/>
      <c r="Q49" s="2416"/>
      <c r="R49" s="502"/>
      <c r="S49" s="1424"/>
      <c r="T49" s="433" t="s">
        <v>508</v>
      </c>
      <c r="U49" s="513"/>
      <c r="V49" s="513"/>
      <c r="W49" s="746"/>
      <c r="X49" s="746"/>
      <c r="Y49" s="746"/>
      <c r="Z49" s="746"/>
      <c r="AA49" s="746"/>
      <c r="AB49" s="746"/>
      <c r="AC49" s="513"/>
      <c r="AD49" s="513"/>
      <c r="AE49" s="513"/>
      <c r="AF49" s="513"/>
      <c r="AG49" s="513"/>
      <c r="AH49" s="746"/>
      <c r="AI49" s="746"/>
      <c r="AJ49" s="746"/>
      <c r="AK49" s="746"/>
      <c r="AL49" s="746"/>
      <c r="AM49" s="513"/>
      <c r="AN49" s="513"/>
      <c r="AO49" s="513"/>
      <c r="AP49" s="513"/>
      <c r="AQ49" s="513"/>
      <c r="AR49" s="513"/>
      <c r="AS49" s="1404" t="s">
        <v>509</v>
      </c>
      <c r="AU49" s="646"/>
      <c r="AV49" s="646" t="str">
        <f>IF(T49="","",T49)</f>
        <v>Добавить значение признака дифференциации</v>
      </c>
      <c r="AW49" s="646"/>
      <c r="AX49" s="646"/>
      <c r="AY49" s="1301">
        <v>20</v>
      </c>
    </row>
    <row customHeight="1" ht="22.049999999999997">
      <c r="A50" s="1509" t="s">
        <v>273</v>
      </c>
      <c r="B50" s="1509" t="s">
        <v>274</v>
      </c>
      <c r="C50" s="1509" t="s">
        <v>275</v>
      </c>
      <c r="D50" s="1509" t="s">
        <v>564</v>
      </c>
      <c r="E50" s="2418"/>
      <c r="F50" s="2418"/>
      <c r="G50" s="2418"/>
      <c r="H50" s="2418"/>
      <c r="I50" s="2415"/>
      <c r="J50" s="1509"/>
      <c r="K50" s="1509"/>
      <c r="L50" s="1510"/>
      <c r="P50" s="2416"/>
      <c r="Q50" s="1627"/>
      <c r="R50" s="502"/>
      <c r="S50" s="1424"/>
      <c r="T50" s="511" t="s">
        <v>434</v>
      </c>
      <c r="U50" s="513"/>
      <c r="V50" s="513"/>
      <c r="W50" s="746"/>
      <c r="X50" s="746"/>
      <c r="Y50" s="746"/>
      <c r="Z50" s="746"/>
      <c r="AA50" s="746"/>
      <c r="AB50" s="746"/>
      <c r="AC50" s="513"/>
      <c r="AD50" s="513"/>
      <c r="AE50" s="513"/>
      <c r="AF50" s="512"/>
      <c r="AG50" s="513"/>
      <c r="AH50" s="746"/>
      <c r="AI50" s="746"/>
      <c r="AJ50" s="746"/>
      <c r="AK50" s="746"/>
      <c r="AL50" s="746"/>
      <c r="AM50" s="513"/>
      <c r="AN50" s="513"/>
      <c r="AO50" s="513"/>
      <c r="AP50" s="513"/>
      <c r="AQ50" s="512"/>
      <c r="AR50" s="513"/>
      <c r="AS50" s="1586"/>
      <c r="AU50" s="646"/>
      <c r="AV50" s="646" t="str">
        <f>IF(T50="","",T50)</f>
        <v>Добавить группу потребителей</v>
      </c>
      <c r="AW50" s="646"/>
      <c r="AX50" s="646"/>
      <c r="AY50" s="1301">
        <v>21</v>
      </c>
    </row>
    <row customHeight="1" ht="22.049999999999997">
      <c r="A51" s="1509" t="s">
        <v>273</v>
      </c>
      <c r="B51" s="1509" t="s">
        <v>274</v>
      </c>
      <c r="C51" s="1509" t="s">
        <v>275</v>
      </c>
      <c r="D51" s="1509" t="s">
        <v>564</v>
      </c>
      <c r="E51" s="2418"/>
      <c r="F51" s="2418"/>
      <c r="G51" s="2418"/>
      <c r="H51" s="2417"/>
      <c r="I51" s="1509"/>
      <c r="J51" s="1509"/>
      <c r="K51" s="1509"/>
      <c r="L51" s="1510"/>
      <c r="M51" s="1511"/>
      <c r="N51" s="1511"/>
      <c r="O51" s="683"/>
      <c r="P51" s="506"/>
      <c r="Q51" s="521"/>
      <c r="R51" s="501"/>
      <c r="S51" s="1424"/>
      <c r="T51" s="518" t="s">
        <v>510</v>
      </c>
      <c r="U51" s="513"/>
      <c r="V51" s="513"/>
      <c r="W51" s="746"/>
      <c r="X51" s="746"/>
      <c r="Y51" s="746"/>
      <c r="Z51" s="746"/>
      <c r="AA51" s="746"/>
      <c r="AB51" s="746"/>
      <c r="AC51" s="513"/>
      <c r="AD51" s="513"/>
      <c r="AE51" s="513"/>
      <c r="AF51" s="512"/>
      <c r="AG51" s="513"/>
      <c r="AH51" s="746"/>
      <c r="AI51" s="746"/>
      <c r="AJ51" s="746"/>
      <c r="AK51" s="746"/>
      <c r="AL51" s="746"/>
      <c r="AM51" s="513"/>
      <c r="AN51" s="513"/>
      <c r="AO51" s="513"/>
      <c r="AP51" s="513"/>
      <c r="AQ51" s="512"/>
      <c r="AR51" s="513"/>
      <c r="AS51" s="449"/>
      <c r="AU51" s="646"/>
      <c r="AV51" s="646" t="str">
        <f>IF(T51="","",T51)</f>
        <v>Добавить наименование признака дифференциации</v>
      </c>
      <c r="AW51" s="646"/>
      <c r="AX51" s="646"/>
      <c r="AY51" s="1301">
        <v>21</v>
      </c>
    </row>
    <row s="6720" customFormat="1" customHeight="1" ht="0">
      <c r="A52" s="1489" t="s">
        <v>273</v>
      </c>
      <c r="B52" s="1489" t="s">
        <v>274</v>
      </c>
      <c r="C52" s="1460"/>
      <c r="D52" s="1460"/>
      <c r="E52" s="2418"/>
      <c r="F52" s="2417"/>
      <c r="G52" s="1460"/>
      <c r="H52" s="1460"/>
      <c r="I52" s="1460"/>
      <c r="J52" s="1460"/>
      <c r="K52" s="1460"/>
      <c r="L52" s="1640"/>
      <c r="M52" s="1467"/>
      <c r="N52" s="1467"/>
      <c r="P52" s="1462"/>
      <c r="Q52" s="1463"/>
      <c r="R52" s="1462"/>
      <c r="S52" s="1468"/>
      <c r="T52" s="1471" t="s">
        <v>437</v>
      </c>
      <c r="U52" s="1470"/>
      <c r="V52" s="1470"/>
      <c r="W52" s="1470"/>
      <c r="X52" s="1470"/>
      <c r="Y52" s="1470"/>
      <c r="Z52" s="1470"/>
      <c r="AA52" s="1470"/>
      <c r="AB52" s="1470"/>
      <c r="AC52" s="1470"/>
      <c r="AD52" s="1470"/>
      <c r="AE52" s="1470"/>
      <c r="AF52" s="1470"/>
      <c r="AG52" s="1470"/>
      <c r="AH52" s="1470"/>
      <c r="AI52" s="1470"/>
      <c r="AJ52" s="1470"/>
      <c r="AK52" s="1470"/>
      <c r="AL52" s="1470"/>
      <c r="AM52" s="1470"/>
      <c r="AN52" s="1470"/>
      <c r="AO52" s="1470"/>
      <c r="AP52" s="1470"/>
      <c r="AQ52" s="1470"/>
      <c r="AR52" s="1470"/>
      <c r="AS52" s="1470"/>
      <c r="AU52" s="935"/>
      <c r="AV52" s="935" t="str">
        <f>IF(T52="","",T52)</f>
        <v>Добавить централизованную систему для дифференциации</v>
      </c>
      <c r="AW52" s="935"/>
      <c r="AX52" s="935"/>
      <c r="AY52" s="664">
        <v>0</v>
      </c>
    </row>
    <row s="6720" customFormat="1" customHeight="1" ht="0">
      <c r="A53" s="1489" t="s">
        <v>273</v>
      </c>
      <c r="B53" s="1489"/>
      <c r="C53" s="1489"/>
      <c r="D53" s="1489"/>
      <c r="E53" s="2417"/>
      <c r="F53" s="1489"/>
      <c r="G53" s="1489"/>
      <c r="H53" s="1489"/>
      <c r="I53" s="1489"/>
      <c r="J53" s="1489"/>
      <c r="K53" s="1489"/>
      <c r="L53" s="1492"/>
      <c r="M53" s="1467"/>
      <c r="N53" s="1467"/>
      <c r="O53" s="664"/>
      <c r="P53" s="526"/>
      <c r="Q53" s="1490"/>
      <c r="R53" s="526"/>
      <c r="S53" s="1468"/>
      <c r="T53" s="1471" t="s">
        <v>438</v>
      </c>
      <c r="U53" s="1470"/>
      <c r="V53" s="1470"/>
      <c r="W53" s="1470"/>
      <c r="X53" s="1470"/>
      <c r="Y53" s="1470"/>
      <c r="Z53" s="1470"/>
      <c r="AA53" s="1470"/>
      <c r="AB53" s="1470"/>
      <c r="AC53" s="1470"/>
      <c r="AD53" s="1470"/>
      <c r="AE53" s="1470"/>
      <c r="AF53" s="1470"/>
      <c r="AG53" s="1470"/>
      <c r="AH53" s="1470"/>
      <c r="AI53" s="1470"/>
      <c r="AJ53" s="1470"/>
      <c r="AK53" s="1470"/>
      <c r="AL53" s="1470"/>
      <c r="AM53" s="1470"/>
      <c r="AN53" s="1470"/>
      <c r="AO53" s="1470"/>
      <c r="AP53" s="1470"/>
      <c r="AQ53" s="1470"/>
      <c r="AR53" s="1470"/>
      <c r="AS53" s="1470"/>
      <c r="AU53" s="646"/>
      <c r="AV53" s="646" t="str">
        <f>IF(T53="","",T53)</f>
        <v>Добавить территорию для дифференциации</v>
      </c>
      <c r="AW53" s="646"/>
      <c r="AX53" s="646"/>
      <c r="AY53" s="657">
        <v>0</v>
      </c>
    </row>
    <row s="6720" customFormat="1" customHeight="1" ht="0">
      <c r="A54" s="1460"/>
      <c r="B54" s="1460"/>
      <c r="C54" s="1460"/>
      <c r="D54" s="1460"/>
      <c r="E54" s="1489"/>
      <c r="F54" s="1460"/>
      <c r="G54" s="1460"/>
      <c r="H54" s="1460"/>
      <c r="I54" s="1460"/>
      <c r="J54" s="1460"/>
      <c r="K54" s="1460"/>
      <c r="L54" s="1640"/>
      <c r="M54" s="1467"/>
      <c r="N54" s="1467"/>
      <c r="P54" s="1462"/>
      <c r="Q54" s="1463"/>
      <c r="R54" s="1462"/>
      <c r="S54" s="1468"/>
      <c r="T54" s="1471" t="s">
        <v>470</v>
      </c>
      <c r="U54" s="1470"/>
      <c r="V54" s="1470"/>
      <c r="W54" s="1470"/>
      <c r="X54" s="1470"/>
      <c r="Y54" s="1470"/>
      <c r="Z54" s="1470"/>
      <c r="AA54" s="1470"/>
      <c r="AB54" s="1470"/>
      <c r="AC54" s="1470"/>
      <c r="AD54" s="1470"/>
      <c r="AE54" s="1470"/>
      <c r="AF54" s="1470"/>
      <c r="AG54" s="1470"/>
      <c r="AH54" s="1470"/>
      <c r="AI54" s="1470"/>
      <c r="AJ54" s="1470"/>
      <c r="AK54" s="1470"/>
      <c r="AL54" s="1470"/>
      <c r="AM54" s="1470"/>
      <c r="AN54" s="1470"/>
      <c r="AO54" s="1470"/>
      <c r="AP54" s="1470"/>
      <c r="AQ54" s="1470"/>
      <c r="AR54" s="1470"/>
      <c r="AS54" s="1470"/>
      <c r="AU54" s="935"/>
      <c r="AV54" s="935" t="str">
        <f>IF(T54="","",T54)</f>
        <v>Добавить наименование тарифа</v>
      </c>
      <c r="AW54" s="935"/>
      <c r="AX54" s="935"/>
      <c r="AY54" s="664">
        <v>0</v>
      </c>
    </row>
    <row customHeight="1" ht="11.549999999999999">
      <c r="M55" s="1306"/>
      <c r="N55" s="1306"/>
      <c r="O55" s="683"/>
      <c r="P55" s="1301"/>
      <c r="Q55" s="1301"/>
      <c r="R55" s="1301"/>
      <c r="S55" s="1301"/>
      <c r="AT55" s="1301"/>
      <c r="AU55" s="1301"/>
      <c r="AV55" s="1301"/>
      <c r="AW55" s="1301"/>
      <c r="AX55" s="1301"/>
      <c r="AY55" s="1301">
        <v>11</v>
      </c>
    </row>
    <row customHeight="1" ht="14.699999999999998">
      <c r="O56" s="683"/>
      <c r="S56" s="1399"/>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c r="AS56" s="2444"/>
      <c r="AY56" s="1301">
        <v>14</v>
      </c>
    </row>
    <row customHeight="1" ht="14.699999999999998">
      <c r="O57" s="683"/>
      <c r="AY57" s="1301">
        <v>14</v>
      </c>
    </row>
    <row customHeight="1" ht="14.699999999999998">
      <c r="O58" s="683"/>
      <c r="S58" s="1399"/>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c r="AS58" s="2444"/>
      <c r="AY58" s="1301">
        <v>14</v>
      </c>
    </row>
    <row customHeight="1" ht="22.5" hidden="1">
      <c r="A59" s="1306" t="s">
        <v>83</v>
      </c>
      <c r="B59" s="1306">
        <v>0</v>
      </c>
      <c r="C59" s="1306">
        <v>0</v>
      </c>
      <c r="D59" s="1306">
        <v>0</v>
      </c>
      <c r="E59" s="1306">
        <v>0</v>
      </c>
      <c r="F59" s="1306">
        <v>0</v>
      </c>
      <c r="G59" s="1306">
        <v>0</v>
      </c>
      <c r="H59" s="1306">
        <v>0</v>
      </c>
      <c r="I59" s="1306">
        <v>0</v>
      </c>
      <c r="J59" s="1306">
        <v>0</v>
      </c>
      <c r="K59" s="1306">
        <v>0</v>
      </c>
      <c r="L59" s="1624">
        <v>0</v>
      </c>
      <c r="M59" s="1508">
        <v>0</v>
      </c>
      <c r="N59" s="1508">
        <v>0</v>
      </c>
      <c r="O59" s="1508">
        <v>0</v>
      </c>
      <c r="P59" s="1619">
        <v>3</v>
      </c>
      <c r="Q59" s="490">
        <v>3</v>
      </c>
      <c r="R59" s="490">
        <v>3</v>
      </c>
      <c r="S59" s="727">
        <v>12</v>
      </c>
      <c r="T59" s="1301">
        <v>35</v>
      </c>
      <c r="U59" s="1301">
        <v>0</v>
      </c>
      <c r="V59" s="1301">
        <v>0</v>
      </c>
      <c r="W59" s="1777">
        <v>0</v>
      </c>
      <c r="X59" s="1777">
        <v>0</v>
      </c>
      <c r="Y59" s="1777">
        <v>0</v>
      </c>
      <c r="Z59" s="1777">
        <v>0</v>
      </c>
      <c r="AA59" s="1777">
        <v>0</v>
      </c>
      <c r="AB59" s="1777">
        <v>0</v>
      </c>
      <c r="AC59" s="1301">
        <v>0</v>
      </c>
      <c r="AD59" s="1301">
        <v>0</v>
      </c>
      <c r="AE59" s="1301">
        <v>0</v>
      </c>
      <c r="AF59" s="1301">
        <v>0</v>
      </c>
      <c r="AG59" s="1301">
        <v>19</v>
      </c>
      <c r="AH59" s="1777">
        <v>19</v>
      </c>
      <c r="AI59" s="1777">
        <v>19</v>
      </c>
      <c r="AJ59" s="1777">
        <v>19</v>
      </c>
      <c r="AK59" s="1777">
        <v>19</v>
      </c>
      <c r="AL59" s="1777">
        <v>19</v>
      </c>
      <c r="AM59" s="1301">
        <v>19</v>
      </c>
      <c r="AN59" s="1301">
        <v>11</v>
      </c>
      <c r="AO59" s="1301">
        <v>3</v>
      </c>
      <c r="AP59" s="1301">
        <v>11</v>
      </c>
      <c r="AQ59" s="1301">
        <v>0</v>
      </c>
      <c r="AR59" s="1301">
        <v>4</v>
      </c>
      <c r="AS59" s="1301">
        <v>115</v>
      </c>
      <c r="AT59" s="657">
        <v>10</v>
      </c>
      <c r="AU59" s="657">
        <v>10</v>
      </c>
      <c r="AV59" s="657">
        <v>10</v>
      </c>
      <c r="AW59" s="657">
        <v>10</v>
      </c>
      <c r="AX59" s="657">
        <v>10</v>
      </c>
      <c r="AY59" s="1301">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BFAC93-3241-9D3E-715E-0.025BEC11}"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4.140625" hidden="1" customWidth="1"/>
    <col min="10" max="10" style="7180" width="9.8515625" hidden="1" customWidth="1"/>
    <col min="11" max="11" style="7180" width="14.7109375" hidden="1" customWidth="1"/>
    <col min="12" max="12" style="7918" width="19.140625" hidden="1" customWidth="1"/>
    <col min="13" max="14" style="6396" width="12.28125" hidden="1" customWidth="1"/>
    <col min="15" max="15" style="6396" width="23.421875" hidden="1" customWidth="1"/>
    <col min="16" max="16" style="7938" width="3.00390625" customWidth="1"/>
    <col min="17" max="18" style="7205" width="3.00390625" customWidth="1"/>
    <col min="19" max="19" style="7910" width="12.00390625" customWidth="1"/>
    <col min="20" max="20" style="7235" width="35.00390625" customWidth="1"/>
    <col min="21" max="21" style="7235" width="0.140625" customWidth="1"/>
    <col min="22" max="28" style="7235" width="19.7109375" hidden="1" customWidth="1"/>
    <col min="29" max="29" style="7235" width="11.7109375" hidden="1" customWidth="1"/>
    <col min="30" max="30" style="7235" width="3.7109375" hidden="1" customWidth="1"/>
    <col min="31" max="31" style="7235" width="11.7109375" hidden="1" customWidth="1"/>
    <col min="32" max="32" style="7235" width="8.57421875" hidden="1" customWidth="1"/>
    <col min="33" max="33" style="7235" width="19.7109375" customWidth="1"/>
    <col min="34" max="39" style="7235" width="19.00390625" customWidth="1"/>
    <col min="40" max="40" style="7235" width="11.00390625" customWidth="1"/>
    <col min="41" max="41" style="7235" width="3.7109375" customWidth="1"/>
    <col min="42" max="42" style="7235" width="11.00390625" customWidth="1"/>
    <col min="43" max="43" style="7235" width="8.57421875" hidden="1" customWidth="1"/>
    <col min="44" max="44" style="7235" width="4.00390625" customWidth="1"/>
    <col min="45" max="45" style="7235" width="115.00390625" customWidth="1"/>
    <col min="46" max="50" style="6720" width="10.00390625" customWidth="1"/>
    <col min="51" max="51" style="7235" width="10.57421875" hidden="1"/>
  </cols>
  <sheetData>
    <row customHeight="1" ht="22.5" hidden="1">
      <c r="AB1" s="473"/>
      <c r="AC1" s="473"/>
      <c r="AM1" s="473"/>
      <c r="AN1" s="473"/>
      <c r="AY1" s="1301" t="s">
        <v>14</v>
      </c>
    </row>
    <row customHeight="1" ht="23.25" hidden="1">
      <c r="A2" s="1509"/>
      <c r="B2" s="1509"/>
      <c r="C2" s="1509"/>
      <c r="D2" s="1509"/>
      <c r="E2" s="2417">
        <v>1</v>
      </c>
      <c r="F2" s="1509"/>
      <c r="G2" s="1509"/>
      <c r="H2" s="1509"/>
      <c r="I2" s="1509"/>
      <c r="J2" s="1509"/>
      <c r="K2" s="1509"/>
      <c r="L2" s="1510"/>
      <c r="M2" s="1511"/>
      <c r="N2" s="1511"/>
      <c r="O2" s="1511"/>
      <c r="P2" s="507"/>
      <c r="Q2" s="506"/>
      <c r="R2" s="501"/>
      <c r="S2" s="1639">
        <f>INDEX(PT_DIFFERENTIATION_NUM_NTAR,MATCH(A2,PT_DIFFERENTIATION_NTAR_ID,0))</f>
      </c>
      <c r="T2" s="444" t="s">
        <v>147</v>
      </c>
      <c r="U2" s="446"/>
      <c r="V2" s="2401"/>
      <c r="W2" s="2402"/>
      <c r="X2" s="2402"/>
      <c r="Y2" s="2402"/>
      <c r="Z2" s="2402"/>
      <c r="AA2" s="2402"/>
      <c r="AB2" s="2402"/>
      <c r="AC2" s="2402"/>
      <c r="AD2" s="2402"/>
      <c r="AE2" s="2402"/>
      <c r="AF2" s="2403"/>
      <c r="AG2" s="2401">
        <f>INDEX(PT_DIFFERENTIATION_NTAR,MATCH(A2,PT_DIFFERENTIATION_NTAR_ID,0))</f>
      </c>
      <c r="AH2" s="2402"/>
      <c r="AI2" s="2402"/>
      <c r="AJ2" s="2402"/>
      <c r="AK2" s="2402"/>
      <c r="AL2" s="2402"/>
      <c r="AM2" s="2402"/>
      <c r="AN2" s="2402"/>
      <c r="AO2" s="2402"/>
      <c r="AP2" s="2402"/>
      <c r="AQ2" s="2402"/>
      <c r="AR2" s="2403"/>
      <c r="AS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46"/>
      <c r="AV2" s="646" t="str">
        <f>IF(T2="","",T2)</f>
        <v>Наименование тарифа</v>
      </c>
      <c r="AW2" s="646"/>
      <c r="AX2" s="646"/>
      <c r="AY2" s="1301">
        <v>0</v>
      </c>
    </row>
    <row customHeight="1" ht="23.25" hidden="1">
      <c r="A3" s="1509"/>
      <c r="B3" s="1509"/>
      <c r="C3" s="1509"/>
      <c r="D3" s="1509"/>
      <c r="E3" s="2418"/>
      <c r="F3" s="2417">
        <v>1</v>
      </c>
      <c r="G3" s="1509"/>
      <c r="H3" s="1509"/>
      <c r="I3" s="1509"/>
      <c r="J3" s="1509"/>
      <c r="K3" s="1509"/>
      <c r="L3" s="1510"/>
      <c r="M3" s="1511"/>
      <c r="N3" s="1511"/>
      <c r="O3" s="1511"/>
      <c r="P3" s="1633"/>
      <c r="Q3" s="498"/>
      <c r="R3" s="499"/>
      <c r="S3" s="1639">
        <f>INDEX(PT_DIFFERENTIATION_NUM_TER,MATCH(B3,PT_DIFFERENTIATION_TER_ID,0))</f>
      </c>
      <c r="T3" s="454" t="s">
        <v>419</v>
      </c>
      <c r="U3" s="446"/>
      <c r="V3" s="2401"/>
      <c r="W3" s="2402"/>
      <c r="X3" s="2402"/>
      <c r="Y3" s="2402"/>
      <c r="Z3" s="2402"/>
      <c r="AA3" s="2402"/>
      <c r="AB3" s="2402"/>
      <c r="AC3" s="2402"/>
      <c r="AD3" s="2402"/>
      <c r="AE3" s="2402"/>
      <c r="AF3" s="2403"/>
      <c r="AG3" s="2401">
        <f>INDEX(PT_DIFFERENTIATION_TER,MATCH(B3,PT_DIFFERENTIATION_TER_ID,0))</f>
      </c>
      <c r="AH3" s="2402"/>
      <c r="AI3" s="2402"/>
      <c r="AJ3" s="2402"/>
      <c r="AK3" s="2402"/>
      <c r="AL3" s="2402"/>
      <c r="AM3" s="2402"/>
      <c r="AN3" s="2402"/>
      <c r="AO3" s="2402"/>
      <c r="AP3" s="2402"/>
      <c r="AQ3" s="2402"/>
      <c r="AR3" s="2403"/>
      <c r="AS3" s="1404" t="s">
        <v>420</v>
      </c>
      <c r="AU3" s="646"/>
      <c r="AV3" s="646" t="str">
        <f>IF(T3="","",T3)</f>
        <v>Территория действия тарифа</v>
      </c>
      <c r="AW3" s="646"/>
      <c r="AX3" s="646"/>
      <c r="AY3" s="1301">
        <v>0</v>
      </c>
    </row>
    <row customHeight="1" ht="23.25" hidden="1">
      <c r="A4" s="1509"/>
      <c r="B4" s="1509"/>
      <c r="C4" s="1509"/>
      <c r="D4" s="1509"/>
      <c r="E4" s="2418"/>
      <c r="F4" s="2418"/>
      <c r="G4" s="2417">
        <v>1</v>
      </c>
      <c r="H4" s="1509"/>
      <c r="I4" s="1509"/>
      <c r="J4" s="1509"/>
      <c r="K4" s="1509"/>
      <c r="L4" s="1510"/>
      <c r="M4" s="1511"/>
      <c r="N4" s="1511"/>
      <c r="O4" s="1511"/>
      <c r="P4" s="500"/>
      <c r="Q4" s="498"/>
      <c r="R4" s="499"/>
      <c r="S4" s="1639">
        <f>INDEX(PT_DIFFERENTIATION_NUM_CS,MATCH(C4,PT_DIFFERENTIATION_CS_ID,0))</f>
      </c>
      <c r="T4" s="455" t="s">
        <v>552</v>
      </c>
      <c r="U4" s="446"/>
      <c r="V4" s="2401"/>
      <c r="W4" s="2402"/>
      <c r="X4" s="2402"/>
      <c r="Y4" s="2402"/>
      <c r="Z4" s="2402"/>
      <c r="AA4" s="2402"/>
      <c r="AB4" s="2402"/>
      <c r="AC4" s="2402"/>
      <c r="AD4" s="2402"/>
      <c r="AE4" s="2402"/>
      <c r="AF4" s="2403"/>
      <c r="AG4" s="2401">
        <f>INDEX(PT_DIFFERENTIATION_CS,MATCH(C4,PT_DIFFERENTIATION_CS_ID,0))</f>
      </c>
      <c r="AH4" s="2402"/>
      <c r="AI4" s="2402"/>
      <c r="AJ4" s="2402"/>
      <c r="AK4" s="2402"/>
      <c r="AL4" s="2402"/>
      <c r="AM4" s="2402"/>
      <c r="AN4" s="2402"/>
      <c r="AO4" s="2402"/>
      <c r="AP4" s="2402"/>
      <c r="AQ4" s="2402"/>
      <c r="AR4" s="2403"/>
      <c r="AS4" s="1404" t="s">
        <v>553</v>
      </c>
      <c r="AU4" s="646"/>
      <c r="AV4" s="646" t="str">
        <f>IF(T4="","",T4)</f>
        <v>Наименование централизованной системы горячего водоснабжения</v>
      </c>
      <c r="AW4" s="646"/>
      <c r="AX4" s="646"/>
      <c r="AY4" s="1301">
        <v>0</v>
      </c>
    </row>
    <row customHeight="1" ht="23.25" hidden="1">
      <c r="A5" s="1509"/>
      <c r="B5" s="1509"/>
      <c r="C5" s="1509"/>
      <c r="D5" s="1509"/>
      <c r="E5" s="2418"/>
      <c r="F5" s="2418"/>
      <c r="G5" s="2418"/>
      <c r="H5" s="2418"/>
      <c r="I5" s="2415">
        <f>S4&amp;".1"</f>
      </c>
      <c r="J5" s="1509"/>
      <c r="K5" s="1509"/>
      <c r="L5" s="1510"/>
      <c r="P5" s="2416">
        <v>1</v>
      </c>
      <c r="Q5" s="1627"/>
      <c r="R5" s="502"/>
      <c r="S5" s="1639">
        <f>$I5</f>
      </c>
      <c r="T5" s="431" t="s">
        <v>505</v>
      </c>
      <c r="U5" s="446"/>
      <c r="V5" s="2509"/>
      <c r="W5" s="2510"/>
      <c r="X5" s="2510"/>
      <c r="Y5" s="2510"/>
      <c r="Z5" s="2510"/>
      <c r="AA5" s="2510"/>
      <c r="AB5" s="2510"/>
      <c r="AC5" s="2510"/>
      <c r="AD5" s="2510"/>
      <c r="AE5" s="2510"/>
      <c r="AF5" s="2511"/>
      <c r="AG5" s="2512"/>
      <c r="AH5" s="2513"/>
      <c r="AI5" s="2513"/>
      <c r="AJ5" s="2513"/>
      <c r="AK5" s="2513"/>
      <c r="AL5" s="2513"/>
      <c r="AM5" s="2513"/>
      <c r="AN5" s="2513"/>
      <c r="AO5" s="2513"/>
      <c r="AP5" s="2513"/>
      <c r="AQ5" s="2513"/>
      <c r="AR5" s="2514"/>
      <c r="AS5" s="1404" t="s">
        <v>506</v>
      </c>
      <c r="AU5" s="646"/>
      <c r="AV5" s="646" t="str">
        <f>IF(T5="","",T5)</f>
        <v>Наименование признака дифференциации</v>
      </c>
      <c r="AW5" s="646"/>
      <c r="AX5" s="646"/>
      <c r="AY5" s="1301">
        <v>0</v>
      </c>
    </row>
    <row customHeight="1" ht="23.25" hidden="1">
      <c r="A6" s="1509"/>
      <c r="B6" s="1509"/>
      <c r="C6" s="1509"/>
      <c r="D6" s="1509"/>
      <c r="E6" s="2418"/>
      <c r="F6" s="2418"/>
      <c r="G6" s="2418"/>
      <c r="H6" s="2418"/>
      <c r="I6" s="2445"/>
      <c r="J6" s="2415">
        <f>I5&amp;".1"</f>
      </c>
      <c r="K6" s="1509"/>
      <c r="L6" s="1510" t="s">
        <v>428</v>
      </c>
      <c r="P6" s="2416"/>
      <c r="Q6" s="2416">
        <v>1</v>
      </c>
      <c r="R6" s="503"/>
      <c r="S6" s="1639">
        <f>$J6</f>
      </c>
      <c r="T6" s="432" t="s">
        <v>429</v>
      </c>
      <c r="U6" s="446"/>
      <c r="V6" s="2404"/>
      <c r="W6" s="2405"/>
      <c r="X6" s="2405"/>
      <c r="Y6" s="2405"/>
      <c r="Z6" s="2405"/>
      <c r="AA6" s="2405"/>
      <c r="AB6" s="2405"/>
      <c r="AC6" s="2405"/>
      <c r="AD6" s="2405"/>
      <c r="AE6" s="2405"/>
      <c r="AF6" s="2406"/>
      <c r="AG6" s="2404"/>
      <c r="AH6" s="2405"/>
      <c r="AI6" s="2405"/>
      <c r="AJ6" s="2405"/>
      <c r="AK6" s="2405"/>
      <c r="AL6" s="2405"/>
      <c r="AM6" s="2405"/>
      <c r="AN6" s="2405"/>
      <c r="AO6" s="2405"/>
      <c r="AP6" s="2405"/>
      <c r="AQ6" s="2405"/>
      <c r="AR6" s="2406"/>
      <c r="AS6" s="1453" t="s">
        <v>507</v>
      </c>
      <c r="AU6" s="646"/>
      <c r="AV6" s="646" t="str">
        <f>IF(T6="","",T6)</f>
        <v>Группа потребителей</v>
      </c>
      <c r="AW6" s="646"/>
      <c r="AX6" s="646"/>
      <c r="AY6" s="1301">
        <v>0</v>
      </c>
    </row>
    <row customHeight="1" ht="23.25" hidden="1">
      <c r="A7" s="1509"/>
      <c r="B7" s="1509"/>
      <c r="C7" s="1509"/>
      <c r="D7" s="1509"/>
      <c r="E7" s="2418"/>
      <c r="F7" s="2418"/>
      <c r="G7" s="2418"/>
      <c r="H7" s="2418"/>
      <c r="I7" s="2445"/>
      <c r="J7" s="2445"/>
      <c r="K7" s="2415">
        <f>J6&amp;".1"</f>
      </c>
      <c r="L7" s="1510"/>
      <c r="P7" s="2416"/>
      <c r="Q7" s="2416"/>
      <c r="R7" s="503">
        <v>1</v>
      </c>
      <c r="S7" s="1639">
        <f>$K7</f>
      </c>
      <c r="T7" s="1583"/>
      <c r="U7" s="446"/>
      <c r="V7" s="897"/>
      <c r="W7" s="897"/>
      <c r="X7" s="897"/>
      <c r="Y7" s="897"/>
      <c r="Z7" s="897"/>
      <c r="AA7" s="897"/>
      <c r="AB7" s="1403"/>
      <c r="AC7" s="2424"/>
      <c r="AD7" s="2266" t="s">
        <v>63</v>
      </c>
      <c r="AE7" s="2424"/>
      <c r="AF7" s="2266" t="s">
        <v>63</v>
      </c>
      <c r="AG7" s="897"/>
      <c r="AH7" s="897"/>
      <c r="AI7" s="897"/>
      <c r="AJ7" s="897"/>
      <c r="AK7" s="897"/>
      <c r="AL7" s="897"/>
      <c r="AM7" s="1403"/>
      <c r="AN7" s="2424"/>
      <c r="AO7" s="2266" t="s">
        <v>63</v>
      </c>
      <c r="AP7" s="2446"/>
      <c r="AQ7" s="2266" t="s">
        <v>63</v>
      </c>
      <c r="AR7" s="1584"/>
      <c r="AS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7">
        <f>STRCHECKDATE(V8:AR8)</f>
      </c>
      <c r="AU7" s="646"/>
      <c r="AV7" s="646" t="str">
        <f>IF(T7="","",T7)</f>
        <v/>
      </c>
      <c r="AW7" s="646"/>
      <c r="AX7" s="646"/>
      <c r="AY7" s="1301">
        <v>0</v>
      </c>
    </row>
    <row customHeight="1" ht="14.25" hidden="1">
      <c r="A8" s="1509"/>
      <c r="B8" s="1509"/>
      <c r="C8" s="1509"/>
      <c r="D8" s="1509"/>
      <c r="E8" s="2418"/>
      <c r="F8" s="2418"/>
      <c r="G8" s="2418"/>
      <c r="H8" s="2418"/>
      <c r="I8" s="2445"/>
      <c r="J8" s="2445"/>
      <c r="K8" s="2415"/>
      <c r="L8" s="1510"/>
      <c r="P8" s="2416"/>
      <c r="Q8" s="2416"/>
      <c r="R8" s="503"/>
      <c r="S8" s="1636"/>
      <c r="T8" s="446"/>
      <c r="U8" s="446"/>
      <c r="V8" s="471"/>
      <c r="W8" s="471"/>
      <c r="X8" s="471"/>
      <c r="Y8" s="471"/>
      <c r="Z8" s="471"/>
      <c r="AA8" s="471"/>
      <c r="AB8" s="474" t="str">
        <f>AC7&amp;"-"&amp;AE7</f>
        <v>-</v>
      </c>
      <c r="AC8" s="2425"/>
      <c r="AD8" s="2266"/>
      <c r="AE8" s="2425"/>
      <c r="AF8" s="2266"/>
      <c r="AG8" s="471"/>
      <c r="AH8" s="471"/>
      <c r="AI8" s="471"/>
      <c r="AJ8" s="471"/>
      <c r="AK8" s="471"/>
      <c r="AL8" s="471"/>
      <c r="AM8" s="474" t="str">
        <f>AN7&amp;"-"&amp;AP7</f>
        <v>-</v>
      </c>
      <c r="AN8" s="2425"/>
      <c r="AO8" s="2266"/>
      <c r="AP8" s="2447"/>
      <c r="AQ8" s="2266"/>
      <c r="AR8" s="1585"/>
      <c r="AS8" s="2508"/>
      <c r="AU8" s="646"/>
      <c r="AV8" s="646" t="str">
        <f>IF(T8="","",T8)</f>
        <v/>
      </c>
      <c r="AW8" s="646"/>
      <c r="AX8" s="646"/>
      <c r="AY8" s="1301">
        <v>0</v>
      </c>
    </row>
    <row customHeight="1" ht="21" hidden="1">
      <c r="A9" s="1509"/>
      <c r="B9" s="1509"/>
      <c r="C9" s="1509"/>
      <c r="D9" s="1509"/>
      <c r="E9" s="2418"/>
      <c r="F9" s="2418"/>
      <c r="G9" s="2418"/>
      <c r="H9" s="2418"/>
      <c r="I9" s="2445"/>
      <c r="J9" s="2415"/>
      <c r="K9" s="1509"/>
      <c r="L9" s="1510"/>
      <c r="P9" s="2416"/>
      <c r="Q9" s="2416"/>
      <c r="R9" s="502"/>
      <c r="S9" s="1424"/>
      <c r="T9" s="433" t="s">
        <v>508</v>
      </c>
      <c r="U9" s="513"/>
      <c r="V9" s="513"/>
      <c r="W9" s="746"/>
      <c r="X9" s="746"/>
      <c r="Y9" s="746"/>
      <c r="Z9" s="746"/>
      <c r="AA9" s="746"/>
      <c r="AB9" s="513"/>
      <c r="AC9" s="513"/>
      <c r="AD9" s="513"/>
      <c r="AE9" s="513"/>
      <c r="AF9" s="513"/>
      <c r="AG9" s="513"/>
      <c r="AH9" s="746"/>
      <c r="AI9" s="746"/>
      <c r="AJ9" s="746"/>
      <c r="AK9" s="746"/>
      <c r="AL9" s="746"/>
      <c r="AM9" s="513"/>
      <c r="AN9" s="513"/>
      <c r="AO9" s="513"/>
      <c r="AP9" s="513"/>
      <c r="AQ9" s="513"/>
      <c r="AR9" s="513"/>
      <c r="AS9" s="1404" t="s">
        <v>509</v>
      </c>
      <c r="AU9" s="646"/>
      <c r="AV9" s="646" t="str">
        <f>IF(T9="","",T9)</f>
        <v>Добавить значение признака дифференциации</v>
      </c>
      <c r="AW9" s="646"/>
      <c r="AX9" s="646"/>
      <c r="AY9" s="1301">
        <v>0</v>
      </c>
    </row>
    <row customHeight="1" ht="21" hidden="1">
      <c r="A10" s="1509"/>
      <c r="B10" s="1509"/>
      <c r="C10" s="1509"/>
      <c r="D10" s="1509"/>
      <c r="E10" s="2418"/>
      <c r="F10" s="2418"/>
      <c r="G10" s="2418"/>
      <c r="H10" s="2418"/>
      <c r="I10" s="2415"/>
      <c r="J10" s="1509"/>
      <c r="K10" s="1509"/>
      <c r="L10" s="1510"/>
      <c r="P10" s="2416"/>
      <c r="Q10" s="1627"/>
      <c r="R10" s="502"/>
      <c r="S10" s="1424"/>
      <c r="T10" s="511" t="s">
        <v>434</v>
      </c>
      <c r="U10" s="513"/>
      <c r="V10" s="513"/>
      <c r="W10" s="746"/>
      <c r="X10" s="746"/>
      <c r="Y10" s="746"/>
      <c r="Z10" s="746"/>
      <c r="AA10" s="746"/>
      <c r="AB10" s="513"/>
      <c r="AC10" s="513"/>
      <c r="AD10" s="513"/>
      <c r="AE10" s="513"/>
      <c r="AF10" s="512"/>
      <c r="AG10" s="513"/>
      <c r="AH10" s="746"/>
      <c r="AI10" s="746"/>
      <c r="AJ10" s="746"/>
      <c r="AK10" s="746"/>
      <c r="AL10" s="746"/>
      <c r="AM10" s="513"/>
      <c r="AN10" s="513"/>
      <c r="AO10" s="513"/>
      <c r="AP10" s="513"/>
      <c r="AQ10" s="512"/>
      <c r="AR10" s="513"/>
      <c r="AS10" s="1586"/>
      <c r="AU10" s="646"/>
      <c r="AV10" s="646" t="str">
        <f>IF(T10="","",T10)</f>
        <v>Добавить группу потребителей</v>
      </c>
      <c r="AW10" s="646"/>
      <c r="AX10" s="646"/>
      <c r="AY10" s="1301">
        <v>0</v>
      </c>
    </row>
    <row customHeight="1" ht="21" hidden="1">
      <c r="A11" s="1509"/>
      <c r="B11" s="1509"/>
      <c r="C11" s="1509"/>
      <c r="D11" s="1509"/>
      <c r="E11" s="2418"/>
      <c r="F11" s="2418"/>
      <c r="G11" s="2418"/>
      <c r="H11" s="2417"/>
      <c r="I11" s="1509"/>
      <c r="J11" s="1509"/>
      <c r="K11" s="1509"/>
      <c r="L11" s="1510"/>
      <c r="M11" s="1511"/>
      <c r="N11" s="1511"/>
      <c r="O11" s="683"/>
      <c r="P11" s="506"/>
      <c r="Q11" s="521"/>
      <c r="R11" s="501"/>
      <c r="S11" s="1424"/>
      <c r="T11" s="518" t="s">
        <v>510</v>
      </c>
      <c r="U11" s="513"/>
      <c r="V11" s="513"/>
      <c r="W11" s="746"/>
      <c r="X11" s="746"/>
      <c r="Y11" s="746"/>
      <c r="Z11" s="746"/>
      <c r="AA11" s="746"/>
      <c r="AB11" s="513"/>
      <c r="AC11" s="513"/>
      <c r="AD11" s="513"/>
      <c r="AE11" s="513"/>
      <c r="AF11" s="512"/>
      <c r="AG11" s="513"/>
      <c r="AH11" s="746"/>
      <c r="AI11" s="746"/>
      <c r="AJ11" s="746"/>
      <c r="AK11" s="746"/>
      <c r="AL11" s="746"/>
      <c r="AM11" s="513"/>
      <c r="AN11" s="513"/>
      <c r="AO11" s="513"/>
      <c r="AP11" s="513"/>
      <c r="AQ11" s="512"/>
      <c r="AR11" s="513"/>
      <c r="AS11" s="449"/>
      <c r="AU11" s="646"/>
      <c r="AV11" s="646" t="str">
        <f>IF(T11="","",T11)</f>
        <v>Добавить наименование признака дифференциации</v>
      </c>
      <c r="AW11" s="646"/>
      <c r="AX11" s="646"/>
      <c r="AY11" s="1301">
        <v>0</v>
      </c>
    </row>
    <row s="6720" customFormat="1" customHeight="1" ht="14.25" hidden="1">
      <c r="A12" s="1489"/>
      <c r="B12" s="1489"/>
      <c r="C12" s="1460"/>
      <c r="D12" s="1460"/>
      <c r="E12" s="2418"/>
      <c r="F12" s="2417"/>
      <c r="G12" s="1460"/>
      <c r="H12" s="1460"/>
      <c r="I12" s="1460"/>
      <c r="J12" s="1460"/>
      <c r="K12" s="1460"/>
      <c r="L12" s="1640"/>
      <c r="M12" s="1467"/>
      <c r="N12" s="1467"/>
      <c r="P12" s="1462"/>
      <c r="Q12" s="1463"/>
      <c r="R12" s="1462"/>
      <c r="S12" s="1468"/>
      <c r="T12" s="1471" t="s">
        <v>437</v>
      </c>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c r="AU12" s="935"/>
      <c r="AV12" s="935" t="str">
        <f>IF(T12="","",T12)</f>
        <v>Добавить централизованную систему для дифференциации</v>
      </c>
      <c r="AW12" s="935"/>
      <c r="AX12" s="935"/>
      <c r="AY12" s="664">
        <v>0</v>
      </c>
    </row>
    <row s="6720" customFormat="1" customHeight="1" ht="14.25" hidden="1">
      <c r="A13" s="1489"/>
      <c r="B13" s="1489"/>
      <c r="C13" s="1489"/>
      <c r="D13" s="1489"/>
      <c r="E13" s="2417"/>
      <c r="F13" s="1489"/>
      <c r="G13" s="1489"/>
      <c r="H13" s="1489"/>
      <c r="I13" s="1489"/>
      <c r="J13" s="1489"/>
      <c r="K13" s="1489"/>
      <c r="L13" s="1492"/>
      <c r="M13" s="1467"/>
      <c r="N13" s="1467"/>
      <c r="O13" s="664"/>
      <c r="P13" s="526"/>
      <c r="Q13" s="1490"/>
      <c r="R13" s="526"/>
      <c r="S13" s="1468"/>
      <c r="T13" s="1471" t="s">
        <v>438</v>
      </c>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c r="AU13" s="646"/>
      <c r="AV13" s="646" t="str">
        <f>IF(T13="","",T13)</f>
        <v>Добавить территорию для дифференциации</v>
      </c>
      <c r="AW13" s="646"/>
      <c r="AX13" s="646"/>
      <c r="AY13" s="657">
        <v>0</v>
      </c>
    </row>
    <row customHeight="1" ht="14.25" hidden="1">
      <c r="AF14" s="473"/>
      <c r="AQ14" s="473"/>
      <c r="AY14" s="1301">
        <v>0</v>
      </c>
    </row>
    <row customHeight="1" ht="14.25" hidden="1">
      <c r="AG15" s="1506"/>
      <c r="AH15" s="1506"/>
      <c r="AI15" s="1506"/>
      <c r="AJ15" s="1506"/>
      <c r="AK15" s="1506"/>
      <c r="AL15" s="1506"/>
      <c r="AM15" s="1507"/>
      <c r="AN15" s="2426"/>
      <c r="AO15" s="2427" t="s">
        <v>63</v>
      </c>
      <c r="AP15" s="2426"/>
      <c r="AQ15" s="2427" t="s">
        <v>63</v>
      </c>
      <c r="AY15" s="1301">
        <v>0</v>
      </c>
    </row>
    <row customHeight="1" ht="14.25" hidden="1">
      <c r="AG16" s="1506"/>
      <c r="AH16" s="1506"/>
      <c r="AI16" s="1506"/>
      <c r="AJ16" s="1506"/>
      <c r="AK16" s="1506"/>
      <c r="AL16" s="1506"/>
      <c r="AM16" s="474" t="str">
        <f>AN15&amp;"-"&amp;AP15</f>
        <v>-</v>
      </c>
      <c r="AN16" s="2427"/>
      <c r="AO16" s="2427"/>
      <c r="AP16" s="2427"/>
      <c r="AQ16" s="2427"/>
      <c r="AY16" s="1301">
        <v>0</v>
      </c>
    </row>
    <row customHeight="1" ht="14.25" hidden="1">
      <c r="AQ17" s="473"/>
      <c r="AY17" s="1301">
        <v>0</v>
      </c>
    </row>
    <row s="7180" customFormat="1" customHeight="1" ht="22.5" hidden="1">
      <c r="L18" s="1624"/>
      <c r="M18" s="1508"/>
      <c r="N18" s="1508"/>
      <c r="O18" s="1513" t="s">
        <v>439</v>
      </c>
      <c r="P18" s="1508"/>
      <c r="Q18" s="1517"/>
      <c r="R18" s="1517"/>
      <c r="S18" s="875"/>
      <c r="W18" s="1512"/>
      <c r="X18" s="1512"/>
      <c r="Y18" s="1512"/>
      <c r="Z18" s="1512"/>
      <c r="AA18" s="1512"/>
      <c r="AC18" s="1513"/>
      <c r="AE18" s="1513"/>
      <c r="AF18" s="1512"/>
      <c r="AH18" s="1512"/>
      <c r="AI18" s="1512"/>
      <c r="AJ18" s="1512"/>
      <c r="AK18" s="1512"/>
      <c r="AL18" s="1512"/>
      <c r="AN18" s="1513"/>
      <c r="AP18" s="1513"/>
      <c r="AQ18" s="1512"/>
      <c r="AT18" s="657"/>
      <c r="AU18" s="657"/>
      <c r="AV18" s="657"/>
      <c r="AW18" s="657"/>
      <c r="AX18" s="657"/>
      <c r="AY18" s="1306">
        <v>0</v>
      </c>
    </row>
    <row s="7180" customFormat="1" customHeight="1" ht="14.25" hidden="1">
      <c r="L19" s="1624"/>
      <c r="M19" s="1508"/>
      <c r="N19" s="1508"/>
      <c r="O19" s="1508"/>
      <c r="P19" s="1508"/>
      <c r="Q19" s="1517"/>
      <c r="R19" s="1517"/>
      <c r="S19" s="875"/>
      <c r="W19" s="1512"/>
      <c r="X19" s="1512"/>
      <c r="Y19" s="1512"/>
      <c r="Z19" s="1512"/>
      <c r="AA19" s="1512"/>
      <c r="AF19" s="1512"/>
      <c r="AH19" s="1512"/>
      <c r="AI19" s="1512"/>
      <c r="AJ19" s="1512"/>
      <c r="AK19" s="1512"/>
      <c r="AL19" s="1512"/>
      <c r="AQ19" s="1512"/>
      <c r="AT19" s="657"/>
      <c r="AU19" s="657"/>
      <c r="AV19" s="657"/>
      <c r="AW19" s="657"/>
      <c r="AX19" s="657"/>
      <c r="AY19" s="1306">
        <v>0</v>
      </c>
    </row>
    <row s="7180" customFormat="1" customHeight="1" ht="12" hidden="1">
      <c r="L20" s="1624"/>
      <c r="M20" s="1508"/>
      <c r="N20" s="1508"/>
      <c r="O20" s="1510" t="s">
        <v>440</v>
      </c>
      <c r="P20" s="1508"/>
      <c r="Q20" s="1588"/>
      <c r="R20" s="1588"/>
      <c r="S20" s="875"/>
      <c r="T20" s="1306" t="s">
        <v>441</v>
      </c>
      <c r="W20" s="1512"/>
      <c r="X20" s="1512"/>
      <c r="Y20" s="1512"/>
      <c r="Z20" s="1512"/>
      <c r="AA20" s="1512"/>
      <c r="AD20" s="332" t="s">
        <v>442</v>
      </c>
      <c r="AF20" s="332" t="s">
        <v>443</v>
      </c>
      <c r="AG20" s="1306" t="s">
        <v>441</v>
      </c>
      <c r="AH20" s="1512"/>
      <c r="AI20" s="1512"/>
      <c r="AJ20" s="1512"/>
      <c r="AK20" s="1512"/>
      <c r="AL20" s="1512"/>
      <c r="AO20" s="332" t="s">
        <v>444</v>
      </c>
      <c r="AQ20" s="332" t="s">
        <v>443</v>
      </c>
      <c r="AY20" s="1306">
        <v>0</v>
      </c>
    </row>
    <row customHeight="1" ht="14.25" hidden="1">
      <c r="O21" s="1510"/>
      <c r="AY21" s="1301">
        <v>0</v>
      </c>
    </row>
    <row customHeight="1" ht="14.25" hidden="1">
      <c r="O22" s="1510"/>
      <c r="AY22" s="1301">
        <v>0</v>
      </c>
    </row>
    <row customHeight="1" ht="14.699999999999998">
      <c r="Q23" s="522"/>
      <c r="R23" s="522"/>
      <c r="S23" s="1421"/>
      <c r="T23" s="509"/>
      <c r="U23" s="509"/>
      <c r="V23" s="655"/>
      <c r="W23" s="1781"/>
      <c r="X23" s="1781"/>
      <c r="Y23" s="1781"/>
      <c r="Z23" s="1781"/>
      <c r="AA23" s="1781"/>
      <c r="AB23" s="655"/>
      <c r="AC23" s="655"/>
      <c r="AD23" s="655"/>
      <c r="AE23" s="655"/>
      <c r="AF23" s="655"/>
      <c r="AG23" s="655"/>
      <c r="AH23" s="1781"/>
      <c r="AI23" s="1781"/>
      <c r="AJ23" s="1781"/>
      <c r="AK23" s="1781"/>
      <c r="AL23" s="1781"/>
      <c r="AM23" s="655"/>
      <c r="AN23" s="655"/>
      <c r="AO23" s="655"/>
      <c r="AP23" s="655"/>
      <c r="AQ23" s="655"/>
      <c r="AY23" s="1301">
        <v>14</v>
      </c>
    </row>
    <row customHeight="1" ht="26.25">
      <c r="Q24" s="522"/>
      <c r="R24" s="522"/>
      <c r="S24" s="24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1389"/>
      <c r="AY24" s="1301">
        <v>25</v>
      </c>
    </row>
    <row customHeight="1" ht="14.699999999999998">
      <c r="Q25" s="522"/>
      <c r="R25" s="522"/>
      <c r="S25" s="2408" t="str">
        <f>IF(org=0,"Не определено",org)</f>
        <v>ПАО "ТГК-14"</v>
      </c>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1389"/>
      <c r="AY25" s="1301">
        <v>14</v>
      </c>
    </row>
    <row customHeight="1" ht="14.25" hidden="1">
      <c r="Q26" s="522"/>
      <c r="R26" s="522"/>
      <c r="S26" s="1421"/>
      <c r="T26" s="509"/>
      <c r="U26" s="509"/>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655"/>
      <c r="AY26" s="1301">
        <v>0</v>
      </c>
    </row>
    <row s="7809" customFormat="1" customHeight="1" ht="25.5" hidden="1">
      <c r="A27" s="1514"/>
      <c r="B27" s="1514"/>
      <c r="C27" s="1514"/>
      <c r="D27" s="1514"/>
      <c r="E27" s="1514"/>
      <c r="F27" s="1514"/>
      <c r="G27" s="1514"/>
      <c r="H27" s="1514"/>
      <c r="I27" s="1514"/>
      <c r="J27" s="1514"/>
      <c r="K27" s="1514"/>
      <c r="L27" s="1515"/>
      <c r="M27" s="1514"/>
      <c r="N27" s="1514"/>
      <c r="O27" s="1514"/>
      <c r="S27" s="2409" t="s">
        <v>42</v>
      </c>
      <c r="T27" s="2409"/>
      <c r="U27" s="1518"/>
      <c r="V27" s="2410" t="str">
        <f>IF(TITLE_NAME_OR_PR_CHANGE="",IF(TITLE_NAME_OR_PR="","",TITLE_NAME_OR_PR),TITLE_NAME_OR_PR_CHANGE)</f>
        <v/>
      </c>
      <c r="W27" s="2410"/>
      <c r="X27" s="2410"/>
      <c r="Y27" s="2410"/>
      <c r="Z27" s="2410"/>
      <c r="AA27" s="2410"/>
      <c r="AB27" s="2410"/>
      <c r="AC27" s="2410"/>
      <c r="AD27" s="2410"/>
      <c r="AE27" s="2410"/>
      <c r="AF27" s="472"/>
      <c r="AG27" s="2410" t="str">
        <f>IF(TITLE_NAME_OR_PR_CHANGE="",IF(TITLE_NAME_OR_PR="","",TITLE_NAME_OR_PR),TITLE_NAME_OR_PR_CHANGE)</f>
        <v/>
      </c>
      <c r="AH27" s="2410"/>
      <c r="AI27" s="2410"/>
      <c r="AJ27" s="2410"/>
      <c r="AK27" s="2410"/>
      <c r="AL27" s="2410"/>
      <c r="AM27" s="2410"/>
      <c r="AN27" s="2410"/>
      <c r="AO27" s="2410"/>
      <c r="AP27" s="2410"/>
      <c r="AQ27" s="472"/>
      <c r="AR27" s="472"/>
      <c r="AS27" s="426"/>
      <c r="AT27" s="514"/>
      <c r="AU27" s="514"/>
      <c r="AV27" s="514"/>
      <c r="AW27" s="514"/>
      <c r="AX27" s="514"/>
      <c r="AY27" s="564">
        <v>0</v>
      </c>
    </row>
    <row s="7809" customFormat="1" customHeight="1" ht="18.75" hidden="1">
      <c r="A28" s="1514"/>
      <c r="B28" s="1514"/>
      <c r="C28" s="1514"/>
      <c r="D28" s="1514"/>
      <c r="E28" s="1514"/>
      <c r="F28" s="1514"/>
      <c r="G28" s="1514"/>
      <c r="H28" s="1514"/>
      <c r="I28" s="1514"/>
      <c r="J28" s="1514"/>
      <c r="K28" s="1514"/>
      <c r="L28" s="1515"/>
      <c r="M28" s="1514"/>
      <c r="N28" s="1514"/>
      <c r="O28" s="1514"/>
      <c r="S28" s="2409" t="s">
        <v>445</v>
      </c>
      <c r="T28" s="2409"/>
      <c r="U28" s="1518"/>
      <c r="V28" s="2423" t="str">
        <f>IF(TITLE_DATE_PR_CHANGE="",IF(TITLE_DATE_PR="","",TITLE_DATE_PR),TITLE_DATE_PR_CHANGE)</f>
        <v/>
      </c>
      <c r="W28" s="2423"/>
      <c r="X28" s="2423"/>
      <c r="Y28" s="2423"/>
      <c r="Z28" s="2423"/>
      <c r="AA28" s="2423"/>
      <c r="AB28" s="2423"/>
      <c r="AC28" s="2423"/>
      <c r="AD28" s="2423"/>
      <c r="AE28" s="2423"/>
      <c r="AF28" s="472"/>
      <c r="AG28" s="2423" t="str">
        <f>IF(TITLE_DATE_PR_CHANGE="",IF(TITLE_DATE_PR="","",TITLE_DATE_PR),TITLE_DATE_PR_CHANGE)</f>
        <v/>
      </c>
      <c r="AH28" s="2423"/>
      <c r="AI28" s="2423"/>
      <c r="AJ28" s="2423"/>
      <c r="AK28" s="2423"/>
      <c r="AL28" s="2423"/>
      <c r="AM28" s="2423"/>
      <c r="AN28" s="2423"/>
      <c r="AO28" s="2423"/>
      <c r="AP28" s="2423"/>
      <c r="AQ28" s="472"/>
      <c r="AR28" s="472"/>
      <c r="AS28" s="426"/>
      <c r="AT28" s="514"/>
      <c r="AU28" s="514"/>
      <c r="AV28" s="514"/>
      <c r="AW28" s="514"/>
      <c r="AX28" s="514"/>
      <c r="AY28" s="564">
        <v>0</v>
      </c>
    </row>
    <row s="7809" customFormat="1" customHeight="1" ht="18.75" hidden="1">
      <c r="A29" s="1514"/>
      <c r="B29" s="1514"/>
      <c r="C29" s="1514"/>
      <c r="D29" s="1514"/>
      <c r="E29" s="1514"/>
      <c r="F29" s="1514"/>
      <c r="G29" s="1514"/>
      <c r="H29" s="1514"/>
      <c r="I29" s="1514"/>
      <c r="J29" s="1514"/>
      <c r="K29" s="1514"/>
      <c r="L29" s="1515"/>
      <c r="M29" s="1514"/>
      <c r="N29" s="1514"/>
      <c r="O29" s="1514"/>
      <c r="S29" s="2409" t="s">
        <v>446</v>
      </c>
      <c r="T29" s="2409"/>
      <c r="U29" s="1518"/>
      <c r="V29" s="2410" t="str">
        <f>IF(TITLE_NUMBER_PR_CHANGE="",IF(TITLE_NUMBER_PR="","",TITLE_NUMBER_PR),TITLE_NUMBER_PR_CHANGE)</f>
        <v/>
      </c>
      <c r="W29" s="2410"/>
      <c r="X29" s="2410"/>
      <c r="Y29" s="2410"/>
      <c r="Z29" s="2410"/>
      <c r="AA29" s="2410"/>
      <c r="AB29" s="2410"/>
      <c r="AC29" s="2410"/>
      <c r="AD29" s="2410"/>
      <c r="AE29" s="2410"/>
      <c r="AF29" s="472"/>
      <c r="AG29" s="2410" t="str">
        <f>IF(TITLE_NUMBER_PR_CHANGE="",IF(TITLE_NUMBER_PR="","",TITLE_NUMBER_PR),TITLE_NUMBER_PR_CHANGE)</f>
        <v/>
      </c>
      <c r="AH29" s="2410"/>
      <c r="AI29" s="2410"/>
      <c r="AJ29" s="2410"/>
      <c r="AK29" s="2410"/>
      <c r="AL29" s="2410"/>
      <c r="AM29" s="2410"/>
      <c r="AN29" s="2410"/>
      <c r="AO29" s="2410"/>
      <c r="AP29" s="2410"/>
      <c r="AQ29" s="472"/>
      <c r="AR29" s="472"/>
      <c r="AS29" s="426"/>
      <c r="AT29" s="514"/>
      <c r="AU29" s="514"/>
      <c r="AV29" s="514"/>
      <c r="AW29" s="514"/>
      <c r="AX29" s="514"/>
      <c r="AY29" s="564">
        <v>0</v>
      </c>
    </row>
    <row s="7809" customFormat="1" customHeight="1" ht="18.75" hidden="1">
      <c r="A30" s="1514"/>
      <c r="B30" s="1514"/>
      <c r="C30" s="1514"/>
      <c r="D30" s="1514"/>
      <c r="E30" s="1514"/>
      <c r="F30" s="1514"/>
      <c r="G30" s="1514"/>
      <c r="H30" s="1514"/>
      <c r="I30" s="1514"/>
      <c r="J30" s="1514"/>
      <c r="K30" s="1514"/>
      <c r="L30" s="1515"/>
      <c r="M30" s="1514"/>
      <c r="N30" s="1514"/>
      <c r="O30" s="1514"/>
      <c r="S30" s="2409" t="s">
        <v>43</v>
      </c>
      <c r="T30" s="2409"/>
      <c r="U30" s="1518"/>
      <c r="V30" s="2410" t="str">
        <f>IF(TITLE_IST_PUB_CHANGE="",IF(TITLE_IST_PUB="","",TITLE_IST_PUB),TITLE_IST_PUB_CHANGE)</f>
        <v/>
      </c>
      <c r="W30" s="2410"/>
      <c r="X30" s="2410"/>
      <c r="Y30" s="2410"/>
      <c r="Z30" s="2410"/>
      <c r="AA30" s="2410"/>
      <c r="AB30" s="2410"/>
      <c r="AC30" s="2410"/>
      <c r="AD30" s="2410"/>
      <c r="AE30" s="2410"/>
      <c r="AF30" s="472"/>
      <c r="AG30" s="2410" t="str">
        <f>IF(TITLE_IST_PUB_CHANGE="",IF(TITLE_IST_PUB="","",TITLE_IST_PUB),TITLE_IST_PUB_CHANGE)</f>
        <v/>
      </c>
      <c r="AH30" s="2410"/>
      <c r="AI30" s="2410"/>
      <c r="AJ30" s="2410"/>
      <c r="AK30" s="2410"/>
      <c r="AL30" s="2410"/>
      <c r="AM30" s="2410"/>
      <c r="AN30" s="2410"/>
      <c r="AO30" s="2410"/>
      <c r="AP30" s="2410"/>
      <c r="AQ30" s="472"/>
      <c r="AR30" s="472"/>
      <c r="AS30" s="426"/>
      <c r="AT30" s="514"/>
      <c r="AU30" s="514"/>
      <c r="AV30" s="514"/>
      <c r="AW30" s="514"/>
      <c r="AX30" s="514"/>
      <c r="AY30" s="564">
        <v>0</v>
      </c>
    </row>
    <row customHeight="1" ht="14.25" hidden="1">
      <c r="Q31" s="522"/>
      <c r="R31" s="522"/>
      <c r="S31" s="1421"/>
      <c r="T31" s="509"/>
      <c r="U31" s="509"/>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655"/>
      <c r="AY31" s="1301">
        <v>0</v>
      </c>
    </row>
    <row s="7809" customFormat="1" customHeight="1" ht="18.75" hidden="1">
      <c r="A32" s="1514"/>
      <c r="B32" s="1514"/>
      <c r="C32" s="1514"/>
      <c r="D32" s="1514"/>
      <c r="E32" s="1514"/>
      <c r="F32" s="1514"/>
      <c r="G32" s="1514"/>
      <c r="H32" s="1514"/>
      <c r="I32" s="1514"/>
      <c r="J32" s="1514"/>
      <c r="K32" s="1514"/>
      <c r="L32" s="1515"/>
      <c r="M32" s="1514"/>
      <c r="N32" s="1514"/>
      <c r="O32" s="1514"/>
      <c r="S32" s="2409" t="s">
        <v>447</v>
      </c>
      <c r="T32" s="2409"/>
      <c r="U32" s="1518"/>
      <c r="V32" s="2423" t="str">
        <f>IF(TITLE_DATE_PR_CHANGE="",IF(TITLE_DATE_PR="","",TITLE_DATE_PR),TITLE_DATE_PR_CHANGE)</f>
        <v/>
      </c>
      <c r="W32" s="2423"/>
      <c r="X32" s="2423"/>
      <c r="Y32" s="2423"/>
      <c r="Z32" s="2423"/>
      <c r="AA32" s="2423"/>
      <c r="AB32" s="2423"/>
      <c r="AC32" s="2423"/>
      <c r="AD32" s="2423"/>
      <c r="AE32" s="2423"/>
      <c r="AF32" s="472"/>
      <c r="AG32" s="2423" t="str">
        <f>IF(TITLE_DATE_PR_CHANGE="",IF(TITLE_DATE_PR="","",TITLE_DATE_PR),TITLE_DATE_PR_CHANGE)</f>
        <v/>
      </c>
      <c r="AH32" s="2423"/>
      <c r="AI32" s="2423"/>
      <c r="AJ32" s="2423"/>
      <c r="AK32" s="2423"/>
      <c r="AL32" s="2423"/>
      <c r="AM32" s="2423"/>
      <c r="AN32" s="2423"/>
      <c r="AO32" s="2423"/>
      <c r="AP32" s="2423"/>
      <c r="AQ32" s="472"/>
      <c r="AR32" s="472"/>
      <c r="AS32" s="426"/>
      <c r="AT32" s="514"/>
      <c r="AU32" s="514"/>
      <c r="AV32" s="514"/>
      <c r="AW32" s="514"/>
      <c r="AX32" s="514"/>
      <c r="AY32" s="564">
        <v>0</v>
      </c>
    </row>
    <row s="7809" customFormat="1" customHeight="1" ht="18.75" hidden="1">
      <c r="A33" s="1514"/>
      <c r="B33" s="1514"/>
      <c r="C33" s="1514"/>
      <c r="D33" s="1514"/>
      <c r="E33" s="1514"/>
      <c r="F33" s="1514"/>
      <c r="G33" s="1514"/>
      <c r="H33" s="1514"/>
      <c r="I33" s="1514"/>
      <c r="J33" s="1514"/>
      <c r="K33" s="1514"/>
      <c r="L33" s="1515"/>
      <c r="M33" s="1514"/>
      <c r="N33" s="1514"/>
      <c r="O33" s="1514"/>
      <c r="S33" s="2409" t="s">
        <v>448</v>
      </c>
      <c r="T33" s="2409"/>
      <c r="U33" s="1518"/>
      <c r="V33" s="2410" t="str">
        <f>IF(TITLE_NUMBER_PR_CHANGE="",IF(TITLE_NUMBER_PR="","",TITLE_NUMBER_PR),TITLE_NUMBER_PR_CHANGE)</f>
        <v/>
      </c>
      <c r="W33" s="2410"/>
      <c r="X33" s="2410"/>
      <c r="Y33" s="2410"/>
      <c r="Z33" s="2410"/>
      <c r="AA33" s="2410"/>
      <c r="AB33" s="2410"/>
      <c r="AC33" s="2410"/>
      <c r="AD33" s="2410"/>
      <c r="AE33" s="2410"/>
      <c r="AF33" s="472"/>
      <c r="AG33" s="2410" t="str">
        <f>IF(TITLE_NUMBER_PR_CHANGE="",IF(TITLE_NUMBER_PR="","",TITLE_NUMBER_PR),TITLE_NUMBER_PR_CHANGE)</f>
        <v/>
      </c>
      <c r="AH33" s="2410"/>
      <c r="AI33" s="2410"/>
      <c r="AJ33" s="2410"/>
      <c r="AK33" s="2410"/>
      <c r="AL33" s="2410"/>
      <c r="AM33" s="2410"/>
      <c r="AN33" s="2410"/>
      <c r="AO33" s="2410"/>
      <c r="AP33" s="2410"/>
      <c r="AQ33" s="472"/>
      <c r="AR33" s="472"/>
      <c r="AS33" s="426"/>
      <c r="AT33" s="514"/>
      <c r="AU33" s="514"/>
      <c r="AV33" s="514"/>
      <c r="AW33" s="514"/>
      <c r="AX33" s="514"/>
      <c r="AY33" s="564">
        <v>0</v>
      </c>
    </row>
    <row s="7809" customFormat="1" customHeight="1" ht="1.05">
      <c r="A34" s="1514"/>
      <c r="B34" s="1514"/>
      <c r="C34" s="1514"/>
      <c r="D34" s="1514"/>
      <c r="E34" s="1514"/>
      <c r="F34" s="1514"/>
      <c r="G34" s="1514"/>
      <c r="H34" s="1514"/>
      <c r="I34" s="1514"/>
      <c r="J34" s="1514"/>
      <c r="K34" s="1514"/>
      <c r="L34" s="1515"/>
      <c r="M34" s="1514"/>
      <c r="N34" s="1514"/>
      <c r="O34" s="1514"/>
      <c r="S34" s="469"/>
      <c r="T34" s="469"/>
      <c r="U34" s="1634"/>
      <c r="V34" s="472"/>
      <c r="W34" s="1781"/>
      <c r="X34" s="1781"/>
      <c r="Y34" s="1781"/>
      <c r="Z34" s="1781"/>
      <c r="AA34" s="1781"/>
      <c r="AB34" s="472"/>
      <c r="AC34" s="472"/>
      <c r="AD34" s="472"/>
      <c r="AE34" s="472"/>
      <c r="AF34" s="424" t="s">
        <v>449</v>
      </c>
      <c r="AG34" s="472"/>
      <c r="AH34" s="1781"/>
      <c r="AI34" s="1781"/>
      <c r="AJ34" s="1781"/>
      <c r="AK34" s="1781"/>
      <c r="AL34" s="1781"/>
      <c r="AM34" s="472"/>
      <c r="AN34" s="472"/>
      <c r="AO34" s="472"/>
      <c r="AP34" s="472"/>
      <c r="AQ34" s="424" t="s">
        <v>449</v>
      </c>
      <c r="AT34" s="514"/>
      <c r="AU34" s="514"/>
      <c r="AV34" s="514"/>
      <c r="AW34" s="514"/>
      <c r="AX34" s="514"/>
      <c r="AY34" s="564">
        <v>1</v>
      </c>
    </row>
    <row customHeight="1" ht="14.699999999999998">
      <c r="Q35" s="522"/>
      <c r="R35" s="522"/>
      <c r="S35" s="1421"/>
      <c r="T35" s="509"/>
      <c r="U35" s="1390"/>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Y35" s="1301">
        <v>14</v>
      </c>
    </row>
    <row customHeight="1" ht="14.699999999999998">
      <c r="Q36" s="522"/>
      <c r="R36" s="522"/>
      <c r="S36" s="2286" t="s">
        <v>322</v>
      </c>
      <c r="T36" s="2286"/>
      <c r="U36" s="2286"/>
      <c r="V36" s="2286"/>
      <c r="W36" s="2286"/>
      <c r="X36" s="2286"/>
      <c r="Y36" s="2286"/>
      <c r="Z36" s="2286"/>
      <c r="AA36" s="2286"/>
      <c r="AB36" s="2286"/>
      <c r="AC36" s="2286"/>
      <c r="AD36" s="2286"/>
      <c r="AE36" s="2286"/>
      <c r="AF36" s="2286"/>
      <c r="AG36" s="2286"/>
      <c r="AH36" s="2286"/>
      <c r="AI36" s="2286"/>
      <c r="AJ36" s="2286"/>
      <c r="AK36" s="2286"/>
      <c r="AL36" s="2286"/>
      <c r="AM36" s="2286"/>
      <c r="AN36" s="2286"/>
      <c r="AO36" s="2286"/>
      <c r="AP36" s="2286"/>
      <c r="AQ36" s="2286"/>
      <c r="AR36" s="2286"/>
      <c r="AS36" s="2286" t="s">
        <v>323</v>
      </c>
      <c r="AY36" s="1301">
        <v>14</v>
      </c>
    </row>
    <row customHeight="1" ht="14.699999999999998">
      <c r="Q37" s="522"/>
      <c r="R37" s="522"/>
      <c r="S37" s="2432" t="s">
        <v>89</v>
      </c>
      <c r="T37" s="2368" t="s">
        <v>450</v>
      </c>
      <c r="U37" s="447"/>
      <c r="V37" s="2433" t="s">
        <v>451</v>
      </c>
      <c r="W37" s="2434"/>
      <c r="X37" s="2434"/>
      <c r="Y37" s="2434"/>
      <c r="Z37" s="2434"/>
      <c r="AA37" s="2434"/>
      <c r="AB37" s="2434"/>
      <c r="AC37" s="2434"/>
      <c r="AD37" s="2434"/>
      <c r="AE37" s="2435"/>
      <c r="AF37" s="2436" t="s">
        <v>452</v>
      </c>
      <c r="AG37" s="2433" t="s">
        <v>451</v>
      </c>
      <c r="AH37" s="2434"/>
      <c r="AI37" s="2434"/>
      <c r="AJ37" s="2434"/>
      <c r="AK37" s="2434"/>
      <c r="AL37" s="2434"/>
      <c r="AM37" s="2434"/>
      <c r="AN37" s="2434"/>
      <c r="AO37" s="2434"/>
      <c r="AP37" s="2435"/>
      <c r="AQ37" s="2436" t="s">
        <v>453</v>
      </c>
      <c r="AR37" s="2439" t="s">
        <v>454</v>
      </c>
      <c r="AS37" s="2286"/>
      <c r="AY37" s="1301">
        <v>14</v>
      </c>
    </row>
    <row s="7235" customFormat="1" customHeight="1" ht="19.95">
      <c r="A38" s="1512"/>
      <c r="B38" s="1512"/>
      <c r="C38" s="1512"/>
      <c r="D38" s="1512"/>
      <c r="E38" s="1512"/>
      <c r="F38" s="1512"/>
      <c r="G38" s="1512"/>
      <c r="H38" s="1512"/>
      <c r="I38" s="1512"/>
      <c r="J38" s="1512"/>
      <c r="K38" s="1512"/>
      <c r="L38" s="2123"/>
      <c r="M38" s="1508"/>
      <c r="N38" s="1508"/>
      <c r="O38" s="1508"/>
      <c r="P38" s="2124"/>
      <c r="Q38" s="522"/>
      <c r="R38" s="522"/>
      <c r="S38" s="2432"/>
      <c r="T38" s="2368"/>
      <c r="U38" s="1177"/>
      <c r="V38" s="2525" t="s">
        <v>554</v>
      </c>
      <c r="W38" s="2524" t="s">
        <v>555</v>
      </c>
      <c r="X38" s="2524"/>
      <c r="Y38" s="2524"/>
      <c r="Z38" s="2524" t="s">
        <v>556</v>
      </c>
      <c r="AA38" s="2524"/>
      <c r="AB38" s="2524"/>
      <c r="AC38" s="2453" t="s">
        <v>458</v>
      </c>
      <c r="AD38" s="2472"/>
      <c r="AE38" s="2473"/>
      <c r="AF38" s="2437"/>
      <c r="AG38" s="2525" t="s">
        <v>554</v>
      </c>
      <c r="AH38" s="2524" t="s">
        <v>555</v>
      </c>
      <c r="AI38" s="2524"/>
      <c r="AJ38" s="2524"/>
      <c r="AK38" s="2524" t="s">
        <v>556</v>
      </c>
      <c r="AL38" s="2524"/>
      <c r="AM38" s="2524"/>
      <c r="AN38" s="2453" t="s">
        <v>458</v>
      </c>
      <c r="AO38" s="2472"/>
      <c r="AP38" s="2473"/>
      <c r="AQ38" s="2437"/>
      <c r="AR38" s="2440"/>
      <c r="AS38" s="2286"/>
      <c r="AT38" s="1782"/>
      <c r="AU38" s="1782"/>
      <c r="AV38" s="1782"/>
      <c r="AW38" s="1782"/>
      <c r="AX38" s="1782"/>
      <c r="AY38" s="1777">
        <v>19</v>
      </c>
    </row>
    <row customHeight="1" ht="19.95">
      <c r="Q39" s="522"/>
      <c r="R39" s="522"/>
      <c r="S39" s="2432"/>
      <c r="T39" s="2368"/>
      <c r="U39" s="1177"/>
      <c r="V39" s="2525"/>
      <c r="W39" s="2524" t="s">
        <v>557</v>
      </c>
      <c r="X39" s="2524" t="s">
        <v>558</v>
      </c>
      <c r="Y39" s="2524"/>
      <c r="Z39" s="2524" t="s">
        <v>559</v>
      </c>
      <c r="AA39" s="2524" t="s">
        <v>558</v>
      </c>
      <c r="AB39" s="2524"/>
      <c r="AC39" s="2454"/>
      <c r="AD39" s="2474"/>
      <c r="AE39" s="2475"/>
      <c r="AF39" s="2437"/>
      <c r="AG39" s="2525"/>
      <c r="AH39" s="2524" t="s">
        <v>557</v>
      </c>
      <c r="AI39" s="2524" t="s">
        <v>558</v>
      </c>
      <c r="AJ39" s="2524"/>
      <c r="AK39" s="2524" t="s">
        <v>559</v>
      </c>
      <c r="AL39" s="2524" t="s">
        <v>558</v>
      </c>
      <c r="AM39" s="2524"/>
      <c r="AN39" s="2454"/>
      <c r="AO39" s="2474"/>
      <c r="AP39" s="2475"/>
      <c r="AQ39" s="2437"/>
      <c r="AR39" s="2440"/>
      <c r="AS39" s="2286"/>
      <c r="AY39" s="1301">
        <v>19</v>
      </c>
    </row>
    <row customHeight="1" ht="61.949999999999996">
      <c r="A40" s="1516"/>
      <c r="B40" s="1516" t="s">
        <v>159</v>
      </c>
      <c r="C40" s="1516" t="s">
        <v>160</v>
      </c>
      <c r="D40" s="1516" t="s">
        <v>161</v>
      </c>
      <c r="E40" s="1510" t="s">
        <v>459</v>
      </c>
      <c r="F40" s="1510" t="s">
        <v>460</v>
      </c>
      <c r="G40" s="1510" t="s">
        <v>461</v>
      </c>
      <c r="H40" s="1510"/>
      <c r="I40" s="1510" t="s">
        <v>512</v>
      </c>
      <c r="J40" s="1510" t="s">
        <v>464</v>
      </c>
      <c r="K40" s="1510" t="s">
        <v>513</v>
      </c>
      <c r="L40" s="1510" t="s">
        <v>440</v>
      </c>
      <c r="Q40" s="522"/>
      <c r="R40" s="522"/>
      <c r="S40" s="2432"/>
      <c r="T40" s="2368"/>
      <c r="U40" s="448"/>
      <c r="V40" s="2525"/>
      <c r="W40" s="2524"/>
      <c r="X40" s="2126" t="s">
        <v>560</v>
      </c>
      <c r="Y40" s="2126" t="s">
        <v>561</v>
      </c>
      <c r="Z40" s="2524"/>
      <c r="AA40" s="2126" t="s">
        <v>562</v>
      </c>
      <c r="AB40" s="2126" t="s">
        <v>563</v>
      </c>
      <c r="AC40" s="1635" t="s">
        <v>468</v>
      </c>
      <c r="AD40" s="2429" t="s">
        <v>469</v>
      </c>
      <c r="AE40" s="2430"/>
      <c r="AF40" s="2438"/>
      <c r="AG40" s="2525"/>
      <c r="AH40" s="2524"/>
      <c r="AI40" s="2126" t="s">
        <v>560</v>
      </c>
      <c r="AJ40" s="2126" t="s">
        <v>561</v>
      </c>
      <c r="AK40" s="2524"/>
      <c r="AL40" s="2126" t="s">
        <v>562</v>
      </c>
      <c r="AM40" s="2126" t="s">
        <v>563</v>
      </c>
      <c r="AN40" s="1635" t="s">
        <v>468</v>
      </c>
      <c r="AO40" s="2429" t="s">
        <v>469</v>
      </c>
      <c r="AP40" s="2430"/>
      <c r="AQ40" s="2438"/>
      <c r="AR40" s="2441"/>
      <c r="AS40" s="2286"/>
      <c r="AY40" s="1301">
        <v>59</v>
      </c>
    </row>
    <row s="6314" customFormat="1" customHeight="1" ht="11.25" hidden="1">
      <c r="A41" s="1516"/>
      <c r="B41" s="1516"/>
      <c r="C41" s="1516"/>
      <c r="D41" s="1516"/>
      <c r="E41" s="1516"/>
      <c r="F41" s="1516"/>
      <c r="G41" s="1516"/>
      <c r="H41" s="1516"/>
      <c r="I41" s="1516"/>
      <c r="J41" s="1516"/>
      <c r="K41" s="1516"/>
      <c r="L41" s="1510"/>
      <c r="M41" s="1508"/>
      <c r="N41" s="1508"/>
      <c r="O41" s="1508"/>
      <c r="P41" s="1392"/>
      <c r="Q41" s="1393"/>
      <c r="R41" s="1400">
        <v>1</v>
      </c>
      <c r="S41" s="1423" t="s">
        <v>121</v>
      </c>
      <c r="T41" s="1401" t="s">
        <v>105</v>
      </c>
      <c r="U41" s="1391" t="str">
        <f>OFFSET(U41,0,-1)</f>
        <v>2</v>
      </c>
      <c r="V41" s="1628">
        <f>OFFSET(V41,0,-1)+1</f>
        <v>3</v>
      </c>
      <c r="W41" s="2122"/>
      <c r="X41" s="2122"/>
      <c r="Y41" s="2122"/>
      <c r="Z41" s="2122"/>
      <c r="AA41" s="2122"/>
      <c r="AB41" s="1628">
        <f>OFFSET(AB41,0,-1)+1</f>
        <v>1</v>
      </c>
      <c r="AC41" s="1628">
        <f>OFFSET(AC41,0,-1)+1</f>
        <v>2</v>
      </c>
      <c r="AD41" s="2431">
        <f>OFFSET(AD41,0,-1)+1</f>
        <v>3</v>
      </c>
      <c r="AE41" s="2431"/>
      <c r="AF41" s="1628">
        <f>OFFSET(AF41,0,-2)+1</f>
        <v>4</v>
      </c>
      <c r="AG41" s="1628">
        <f>OFFSET(AG41,0,-1)+1</f>
        <v>5</v>
      </c>
      <c r="AH41" s="2122"/>
      <c r="AI41" s="2122"/>
      <c r="AJ41" s="2122"/>
      <c r="AK41" s="2122"/>
      <c r="AL41" s="2122"/>
      <c r="AM41" s="1628">
        <f>OFFSET(AM41,0,-1)+1</f>
        <v>1</v>
      </c>
      <c r="AN41" s="1628">
        <f>OFFSET(AN41,0,-1)+1</f>
        <v>2</v>
      </c>
      <c r="AO41" s="2431">
        <f>OFFSET(AO41,0,-1)+1</f>
        <v>3</v>
      </c>
      <c r="AP41" s="2431"/>
      <c r="AQ41" s="1628">
        <f>OFFSET(AQ41,0,-2)+1</f>
        <v>4</v>
      </c>
      <c r="AR41" s="1391">
        <f>OFFSET(AR41,0,-1)</f>
        <v>4</v>
      </c>
      <c r="AS41" s="1628">
        <f>OFFSET(AS41,0,-1)+1</f>
        <v>5</v>
      </c>
      <c r="AT41" s="657"/>
      <c r="AU41" s="657"/>
      <c r="AV41" s="657"/>
      <c r="AW41" s="657"/>
      <c r="AX41" s="657"/>
      <c r="AY41" s="642">
        <v>0</v>
      </c>
    </row>
    <row customHeight="1" ht="24">
      <c r="A42" s="1509" t="s">
        <v>278</v>
      </c>
      <c r="B42" s="1509"/>
      <c r="C42" s="1509"/>
      <c r="D42" s="1509"/>
      <c r="E42" s="2417">
        <v>1</v>
      </c>
      <c r="F42" s="1509"/>
      <c r="G42" s="1509"/>
      <c r="H42" s="1509"/>
      <c r="I42" s="1509"/>
      <c r="J42" s="1509"/>
      <c r="K42" s="1509"/>
      <c r="L42" s="1510"/>
      <c r="M42" s="1511"/>
      <c r="N42" s="1511"/>
      <c r="O42" s="1511"/>
      <c r="P42" s="507"/>
      <c r="Q42" s="506"/>
      <c r="R42" s="501"/>
      <c r="S42" s="1639">
        <f>INDEX(PT_DIFFERENTIATION_NUM_NTAR,MATCH(A42,PT_DIFFERENTIATION_NTAR_ID,0))</f>
        <v>0</v>
      </c>
      <c r="T42" s="444" t="s">
        <v>147</v>
      </c>
      <c r="U42" s="446"/>
      <c r="V42" s="2401"/>
      <c r="W42" s="2402"/>
      <c r="X42" s="2402"/>
      <c r="Y42" s="2402"/>
      <c r="Z42" s="2402"/>
      <c r="AA42" s="2402"/>
      <c r="AB42" s="2402"/>
      <c r="AC42" s="2402"/>
      <c r="AD42" s="2402"/>
      <c r="AE42" s="2402"/>
      <c r="AF42" s="2403"/>
      <c r="AG42" s="2401" t="str">
        <f>INDEX(PT_DIFFERENTIATION_NTAR,MATCH(A42,PT_DIFFERENTIATION_NTAR_ID,0))</f>
        <v/>
      </c>
      <c r="AH42" s="2402"/>
      <c r="AI42" s="2402"/>
      <c r="AJ42" s="2402"/>
      <c r="AK42" s="2402"/>
      <c r="AL42" s="2402"/>
      <c r="AM42" s="2402"/>
      <c r="AN42" s="2402"/>
      <c r="AO42" s="2402"/>
      <c r="AP42" s="2402"/>
      <c r="AQ42" s="2402"/>
      <c r="AR42" s="2403"/>
      <c r="AS4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46"/>
      <c r="AV42" s="646" t="str">
        <f>IF(T42="","",T42)</f>
        <v>Наименование тарифа</v>
      </c>
      <c r="AW42" s="646"/>
      <c r="AX42" s="646"/>
      <c r="AY42" s="1301">
        <v>23</v>
      </c>
    </row>
    <row customHeight="1" ht="24">
      <c r="A43" s="1509" t="s">
        <v>278</v>
      </c>
      <c r="B43" s="1509" t="s">
        <v>279</v>
      </c>
      <c r="C43" s="1509"/>
      <c r="D43" s="1509"/>
      <c r="E43" s="2418"/>
      <c r="F43" s="2417">
        <v>1</v>
      </c>
      <c r="G43" s="1509"/>
      <c r="H43" s="1509"/>
      <c r="I43" s="1509"/>
      <c r="J43" s="1509"/>
      <c r="K43" s="1509"/>
      <c r="L43" s="1510"/>
      <c r="M43" s="1511"/>
      <c r="N43" s="1511"/>
      <c r="O43" s="1511"/>
      <c r="P43" s="1633"/>
      <c r="Q43" s="498"/>
      <c r="R43" s="499"/>
      <c r="S43" s="1639" t="str">
        <f>INDEX(PT_DIFFERENTIATION_NUM_TER,MATCH(B43,PT_DIFFERENTIATION_TER_ID,0))</f>
        <v>.</v>
      </c>
      <c r="T43" s="454" t="s">
        <v>419</v>
      </c>
      <c r="U43" s="446"/>
      <c r="V43" s="2401"/>
      <c r="W43" s="2402"/>
      <c r="X43" s="2402"/>
      <c r="Y43" s="2402"/>
      <c r="Z43" s="2402"/>
      <c r="AA43" s="2402"/>
      <c r="AB43" s="2402"/>
      <c r="AC43" s="2402"/>
      <c r="AD43" s="2402"/>
      <c r="AE43" s="2402"/>
      <c r="AF43" s="2403"/>
      <c r="AG43" s="2401" t="str">
        <f>INDEX(PT_DIFFERENTIATION_TER,MATCH(B43,PT_DIFFERENTIATION_TER_ID,0))</f>
        <v/>
      </c>
      <c r="AH43" s="2402"/>
      <c r="AI43" s="2402"/>
      <c r="AJ43" s="2402"/>
      <c r="AK43" s="2402"/>
      <c r="AL43" s="2402"/>
      <c r="AM43" s="2402"/>
      <c r="AN43" s="2402"/>
      <c r="AO43" s="2402"/>
      <c r="AP43" s="2402"/>
      <c r="AQ43" s="2402"/>
      <c r="AR43" s="2403"/>
      <c r="AS43" s="1404" t="s">
        <v>420</v>
      </c>
      <c r="AU43" s="646"/>
      <c r="AV43" s="646" t="str">
        <f>IF(T43="","",T43)</f>
        <v>Территория действия тарифа</v>
      </c>
      <c r="AW43" s="646"/>
      <c r="AX43" s="646"/>
      <c r="AY43" s="1301">
        <v>23</v>
      </c>
    </row>
    <row customHeight="1" ht="24">
      <c r="A44" s="1509" t="s">
        <v>278</v>
      </c>
      <c r="B44" s="1509" t="s">
        <v>279</v>
      </c>
      <c r="C44" s="1509" t="s">
        <v>280</v>
      </c>
      <c r="D44" s="1509"/>
      <c r="E44" s="2418"/>
      <c r="F44" s="2418"/>
      <c r="G44" s="2417">
        <v>1</v>
      </c>
      <c r="H44" s="1509"/>
      <c r="I44" s="1509"/>
      <c r="J44" s="1509"/>
      <c r="K44" s="1509"/>
      <c r="L44" s="1510"/>
      <c r="M44" s="1511"/>
      <c r="N44" s="1511"/>
      <c r="O44" s="1511"/>
      <c r="P44" s="500"/>
      <c r="Q44" s="498"/>
      <c r="R44" s="499"/>
      <c r="S44" s="1639" t="str">
        <f>INDEX(PT_DIFFERENTIATION_NUM_CS,MATCH(C44,PT_DIFFERENTIATION_CS_ID,0))</f>
        <v>..</v>
      </c>
      <c r="T44" s="455" t="s">
        <v>552</v>
      </c>
      <c r="U44" s="446"/>
      <c r="V44" s="2401"/>
      <c r="W44" s="2402"/>
      <c r="X44" s="2402"/>
      <c r="Y44" s="2402"/>
      <c r="Z44" s="2402"/>
      <c r="AA44" s="2402"/>
      <c r="AB44" s="2402"/>
      <c r="AC44" s="2402"/>
      <c r="AD44" s="2402"/>
      <c r="AE44" s="2402"/>
      <c r="AF44" s="2403"/>
      <c r="AG44" s="2401" t="str">
        <f>INDEX(PT_DIFFERENTIATION_CS,MATCH(C44,PT_DIFFERENTIATION_CS_ID,0))</f>
        <v/>
      </c>
      <c r="AH44" s="2402"/>
      <c r="AI44" s="2402"/>
      <c r="AJ44" s="2402"/>
      <c r="AK44" s="2402"/>
      <c r="AL44" s="2402"/>
      <c r="AM44" s="2402"/>
      <c r="AN44" s="2402"/>
      <c r="AO44" s="2402"/>
      <c r="AP44" s="2402"/>
      <c r="AQ44" s="2402"/>
      <c r="AR44" s="2403"/>
      <c r="AS44" s="1404" t="s">
        <v>553</v>
      </c>
      <c r="AU44" s="646"/>
      <c r="AV44" s="646" t="str">
        <f>IF(T44="","",T44)</f>
        <v>Наименование централизованной системы горячего водоснабжения</v>
      </c>
      <c r="AW44" s="646"/>
      <c r="AX44" s="646"/>
      <c r="AY44" s="1301">
        <v>23</v>
      </c>
    </row>
    <row customHeight="1" ht="24">
      <c r="A45" s="1509" t="s">
        <v>278</v>
      </c>
      <c r="B45" s="1509" t="s">
        <v>279</v>
      </c>
      <c r="C45" s="1509" t="s">
        <v>280</v>
      </c>
      <c r="D45" s="1509" t="s">
        <v>565</v>
      </c>
      <c r="E45" s="2418"/>
      <c r="F45" s="2418"/>
      <c r="G45" s="2418"/>
      <c r="H45" s="2418"/>
      <c r="I45" s="2415" t="str">
        <f>S44&amp;".1"</f>
        <v>...1</v>
      </c>
      <c r="J45" s="1509"/>
      <c r="K45" s="1509"/>
      <c r="L45" s="1510"/>
      <c r="P45" s="2416">
        <v>1</v>
      </c>
      <c r="Q45" s="1627"/>
      <c r="R45" s="502"/>
      <c r="S45" s="1639" t="str">
        <f>$I45</f>
        <v>...1</v>
      </c>
      <c r="T45" s="431" t="s">
        <v>505</v>
      </c>
      <c r="U45" s="446"/>
      <c r="V45" s="2509"/>
      <c r="W45" s="2510"/>
      <c r="X45" s="2510"/>
      <c r="Y45" s="2510"/>
      <c r="Z45" s="2510"/>
      <c r="AA45" s="2510"/>
      <c r="AB45" s="2510"/>
      <c r="AC45" s="2510"/>
      <c r="AD45" s="2510"/>
      <c r="AE45" s="2510"/>
      <c r="AF45" s="2511"/>
      <c r="AG45" s="2512"/>
      <c r="AH45" s="2513"/>
      <c r="AI45" s="2513"/>
      <c r="AJ45" s="2513"/>
      <c r="AK45" s="2513"/>
      <c r="AL45" s="2513"/>
      <c r="AM45" s="2513"/>
      <c r="AN45" s="2513"/>
      <c r="AO45" s="2513"/>
      <c r="AP45" s="2513"/>
      <c r="AQ45" s="2513"/>
      <c r="AR45" s="2514"/>
      <c r="AS45" s="1404" t="s">
        <v>506</v>
      </c>
      <c r="AU45" s="646"/>
      <c r="AV45" s="646" t="str">
        <f>IF(T45="","",T45)</f>
        <v>Наименование признака дифференциации</v>
      </c>
      <c r="AW45" s="646"/>
      <c r="AX45" s="646"/>
      <c r="AY45" s="1301">
        <v>23</v>
      </c>
    </row>
    <row customHeight="1" ht="24">
      <c r="A46" s="1509" t="s">
        <v>278</v>
      </c>
      <c r="B46" s="1509" t="s">
        <v>279</v>
      </c>
      <c r="C46" s="1509" t="s">
        <v>280</v>
      </c>
      <c r="D46" s="1509" t="s">
        <v>565</v>
      </c>
      <c r="E46" s="2418"/>
      <c r="F46" s="2418"/>
      <c r="G46" s="2418"/>
      <c r="H46" s="2418"/>
      <c r="I46" s="2445"/>
      <c r="J46" s="2415" t="str">
        <f>I45&amp;".1"</f>
        <v>...1.1</v>
      </c>
      <c r="K46" s="1509"/>
      <c r="L46" s="1510" t="s">
        <v>428</v>
      </c>
      <c r="P46" s="2416"/>
      <c r="Q46" s="2416">
        <v>1</v>
      </c>
      <c r="R46" s="503"/>
      <c r="S46" s="1639" t="str">
        <f>$J46</f>
        <v>...1.1</v>
      </c>
      <c r="T46" s="432" t="s">
        <v>429</v>
      </c>
      <c r="U46" s="446"/>
      <c r="V46" s="2404"/>
      <c r="W46" s="2405"/>
      <c r="X46" s="2405"/>
      <c r="Y46" s="2405"/>
      <c r="Z46" s="2405"/>
      <c r="AA46" s="2405"/>
      <c r="AB46" s="2405"/>
      <c r="AC46" s="2405"/>
      <c r="AD46" s="2405"/>
      <c r="AE46" s="2405"/>
      <c r="AF46" s="2406"/>
      <c r="AG46" s="2404"/>
      <c r="AH46" s="2405"/>
      <c r="AI46" s="2405"/>
      <c r="AJ46" s="2405"/>
      <c r="AK46" s="2405"/>
      <c r="AL46" s="2405"/>
      <c r="AM46" s="2405"/>
      <c r="AN46" s="2405"/>
      <c r="AO46" s="2405"/>
      <c r="AP46" s="2405"/>
      <c r="AQ46" s="2405"/>
      <c r="AR46" s="2406"/>
      <c r="AS46" s="1453" t="s">
        <v>507</v>
      </c>
      <c r="AU46" s="646"/>
      <c r="AV46" s="646" t="str">
        <f>IF(T46="","",T46)</f>
        <v>Группа потребителей</v>
      </c>
      <c r="AW46" s="646"/>
      <c r="AX46" s="646"/>
      <c r="AY46" s="1301">
        <v>23</v>
      </c>
    </row>
    <row customHeight="1" ht="24">
      <c r="A47" s="1509" t="s">
        <v>278</v>
      </c>
      <c r="B47" s="1509" t="s">
        <v>279</v>
      </c>
      <c r="C47" s="1509" t="s">
        <v>280</v>
      </c>
      <c r="D47" s="1509" t="s">
        <v>565</v>
      </c>
      <c r="E47" s="2418"/>
      <c r="F47" s="2418"/>
      <c r="G47" s="2418"/>
      <c r="H47" s="2418"/>
      <c r="I47" s="2445"/>
      <c r="J47" s="2445"/>
      <c r="K47" s="2415" t="str">
        <f>J46&amp;".1"</f>
        <v>...1.1.1</v>
      </c>
      <c r="L47" s="1510"/>
      <c r="P47" s="2416"/>
      <c r="Q47" s="2416"/>
      <c r="R47" s="503">
        <v>1</v>
      </c>
      <c r="S47" s="1639" t="str">
        <f>$K47</f>
        <v>...1.1.1</v>
      </c>
      <c r="T47" s="1583"/>
      <c r="U47" s="446"/>
      <c r="V47" s="1506"/>
      <c r="W47" s="1506"/>
      <c r="X47" s="1506"/>
      <c r="Y47" s="1506"/>
      <c r="Z47" s="1506"/>
      <c r="AA47" s="1506"/>
      <c r="AB47" s="1507"/>
      <c r="AC47" s="2426"/>
      <c r="AD47" s="2427" t="s">
        <v>63</v>
      </c>
      <c r="AE47" s="2426"/>
      <c r="AF47" s="2427" t="s">
        <v>63</v>
      </c>
      <c r="AG47" s="897"/>
      <c r="AH47" s="897"/>
      <c r="AI47" s="897"/>
      <c r="AJ47" s="897"/>
      <c r="AK47" s="897"/>
      <c r="AL47" s="897"/>
      <c r="AM47" s="1403"/>
      <c r="AN47" s="2424"/>
      <c r="AO47" s="2266" t="s">
        <v>63</v>
      </c>
      <c r="AP47" s="2446"/>
      <c r="AQ47" s="2266" t="s">
        <v>19</v>
      </c>
      <c r="AR47" s="1584"/>
      <c r="AS47" s="25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7">
        <f>STRCHECKDATE(V48:AR48)</f>
      </c>
      <c r="AU47" s="646"/>
      <c r="AV47" s="646" t="str">
        <f>IF(T47="","",T47)</f>
        <v/>
      </c>
      <c r="AW47" s="646"/>
      <c r="AX47" s="646"/>
      <c r="AY47" s="1301">
        <v>23</v>
      </c>
    </row>
    <row customHeight="1" ht="0">
      <c r="A48" s="1509" t="s">
        <v>278</v>
      </c>
      <c r="B48" s="1509" t="s">
        <v>279</v>
      </c>
      <c r="C48" s="1509" t="s">
        <v>280</v>
      </c>
      <c r="D48" s="1509" t="s">
        <v>565</v>
      </c>
      <c r="E48" s="2418"/>
      <c r="F48" s="2418"/>
      <c r="G48" s="2418"/>
      <c r="H48" s="2418"/>
      <c r="I48" s="2445"/>
      <c r="J48" s="2445"/>
      <c r="K48" s="2415"/>
      <c r="L48" s="1510"/>
      <c r="P48" s="2416"/>
      <c r="Q48" s="2416"/>
      <c r="R48" s="503"/>
      <c r="S48" s="1636"/>
      <c r="T48" s="446"/>
      <c r="U48" s="446"/>
      <c r="V48" s="1506"/>
      <c r="W48" s="1506"/>
      <c r="X48" s="1506"/>
      <c r="Y48" s="1506"/>
      <c r="Z48" s="1506"/>
      <c r="AA48" s="1506"/>
      <c r="AB48" s="474" t="str">
        <f>AC47&amp;"-"&amp;AE47</f>
        <v>-</v>
      </c>
      <c r="AC48" s="2427"/>
      <c r="AD48" s="2427"/>
      <c r="AE48" s="2427"/>
      <c r="AF48" s="2427"/>
      <c r="AG48" s="471"/>
      <c r="AH48" s="471"/>
      <c r="AI48" s="471"/>
      <c r="AJ48" s="471"/>
      <c r="AK48" s="471"/>
      <c r="AL48" s="471"/>
      <c r="AM48" s="474" t="str">
        <f>AN47&amp;"-"&amp;AP47</f>
        <v>-</v>
      </c>
      <c r="AN48" s="2425"/>
      <c r="AO48" s="2266"/>
      <c r="AP48" s="2447"/>
      <c r="AQ48" s="2266"/>
      <c r="AR48" s="1585"/>
      <c r="AS48" s="2508"/>
      <c r="AU48" s="646"/>
      <c r="AV48" s="646" t="str">
        <f>IF(T48="","",T48)</f>
        <v/>
      </c>
      <c r="AW48" s="646"/>
      <c r="AX48" s="646"/>
      <c r="AY48" s="1301">
        <v>0</v>
      </c>
    </row>
    <row customHeight="1" ht="21">
      <c r="A49" s="1509" t="s">
        <v>278</v>
      </c>
      <c r="B49" s="1509" t="s">
        <v>279</v>
      </c>
      <c r="C49" s="1509" t="s">
        <v>280</v>
      </c>
      <c r="D49" s="1509" t="s">
        <v>565</v>
      </c>
      <c r="E49" s="2418"/>
      <c r="F49" s="2418"/>
      <c r="G49" s="2418"/>
      <c r="H49" s="2418"/>
      <c r="I49" s="2445"/>
      <c r="J49" s="2415"/>
      <c r="K49" s="1509"/>
      <c r="L49" s="1510"/>
      <c r="P49" s="2416"/>
      <c r="Q49" s="2416"/>
      <c r="R49" s="502"/>
      <c r="S49" s="1424"/>
      <c r="T49" s="433" t="s">
        <v>508</v>
      </c>
      <c r="U49" s="513"/>
      <c r="V49" s="513"/>
      <c r="W49" s="746"/>
      <c r="X49" s="746"/>
      <c r="Y49" s="746"/>
      <c r="Z49" s="746"/>
      <c r="AA49" s="746"/>
      <c r="AB49" s="513"/>
      <c r="AC49" s="513"/>
      <c r="AD49" s="513"/>
      <c r="AE49" s="513"/>
      <c r="AF49" s="513"/>
      <c r="AG49" s="513"/>
      <c r="AH49" s="746"/>
      <c r="AI49" s="746"/>
      <c r="AJ49" s="746"/>
      <c r="AK49" s="746"/>
      <c r="AL49" s="746"/>
      <c r="AM49" s="513"/>
      <c r="AN49" s="513"/>
      <c r="AO49" s="513"/>
      <c r="AP49" s="513"/>
      <c r="AQ49" s="513"/>
      <c r="AR49" s="513"/>
      <c r="AS49" s="1404" t="s">
        <v>509</v>
      </c>
      <c r="AU49" s="646"/>
      <c r="AV49" s="646" t="str">
        <f>IF(T49="","",T49)</f>
        <v>Добавить значение признака дифференциации</v>
      </c>
      <c r="AW49" s="646"/>
      <c r="AX49" s="646"/>
      <c r="AY49" s="1301">
        <v>20</v>
      </c>
    </row>
    <row customHeight="1" ht="22.049999999999997">
      <c r="A50" s="1509" t="s">
        <v>278</v>
      </c>
      <c r="B50" s="1509" t="s">
        <v>279</v>
      </c>
      <c r="C50" s="1509" t="s">
        <v>280</v>
      </c>
      <c r="D50" s="1509" t="s">
        <v>565</v>
      </c>
      <c r="E50" s="2418"/>
      <c r="F50" s="2418"/>
      <c r="G50" s="2418"/>
      <c r="H50" s="2418"/>
      <c r="I50" s="2415"/>
      <c r="J50" s="1509"/>
      <c r="K50" s="1509"/>
      <c r="L50" s="1510"/>
      <c r="P50" s="2416"/>
      <c r="Q50" s="1627"/>
      <c r="R50" s="502"/>
      <c r="S50" s="1424"/>
      <c r="T50" s="511" t="s">
        <v>434</v>
      </c>
      <c r="U50" s="513"/>
      <c r="V50" s="513"/>
      <c r="W50" s="746"/>
      <c r="X50" s="746"/>
      <c r="Y50" s="746"/>
      <c r="Z50" s="746"/>
      <c r="AA50" s="746"/>
      <c r="AB50" s="513"/>
      <c r="AC50" s="513"/>
      <c r="AD50" s="513"/>
      <c r="AE50" s="513"/>
      <c r="AF50" s="512"/>
      <c r="AG50" s="513"/>
      <c r="AH50" s="746"/>
      <c r="AI50" s="746"/>
      <c r="AJ50" s="746"/>
      <c r="AK50" s="746"/>
      <c r="AL50" s="746"/>
      <c r="AM50" s="513"/>
      <c r="AN50" s="513"/>
      <c r="AO50" s="513"/>
      <c r="AP50" s="513"/>
      <c r="AQ50" s="512"/>
      <c r="AR50" s="513"/>
      <c r="AS50" s="1586"/>
      <c r="AU50" s="646"/>
      <c r="AV50" s="646" t="str">
        <f>IF(T50="","",T50)</f>
        <v>Добавить группу потребителей</v>
      </c>
      <c r="AW50" s="646"/>
      <c r="AX50" s="646"/>
      <c r="AY50" s="1301">
        <v>21</v>
      </c>
    </row>
    <row customHeight="1" ht="22.049999999999997">
      <c r="A51" s="1509" t="s">
        <v>278</v>
      </c>
      <c r="B51" s="1509" t="s">
        <v>279</v>
      </c>
      <c r="C51" s="1509" t="s">
        <v>280</v>
      </c>
      <c r="D51" s="1509" t="s">
        <v>565</v>
      </c>
      <c r="E51" s="2418"/>
      <c r="F51" s="2418"/>
      <c r="G51" s="2418"/>
      <c r="H51" s="2417"/>
      <c r="I51" s="1509"/>
      <c r="J51" s="1509"/>
      <c r="K51" s="1509"/>
      <c r="L51" s="1510"/>
      <c r="M51" s="1511"/>
      <c r="N51" s="1511"/>
      <c r="O51" s="683"/>
      <c r="P51" s="506"/>
      <c r="Q51" s="521"/>
      <c r="R51" s="501"/>
      <c r="S51" s="1424"/>
      <c r="T51" s="518" t="s">
        <v>510</v>
      </c>
      <c r="U51" s="513"/>
      <c r="V51" s="513"/>
      <c r="W51" s="746"/>
      <c r="X51" s="746"/>
      <c r="Y51" s="746"/>
      <c r="Z51" s="746"/>
      <c r="AA51" s="746"/>
      <c r="AB51" s="513"/>
      <c r="AC51" s="513"/>
      <c r="AD51" s="513"/>
      <c r="AE51" s="513"/>
      <c r="AF51" s="512"/>
      <c r="AG51" s="513"/>
      <c r="AH51" s="746"/>
      <c r="AI51" s="746"/>
      <c r="AJ51" s="746"/>
      <c r="AK51" s="746"/>
      <c r="AL51" s="746"/>
      <c r="AM51" s="513"/>
      <c r="AN51" s="513"/>
      <c r="AO51" s="513"/>
      <c r="AP51" s="513"/>
      <c r="AQ51" s="512"/>
      <c r="AR51" s="513"/>
      <c r="AS51" s="449"/>
      <c r="AU51" s="646"/>
      <c r="AV51" s="646" t="str">
        <f>IF(T51="","",T51)</f>
        <v>Добавить наименование признака дифференциации</v>
      </c>
      <c r="AW51" s="646"/>
      <c r="AX51" s="646"/>
      <c r="AY51" s="1301">
        <v>21</v>
      </c>
    </row>
    <row s="6720" customFormat="1" customHeight="1" ht="0">
      <c r="A52" s="1489" t="s">
        <v>278</v>
      </c>
      <c r="B52" s="1489" t="s">
        <v>279</v>
      </c>
      <c r="C52" s="1460"/>
      <c r="D52" s="1460"/>
      <c r="E52" s="2418"/>
      <c r="F52" s="2417"/>
      <c r="G52" s="1460"/>
      <c r="H52" s="1460"/>
      <c r="I52" s="1460"/>
      <c r="J52" s="1460"/>
      <c r="K52" s="1460"/>
      <c r="L52" s="1640"/>
      <c r="M52" s="1467"/>
      <c r="N52" s="1467"/>
      <c r="P52" s="1462"/>
      <c r="Q52" s="1463"/>
      <c r="R52" s="1462"/>
      <c r="S52" s="1468"/>
      <c r="T52" s="1471" t="s">
        <v>437</v>
      </c>
      <c r="U52" s="1470"/>
      <c r="V52" s="1470"/>
      <c r="W52" s="1470"/>
      <c r="X52" s="1470"/>
      <c r="Y52" s="1470"/>
      <c r="Z52" s="1470"/>
      <c r="AA52" s="1470"/>
      <c r="AB52" s="1470"/>
      <c r="AC52" s="1470"/>
      <c r="AD52" s="1470"/>
      <c r="AE52" s="1470"/>
      <c r="AF52" s="1470"/>
      <c r="AG52" s="1470"/>
      <c r="AH52" s="1470"/>
      <c r="AI52" s="1470"/>
      <c r="AJ52" s="1470"/>
      <c r="AK52" s="1470"/>
      <c r="AL52" s="1470"/>
      <c r="AM52" s="1470"/>
      <c r="AN52" s="1470"/>
      <c r="AO52" s="1470"/>
      <c r="AP52" s="1470"/>
      <c r="AQ52" s="1470"/>
      <c r="AR52" s="1470"/>
      <c r="AS52" s="1470"/>
      <c r="AU52" s="935"/>
      <c r="AV52" s="935" t="str">
        <f>IF(T52="","",T52)</f>
        <v>Добавить централизованную систему для дифференциации</v>
      </c>
      <c r="AW52" s="935"/>
      <c r="AX52" s="935"/>
      <c r="AY52" s="664">
        <v>0</v>
      </c>
    </row>
    <row s="6720" customFormat="1" customHeight="1" ht="0">
      <c r="A53" s="1489" t="s">
        <v>278</v>
      </c>
      <c r="B53" s="1489"/>
      <c r="C53" s="1489"/>
      <c r="D53" s="1489"/>
      <c r="E53" s="2417"/>
      <c r="F53" s="1489"/>
      <c r="G53" s="1489"/>
      <c r="H53" s="1489"/>
      <c r="I53" s="1489"/>
      <c r="J53" s="1489"/>
      <c r="K53" s="1489"/>
      <c r="L53" s="1492"/>
      <c r="M53" s="1467"/>
      <c r="N53" s="1467"/>
      <c r="O53" s="664"/>
      <c r="P53" s="526"/>
      <c r="Q53" s="1490"/>
      <c r="R53" s="526"/>
      <c r="S53" s="1468"/>
      <c r="T53" s="1471" t="s">
        <v>438</v>
      </c>
      <c r="U53" s="1470"/>
      <c r="V53" s="1470"/>
      <c r="W53" s="1470"/>
      <c r="X53" s="1470"/>
      <c r="Y53" s="1470"/>
      <c r="Z53" s="1470"/>
      <c r="AA53" s="1470"/>
      <c r="AB53" s="1470"/>
      <c r="AC53" s="1470"/>
      <c r="AD53" s="1470"/>
      <c r="AE53" s="1470"/>
      <c r="AF53" s="1470"/>
      <c r="AG53" s="1470"/>
      <c r="AH53" s="1470"/>
      <c r="AI53" s="1470"/>
      <c r="AJ53" s="1470"/>
      <c r="AK53" s="1470"/>
      <c r="AL53" s="1470"/>
      <c r="AM53" s="1470"/>
      <c r="AN53" s="1470"/>
      <c r="AO53" s="1470"/>
      <c r="AP53" s="1470"/>
      <c r="AQ53" s="1470"/>
      <c r="AR53" s="1470"/>
      <c r="AS53" s="1470"/>
      <c r="AU53" s="646"/>
      <c r="AV53" s="646" t="str">
        <f>IF(T53="","",T53)</f>
        <v>Добавить территорию для дифференциации</v>
      </c>
      <c r="AW53" s="646"/>
      <c r="AX53" s="646"/>
      <c r="AY53" s="657">
        <v>0</v>
      </c>
    </row>
    <row s="6720" customFormat="1" customHeight="1" ht="0">
      <c r="A54" s="1460"/>
      <c r="B54" s="1460"/>
      <c r="C54" s="1460"/>
      <c r="D54" s="1460"/>
      <c r="E54" s="1489"/>
      <c r="F54" s="1460"/>
      <c r="G54" s="1460"/>
      <c r="H54" s="1460"/>
      <c r="I54" s="1460"/>
      <c r="J54" s="1460"/>
      <c r="K54" s="1460"/>
      <c r="L54" s="1640"/>
      <c r="M54" s="1467"/>
      <c r="N54" s="1467"/>
      <c r="P54" s="1462"/>
      <c r="Q54" s="1463"/>
      <c r="R54" s="1462"/>
      <c r="S54" s="1468"/>
      <c r="T54" s="1471" t="s">
        <v>470</v>
      </c>
      <c r="U54" s="1470"/>
      <c r="V54" s="1470"/>
      <c r="W54" s="1470"/>
      <c r="X54" s="1470"/>
      <c r="Y54" s="1470"/>
      <c r="Z54" s="1470"/>
      <c r="AA54" s="1470"/>
      <c r="AB54" s="1470"/>
      <c r="AC54" s="1470"/>
      <c r="AD54" s="1470"/>
      <c r="AE54" s="1470"/>
      <c r="AF54" s="1470"/>
      <c r="AG54" s="1470"/>
      <c r="AH54" s="1470"/>
      <c r="AI54" s="1470"/>
      <c r="AJ54" s="1470"/>
      <c r="AK54" s="1470"/>
      <c r="AL54" s="1470"/>
      <c r="AM54" s="1470"/>
      <c r="AN54" s="1470"/>
      <c r="AO54" s="1470"/>
      <c r="AP54" s="1470"/>
      <c r="AQ54" s="1470"/>
      <c r="AR54" s="1470"/>
      <c r="AS54" s="1470"/>
      <c r="AU54" s="935"/>
      <c r="AV54" s="935" t="str">
        <f>IF(T54="","",T54)</f>
        <v>Добавить наименование тарифа</v>
      </c>
      <c r="AW54" s="935"/>
      <c r="AX54" s="935"/>
      <c r="AY54" s="664">
        <v>0</v>
      </c>
    </row>
    <row customHeight="1" ht="11.549999999999999">
      <c r="M55" s="1306"/>
      <c r="N55" s="1306"/>
      <c r="O55" s="683"/>
      <c r="P55" s="1301"/>
      <c r="Q55" s="1301"/>
      <c r="R55" s="1301"/>
      <c r="S55" s="1301"/>
      <c r="AT55" s="1301"/>
      <c r="AU55" s="1301"/>
      <c r="AV55" s="1301"/>
      <c r="AW55" s="1301"/>
      <c r="AX55" s="1301"/>
      <c r="AY55" s="1301">
        <v>11</v>
      </c>
    </row>
    <row customHeight="1" ht="14.699999999999998">
      <c r="O56" s="683"/>
      <c r="S56" s="1399"/>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c r="AS56" s="2444"/>
      <c r="AY56" s="1301">
        <v>14</v>
      </c>
    </row>
    <row customHeight="1" ht="14.699999999999998">
      <c r="O57" s="683"/>
      <c r="AY57" s="1301">
        <v>14</v>
      </c>
    </row>
    <row customHeight="1" ht="14.699999999999998">
      <c r="O58" s="683"/>
      <c r="S58" s="1399"/>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c r="AS58" s="2444"/>
      <c r="AY58" s="1301">
        <v>14</v>
      </c>
    </row>
    <row customHeight="1" ht="22.5" hidden="1">
      <c r="A59" s="1306" t="s">
        <v>83</v>
      </c>
      <c r="B59" s="1306">
        <v>0</v>
      </c>
      <c r="C59" s="1306">
        <v>0</v>
      </c>
      <c r="D59" s="1306">
        <v>0</v>
      </c>
      <c r="E59" s="1306">
        <v>0</v>
      </c>
      <c r="F59" s="1306">
        <v>0</v>
      </c>
      <c r="G59" s="1306">
        <v>0</v>
      </c>
      <c r="H59" s="1306">
        <v>0</v>
      </c>
      <c r="I59" s="1306">
        <v>0</v>
      </c>
      <c r="J59" s="1306">
        <v>0</v>
      </c>
      <c r="K59" s="1306">
        <v>0</v>
      </c>
      <c r="L59" s="1624">
        <v>0</v>
      </c>
      <c r="M59" s="1508">
        <v>0</v>
      </c>
      <c r="N59" s="1508">
        <v>0</v>
      </c>
      <c r="O59" s="1508">
        <v>0</v>
      </c>
      <c r="P59" s="1619">
        <v>3</v>
      </c>
      <c r="Q59" s="490">
        <v>3</v>
      </c>
      <c r="R59" s="490">
        <v>3</v>
      </c>
      <c r="S59" s="727">
        <v>12</v>
      </c>
      <c r="T59" s="1301">
        <v>35</v>
      </c>
      <c r="U59" s="1301">
        <v>0</v>
      </c>
      <c r="V59" s="1301">
        <v>0</v>
      </c>
      <c r="W59" s="1777">
        <v>0</v>
      </c>
      <c r="X59" s="1777">
        <v>0</v>
      </c>
      <c r="Y59" s="1777">
        <v>0</v>
      </c>
      <c r="Z59" s="1777">
        <v>0</v>
      </c>
      <c r="AA59" s="1777">
        <v>0</v>
      </c>
      <c r="AB59" s="1301">
        <v>0</v>
      </c>
      <c r="AC59" s="1301">
        <v>0</v>
      </c>
      <c r="AD59" s="1301">
        <v>0</v>
      </c>
      <c r="AE59" s="1301">
        <v>0</v>
      </c>
      <c r="AF59" s="1301">
        <v>0</v>
      </c>
      <c r="AG59" s="1301">
        <v>19</v>
      </c>
      <c r="AH59" s="1777">
        <v>19</v>
      </c>
      <c r="AI59" s="1777">
        <v>19</v>
      </c>
      <c r="AJ59" s="1777">
        <v>19</v>
      </c>
      <c r="AK59" s="1777">
        <v>19</v>
      </c>
      <c r="AL59" s="1777">
        <v>19</v>
      </c>
      <c r="AM59" s="1301">
        <v>19</v>
      </c>
      <c r="AN59" s="1301">
        <v>11</v>
      </c>
      <c r="AO59" s="1301">
        <v>3</v>
      </c>
      <c r="AP59" s="1301">
        <v>11</v>
      </c>
      <c r="AQ59" s="1301">
        <v>0</v>
      </c>
      <c r="AR59" s="1301">
        <v>4</v>
      </c>
      <c r="AS59" s="1301">
        <v>115</v>
      </c>
      <c r="AT59" s="657">
        <v>10</v>
      </c>
      <c r="AU59" s="657">
        <v>10</v>
      </c>
      <c r="AV59" s="657">
        <v>10</v>
      </c>
      <c r="AW59" s="657">
        <v>10</v>
      </c>
      <c r="AX59" s="657">
        <v>10</v>
      </c>
      <c r="AY59" s="1301">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ACE666-F88E-7329-BC35-0.C428C291}"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7180" width="11.57421875" hidden="1" customWidth="1"/>
    <col min="2" max="2" style="7180" width="11.00390625" hidden="1" customWidth="1"/>
    <col min="3" max="3" style="7180" width="10.57421875" hidden="1"/>
    <col min="4" max="4" style="7180" width="12.8515625" hidden="1" customWidth="1"/>
    <col min="5" max="5" style="7180" width="10.00390625" hidden="1" customWidth="1"/>
    <col min="6" max="6" style="7180" width="8.7109375" hidden="1" customWidth="1"/>
    <col min="7" max="7" style="7180" width="7.57421875" hidden="1" customWidth="1"/>
    <col min="8" max="8" style="7180" width="11.421875" hidden="1" customWidth="1"/>
    <col min="9" max="9" style="7180" width="12.00390625" hidden="1" customWidth="1"/>
    <col min="10" max="10" style="7180" width="9.8515625" hidden="1" customWidth="1"/>
    <col min="11" max="11" style="7180" width="11.421875" hidden="1" customWidth="1"/>
    <col min="12" max="12" style="7918" width="19.140625" hidden="1" customWidth="1"/>
    <col min="13" max="14" style="6396" width="12.28125" hidden="1" customWidth="1"/>
    <col min="15" max="15" style="6396" width="23.421875" hidden="1" customWidth="1"/>
    <col min="16" max="16" style="6396" width="3.7109375" hidden="1" customWidth="1"/>
    <col min="17" max="17" style="6462" width="3.7109375" hidden="1" customWidth="1"/>
    <col min="18" max="18" style="7205" width="3.00390625" customWidth="1"/>
    <col min="19" max="19" style="7910" width="12.00390625" customWidth="1"/>
    <col min="20" max="20" style="7235" width="31.00390625" customWidth="1"/>
    <col min="21" max="21" style="7235" width="0.140625" customWidth="1"/>
    <col min="22" max="25" style="7235" width="21.7109375" hidden="1" customWidth="1"/>
    <col min="26" max="26" style="7235" width="11.7109375" hidden="1" customWidth="1"/>
    <col min="27" max="27" style="7235" width="3.7109375" hidden="1" customWidth="1"/>
    <col min="28" max="28" style="7235" width="11.7109375" hidden="1" customWidth="1"/>
    <col min="29" max="29" style="7235" width="8.57421875" hidden="1" customWidth="1"/>
    <col min="30" max="30" style="7235" width="3.7109375" customWidth="1"/>
    <col min="31" max="32" style="7235" width="3.00390625" customWidth="1"/>
    <col min="33" max="33" style="7235" width="24.00390625" customWidth="1"/>
    <col min="34" max="34" style="7235" width="3.7109375" customWidth="1"/>
    <col min="35" max="36" style="7235" width="3.00390625" customWidth="1"/>
    <col min="37" max="37" style="7235" width="24.00390625" customWidth="1"/>
    <col min="38" max="38" style="7235" width="3.7109375" customWidth="1"/>
    <col min="39" max="40" style="7235" width="3.00390625" customWidth="1"/>
    <col min="41" max="41" style="7235" width="18.00390625" customWidth="1"/>
    <col min="42" max="42" style="7235" width="3.7109375" customWidth="1"/>
    <col min="43" max="44" style="7235" width="3.00390625" customWidth="1"/>
    <col min="45" max="45" style="7235" width="18.00390625" customWidth="1"/>
    <col min="46" max="49" style="7235" width="21.00390625" customWidth="1"/>
    <col min="50" max="50" style="7235" width="11.00390625" customWidth="1"/>
    <col min="51" max="51" style="7235" width="3.7109375" customWidth="1"/>
    <col min="52" max="52" style="7235" width="11.00390625" customWidth="1"/>
    <col min="53" max="53" style="7235" width="8.57421875" hidden="1" customWidth="1"/>
    <col min="54" max="54" style="7235" width="4.00390625" customWidth="1"/>
    <col min="55" max="55" style="7235" width="115.00390625" customWidth="1"/>
    <col min="56" max="60" style="6720" width="10.00390625" customWidth="1"/>
    <col min="61" max="61" style="7235" width="10.57421875" hidden="1"/>
  </cols>
  <sheetData>
    <row customHeight="1" ht="22.5" hidden="1">
      <c r="W1" s="473"/>
      <c r="Y1" s="473"/>
      <c r="Z1" s="473"/>
      <c r="AW1" s="473"/>
      <c r="AX1" s="473"/>
      <c r="BI1" s="1301" t="s">
        <v>14</v>
      </c>
    </row>
    <row customHeight="1" ht="21" hidden="1">
      <c r="A2" s="1509"/>
      <c r="B2" s="1509"/>
      <c r="C2" s="1509"/>
      <c r="D2" s="1509"/>
      <c r="E2" s="2417">
        <v>1</v>
      </c>
      <c r="F2" s="1509"/>
      <c r="G2" s="1509"/>
      <c r="H2" s="1509"/>
      <c r="I2" s="1509"/>
      <c r="J2" s="1509"/>
      <c r="K2" s="1509"/>
      <c r="L2" s="1510"/>
      <c r="M2" s="1511"/>
      <c r="N2" s="1511"/>
      <c r="O2" s="1511"/>
      <c r="P2" s="1555"/>
      <c r="Q2" s="1019"/>
      <c r="R2" s="501"/>
      <c r="S2" s="1639">
        <f>INDEX(PT_DIFFERENTIATION_NUM_NTAR,MATCH(A2,PT_DIFFERENTIATION_NTAR_ID,0))</f>
      </c>
      <c r="T2" s="444" t="s">
        <v>147</v>
      </c>
      <c r="U2" s="446"/>
      <c r="V2" s="2402"/>
      <c r="W2" s="2402"/>
      <c r="X2" s="2402"/>
      <c r="Y2" s="2402"/>
      <c r="Z2" s="2402"/>
      <c r="AA2" s="2402"/>
      <c r="AB2" s="2402"/>
      <c r="AC2" s="2403"/>
      <c r="AD2" s="2401">
        <f>INDEX(PT_DIFFERENTIATION_NTAR,MATCH(A2,PT_DIFFERENTIATION_NTAR_ID,0))</f>
      </c>
      <c r="AE2" s="2402"/>
      <c r="AF2" s="2402"/>
      <c r="AG2" s="2402"/>
      <c r="AH2" s="2402"/>
      <c r="AI2" s="2402"/>
      <c r="AJ2" s="2402"/>
      <c r="AK2" s="2402"/>
      <c r="AL2" s="2402"/>
      <c r="AM2" s="2402"/>
      <c r="AN2" s="2402"/>
      <c r="AO2" s="2402"/>
      <c r="AP2" s="2402"/>
      <c r="AQ2" s="2402"/>
      <c r="AR2" s="2402"/>
      <c r="AS2" s="2402"/>
      <c r="AT2" s="2402"/>
      <c r="AU2" s="2402"/>
      <c r="AV2" s="2402"/>
      <c r="AW2" s="2402"/>
      <c r="AX2" s="2402"/>
      <c r="AY2" s="2402"/>
      <c r="AZ2" s="2402"/>
      <c r="BA2" s="2402"/>
      <c r="BB2" s="2403"/>
      <c r="BC2"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46"/>
      <c r="BF2" s="646" t="str">
        <f>IF(T2="","",T2)</f>
        <v>Наименование тарифа</v>
      </c>
      <c r="BG2" s="646"/>
      <c r="BH2" s="646"/>
      <c r="BI2" s="1301">
        <v>0</v>
      </c>
    </row>
    <row customHeight="1" ht="21" hidden="1">
      <c r="A3" s="1509"/>
      <c r="B3" s="1509"/>
      <c r="C3" s="1509"/>
      <c r="D3" s="1509"/>
      <c r="E3" s="2418"/>
      <c r="F3" s="2417">
        <v>1</v>
      </c>
      <c r="G3" s="1509"/>
      <c r="H3" s="1509"/>
      <c r="I3" s="1509"/>
      <c r="J3" s="1509"/>
      <c r="K3" s="1509"/>
      <c r="L3" s="1510"/>
      <c r="M3" s="1511"/>
      <c r="N3" s="1511"/>
      <c r="O3" s="1511"/>
      <c r="P3" s="1556"/>
      <c r="Q3" s="1557"/>
      <c r="R3" s="499"/>
      <c r="S3" s="1639">
        <f>INDEX(PT_DIFFERENTIATION_NUM_TER,MATCH(B3,PT_DIFFERENTIATION_TER_ID,0))</f>
      </c>
      <c r="T3" s="454" t="s">
        <v>419</v>
      </c>
      <c r="U3" s="446"/>
      <c r="V3" s="2402"/>
      <c r="W3" s="2402"/>
      <c r="X3" s="2402"/>
      <c r="Y3" s="2402"/>
      <c r="Z3" s="2402"/>
      <c r="AA3" s="2402"/>
      <c r="AB3" s="2402"/>
      <c r="AC3" s="2403"/>
      <c r="AD3" s="2401">
        <f>INDEX(PT_DIFFERENTIATION_TER,MATCH(B3,PT_DIFFERENTIATION_TER_ID,0))</f>
      </c>
      <c r="AE3" s="2402"/>
      <c r="AF3" s="2402"/>
      <c r="AG3" s="2402"/>
      <c r="AH3" s="2402"/>
      <c r="AI3" s="2402"/>
      <c r="AJ3" s="2402"/>
      <c r="AK3" s="2402"/>
      <c r="AL3" s="2402"/>
      <c r="AM3" s="2402"/>
      <c r="AN3" s="2402"/>
      <c r="AO3" s="2402"/>
      <c r="AP3" s="2402"/>
      <c r="AQ3" s="2402"/>
      <c r="AR3" s="2402"/>
      <c r="AS3" s="2402"/>
      <c r="AT3" s="2402"/>
      <c r="AU3" s="2402"/>
      <c r="AV3" s="2402"/>
      <c r="AW3" s="2402"/>
      <c r="AX3" s="2402"/>
      <c r="AY3" s="2402"/>
      <c r="AZ3" s="2402"/>
      <c r="BA3" s="2402"/>
      <c r="BB3" s="2403"/>
      <c r="BC3" s="1404" t="s">
        <v>420</v>
      </c>
      <c r="BE3" s="646"/>
      <c r="BF3" s="646" t="str">
        <f>IF(T3="","",T3)</f>
        <v>Территория действия тарифа</v>
      </c>
      <c r="BG3" s="646"/>
      <c r="BH3" s="646"/>
      <c r="BI3" s="1301">
        <v>0</v>
      </c>
    </row>
    <row customHeight="1" ht="33.75" hidden="1">
      <c r="A4" s="1509"/>
      <c r="B4" s="1509"/>
      <c r="C4" s="1509"/>
      <c r="D4" s="1509"/>
      <c r="E4" s="2418"/>
      <c r="F4" s="2418"/>
      <c r="G4" s="2417">
        <v>1</v>
      </c>
      <c r="H4" s="1509"/>
      <c r="I4" s="1509"/>
      <c r="J4" s="1509"/>
      <c r="K4" s="1509"/>
      <c r="L4" s="1510"/>
      <c r="M4" s="1511"/>
      <c r="N4" s="1511"/>
      <c r="O4" s="1511"/>
      <c r="P4" s="1558"/>
      <c r="Q4" s="1557"/>
      <c r="R4" s="499"/>
      <c r="S4" s="1639">
        <f>INDEX(PT_DIFFERENTIATION_NUM_CS,MATCH(C4,PT_DIFFERENTIATION_CS_ID,0))</f>
      </c>
      <c r="T4" s="455" t="s">
        <v>552</v>
      </c>
      <c r="U4" s="446"/>
      <c r="V4" s="2402"/>
      <c r="W4" s="2402"/>
      <c r="X4" s="2402"/>
      <c r="Y4" s="2402"/>
      <c r="Z4" s="2402"/>
      <c r="AA4" s="2402"/>
      <c r="AB4" s="2402"/>
      <c r="AC4" s="2403"/>
      <c r="AD4" s="2401">
        <f>INDEX(PT_DIFFERENTIATION_CS,MATCH(C4,PT_DIFFERENTIATION_CS_ID,0))</f>
      </c>
      <c r="AE4" s="2402"/>
      <c r="AF4" s="2402"/>
      <c r="AG4" s="2402"/>
      <c r="AH4" s="2402"/>
      <c r="AI4" s="2402"/>
      <c r="AJ4" s="2402"/>
      <c r="AK4" s="2402"/>
      <c r="AL4" s="2402"/>
      <c r="AM4" s="2402"/>
      <c r="AN4" s="2402"/>
      <c r="AO4" s="2402"/>
      <c r="AP4" s="2402"/>
      <c r="AQ4" s="2402"/>
      <c r="AR4" s="2402"/>
      <c r="AS4" s="2402"/>
      <c r="AT4" s="2402"/>
      <c r="AU4" s="2402"/>
      <c r="AV4" s="2402"/>
      <c r="AW4" s="2402"/>
      <c r="AX4" s="2402"/>
      <c r="AY4" s="2402"/>
      <c r="AZ4" s="2402"/>
      <c r="BA4" s="2402"/>
      <c r="BB4" s="2403"/>
      <c r="BC4" s="1404" t="s">
        <v>553</v>
      </c>
      <c r="BE4" s="646"/>
      <c r="BF4" s="646" t="str">
        <f>IF(T4="","",T4)</f>
        <v>Наименование централизованной системы горячего водоснабжения</v>
      </c>
      <c r="BG4" s="646"/>
      <c r="BH4" s="646"/>
      <c r="BI4" s="1301">
        <v>0</v>
      </c>
    </row>
    <row s="6720" customFormat="1" customHeight="1" ht="14.25" hidden="1">
      <c r="A5" s="1489"/>
      <c r="B5" s="1489"/>
      <c r="C5" s="1489"/>
      <c r="D5" s="1489"/>
      <c r="E5" s="2418"/>
      <c r="F5" s="2418"/>
      <c r="G5" s="2418"/>
      <c r="H5" s="2417">
        <v>1</v>
      </c>
      <c r="I5" s="1489"/>
      <c r="J5" s="1489"/>
      <c r="K5" s="1489"/>
      <c r="L5" s="1492"/>
      <c r="M5" s="1461"/>
      <c r="N5" s="1461"/>
      <c r="O5" s="1461"/>
      <c r="P5" s="1643"/>
      <c r="Q5" s="1644"/>
      <c r="R5" s="503"/>
      <c r="S5" s="1188"/>
      <c r="T5" s="1645"/>
      <c r="U5" s="1530"/>
      <c r="V5" s="2456"/>
      <c r="W5" s="2456"/>
      <c r="X5" s="2456"/>
      <c r="Y5" s="2456"/>
      <c r="Z5" s="2456"/>
      <c r="AA5" s="2456"/>
      <c r="AB5" s="2456"/>
      <c r="AC5" s="2457"/>
      <c r="AD5" s="2455"/>
      <c r="AE5" s="2456"/>
      <c r="AF5" s="2456"/>
      <c r="AG5" s="2456"/>
      <c r="AH5" s="2456"/>
      <c r="AI5" s="2456"/>
      <c r="AJ5" s="2456"/>
      <c r="AK5" s="2456"/>
      <c r="AL5" s="2456"/>
      <c r="AM5" s="2456"/>
      <c r="AN5" s="2456"/>
      <c r="AO5" s="2456"/>
      <c r="AP5" s="2456"/>
      <c r="AQ5" s="2456"/>
      <c r="AR5" s="2456"/>
      <c r="AS5" s="2456"/>
      <c r="AT5" s="2456"/>
      <c r="AU5" s="2456"/>
      <c r="AV5" s="2456"/>
      <c r="AW5" s="2456"/>
      <c r="AX5" s="2456"/>
      <c r="AY5" s="2456"/>
      <c r="AZ5" s="2456"/>
      <c r="BA5" s="2456"/>
      <c r="BB5" s="2457"/>
      <c r="BC5" s="1531" t="s">
        <v>424</v>
      </c>
      <c r="BE5" s="646"/>
      <c r="BF5" s="646" t="str">
        <f>IF(T5="","",T5)</f>
        <v/>
      </c>
      <c r="BG5" s="646"/>
      <c r="BH5" s="646"/>
      <c r="BI5" s="657">
        <v>0</v>
      </c>
    </row>
    <row s="6720" customFormat="1" customHeight="1" ht="14.25" hidden="1">
      <c r="A6" s="1489"/>
      <c r="B6" s="1489"/>
      <c r="C6" s="1489"/>
      <c r="D6" s="1489"/>
      <c r="E6" s="2418"/>
      <c r="F6" s="2418"/>
      <c r="G6" s="2418"/>
      <c r="H6" s="2418"/>
      <c r="I6" s="2415" t="str">
        <f>S5&amp;".1"</f>
        <v>.1</v>
      </c>
      <c r="J6" s="1489"/>
      <c r="K6" s="1489"/>
      <c r="L6" s="1492" t="s">
        <v>425</v>
      </c>
      <c r="M6" s="656"/>
      <c r="N6" s="656"/>
      <c r="O6" s="656"/>
      <c r="P6" s="2416">
        <v>1</v>
      </c>
      <c r="Q6" s="1627"/>
      <c r="R6" s="502"/>
      <c r="S6" s="1188"/>
      <c r="T6" s="1529"/>
      <c r="U6" s="1530"/>
      <c r="V6" s="2456"/>
      <c r="W6" s="2456"/>
      <c r="X6" s="2456"/>
      <c r="Y6" s="2456"/>
      <c r="Z6" s="2456"/>
      <c r="AA6" s="2456"/>
      <c r="AB6" s="2456"/>
      <c r="AC6" s="2457"/>
      <c r="AD6" s="2455"/>
      <c r="AE6" s="2456"/>
      <c r="AF6" s="2456"/>
      <c r="AG6" s="2456"/>
      <c r="AH6" s="2456"/>
      <c r="AI6" s="2456"/>
      <c r="AJ6" s="2456"/>
      <c r="AK6" s="2456"/>
      <c r="AL6" s="2456"/>
      <c r="AM6" s="2456"/>
      <c r="AN6" s="2456"/>
      <c r="AO6" s="2456"/>
      <c r="AP6" s="2456"/>
      <c r="AQ6" s="2456"/>
      <c r="AR6" s="2456"/>
      <c r="AS6" s="2456"/>
      <c r="AT6" s="2456"/>
      <c r="AU6" s="2456"/>
      <c r="AV6" s="2456"/>
      <c r="AW6" s="2456"/>
      <c r="AX6" s="2456"/>
      <c r="AY6" s="2456"/>
      <c r="AZ6" s="2456"/>
      <c r="BA6" s="2456"/>
      <c r="BB6" s="2457"/>
      <c r="BC6" s="1531"/>
      <c r="BE6" s="646"/>
      <c r="BF6" s="646" t="str">
        <f>IF(T6="","",T6)</f>
        <v/>
      </c>
      <c r="BG6" s="646"/>
      <c r="BH6" s="646"/>
      <c r="BI6" s="657">
        <v>0</v>
      </c>
    </row>
    <row s="6720" customFormat="1" customHeight="1" ht="14.25" hidden="1">
      <c r="A7" s="1489"/>
      <c r="B7" s="1489"/>
      <c r="C7" s="1489"/>
      <c r="D7" s="1489"/>
      <c r="E7" s="2418"/>
      <c r="F7" s="2418"/>
      <c r="G7" s="2418"/>
      <c r="H7" s="2418"/>
      <c r="I7" s="2445"/>
      <c r="J7" s="2415" t="str">
        <f>S5&amp;".1"</f>
        <v>.1</v>
      </c>
      <c r="K7" s="1489"/>
      <c r="L7" s="1492"/>
      <c r="M7" s="656"/>
      <c r="N7" s="656"/>
      <c r="O7" s="656"/>
      <c r="P7" s="2416"/>
      <c r="Q7" s="2416">
        <v>1</v>
      </c>
      <c r="R7" s="503"/>
      <c r="S7" s="1188"/>
      <c r="T7" s="1545"/>
      <c r="U7" s="1530"/>
      <c r="V7" s="2456"/>
      <c r="W7" s="2456"/>
      <c r="X7" s="2456"/>
      <c r="Y7" s="2456"/>
      <c r="Z7" s="2456"/>
      <c r="AA7" s="2456"/>
      <c r="AB7" s="2456"/>
      <c r="AC7" s="2457"/>
      <c r="AD7" s="2455"/>
      <c r="AE7" s="2456"/>
      <c r="AF7" s="2456"/>
      <c r="AG7" s="2456"/>
      <c r="AH7" s="2456"/>
      <c r="AI7" s="2456"/>
      <c r="AJ7" s="2456"/>
      <c r="AK7" s="2456"/>
      <c r="AL7" s="2456"/>
      <c r="AM7" s="2456"/>
      <c r="AN7" s="2456"/>
      <c r="AO7" s="2456"/>
      <c r="AP7" s="2456"/>
      <c r="AQ7" s="2456"/>
      <c r="AR7" s="2456"/>
      <c r="AS7" s="2456"/>
      <c r="AT7" s="2456"/>
      <c r="AU7" s="2456"/>
      <c r="AV7" s="2456"/>
      <c r="AW7" s="2456"/>
      <c r="AX7" s="2456"/>
      <c r="AY7" s="2456"/>
      <c r="AZ7" s="2456"/>
      <c r="BA7" s="2456"/>
      <c r="BB7" s="2457"/>
      <c r="BC7" s="1531"/>
      <c r="BE7" s="646"/>
      <c r="BF7" s="646" t="str">
        <f>IF(T7="","",T7)</f>
        <v/>
      </c>
      <c r="BG7" s="646"/>
      <c r="BH7" s="646"/>
      <c r="BI7" s="657">
        <v>0</v>
      </c>
    </row>
    <row customHeight="1" ht="11.25" hidden="1">
      <c r="A8" s="1509"/>
      <c r="B8" s="1509"/>
      <c r="C8" s="1509"/>
      <c r="D8" s="1509"/>
      <c r="E8" s="2418"/>
      <c r="F8" s="2418"/>
      <c r="G8" s="2418"/>
      <c r="H8" s="2418"/>
      <c r="I8" s="2445"/>
      <c r="J8" s="2445"/>
      <c r="K8" s="2415">
        <f>S4&amp;".1"</f>
      </c>
      <c r="L8" s="1510"/>
      <c r="P8" s="2416"/>
      <c r="Q8" s="2416"/>
      <c r="R8" s="2506">
        <v>1</v>
      </c>
      <c r="S8" s="2500">
        <f>$K8</f>
      </c>
      <c r="T8" s="2519"/>
      <c r="U8" s="446"/>
      <c r="V8" s="897"/>
      <c r="W8" s="1403"/>
      <c r="X8" s="897"/>
      <c r="Y8" s="1403"/>
      <c r="Z8" s="1879"/>
      <c r="AA8" s="1615" t="s">
        <v>63</v>
      </c>
      <c r="AB8" s="1879"/>
      <c r="AC8" s="1615" t="s">
        <v>63</v>
      </c>
      <c r="AD8" s="2344" t="s">
        <v>63</v>
      </c>
      <c r="AE8" s="2485"/>
      <c r="AF8" s="2364">
        <v>1</v>
      </c>
      <c r="AG8" s="2522"/>
      <c r="AH8" s="2266" t="s">
        <v>63</v>
      </c>
      <c r="AI8" s="2485"/>
      <c r="AJ8" s="2364">
        <v>1</v>
      </c>
      <c r="AK8" s="2486" t="s">
        <v>22</v>
      </c>
      <c r="AL8" s="2266" t="s">
        <v>63</v>
      </c>
      <c r="AM8" s="2351"/>
      <c r="AN8" s="2364">
        <v>1</v>
      </c>
      <c r="AO8" s="2516"/>
      <c r="AP8" s="2517" t="s">
        <v>63</v>
      </c>
      <c r="AQ8" s="457"/>
      <c r="AR8" s="1632">
        <v>1</v>
      </c>
      <c r="AS8" s="1638" t="s">
        <v>22</v>
      </c>
      <c r="AT8" s="897"/>
      <c r="AU8" s="1403"/>
      <c r="AV8" s="897"/>
      <c r="AW8" s="1403"/>
      <c r="AX8" s="1879"/>
      <c r="AY8" s="1615" t="s">
        <v>63</v>
      </c>
      <c r="AZ8" s="1879"/>
      <c r="BA8" s="1615" t="s">
        <v>63</v>
      </c>
      <c r="BB8" s="1494"/>
      <c r="BC8" s="2412" t="s">
        <v>523</v>
      </c>
      <c r="BE8" s="646"/>
      <c r="BF8" s="646" t="str">
        <f>IF(T8="","",T8)</f>
        <v/>
      </c>
      <c r="BG8" s="646"/>
      <c r="BH8" s="646"/>
      <c r="BI8" s="1301">
        <v>0</v>
      </c>
    </row>
    <row customHeight="1" ht="11.25" hidden="1">
      <c r="A9" s="1509"/>
      <c r="B9" s="1509"/>
      <c r="C9" s="1509"/>
      <c r="D9" s="1509"/>
      <c r="E9" s="2418"/>
      <c r="F9" s="2418"/>
      <c r="G9" s="2418"/>
      <c r="H9" s="2418"/>
      <c r="I9" s="2445"/>
      <c r="J9" s="2445"/>
      <c r="K9" s="2415"/>
      <c r="L9" s="1510"/>
      <c r="P9" s="2416"/>
      <c r="Q9" s="2416"/>
      <c r="R9" s="2506"/>
      <c r="S9" s="2501"/>
      <c r="T9" s="2520"/>
      <c r="U9" s="446"/>
      <c r="V9" s="1539"/>
      <c r="W9" s="1642"/>
      <c r="X9" s="1539"/>
      <c r="Y9" s="1642"/>
      <c r="Z9" s="1539"/>
      <c r="AA9" s="1539"/>
      <c r="AB9" s="1539"/>
      <c r="AC9" s="1539"/>
      <c r="AD9" s="2345"/>
      <c r="AE9" s="2485"/>
      <c r="AF9" s="2364"/>
      <c r="AG9" s="2522"/>
      <c r="AH9" s="2266"/>
      <c r="AI9" s="2485"/>
      <c r="AJ9" s="2364"/>
      <c r="AK9" s="2486"/>
      <c r="AL9" s="2266"/>
      <c r="AM9" s="2359"/>
      <c r="AN9" s="2364"/>
      <c r="AO9" s="2516"/>
      <c r="AP9" s="2518"/>
      <c r="AQ9" s="462"/>
      <c r="AR9" s="562"/>
      <c r="AS9" s="562" t="s">
        <v>524</v>
      </c>
      <c r="AT9" s="1539"/>
      <c r="AU9" s="1642"/>
      <c r="AV9" s="1539"/>
      <c r="AW9" s="1642"/>
      <c r="AX9" s="1539"/>
      <c r="AY9" s="1539"/>
      <c r="AZ9" s="1539"/>
      <c r="BA9" s="1539"/>
      <c r="BB9" s="1543"/>
      <c r="BC9" s="2413"/>
      <c r="BE9" s="646"/>
      <c r="BF9" s="646"/>
      <c r="BG9" s="646"/>
      <c r="BH9" s="646"/>
      <c r="BI9" s="1301">
        <v>0</v>
      </c>
    </row>
    <row customHeight="1" ht="11.25" hidden="1">
      <c r="A10" s="1509"/>
      <c r="B10" s="1509"/>
      <c r="C10" s="1509"/>
      <c r="D10" s="1509"/>
      <c r="E10" s="2418"/>
      <c r="F10" s="2418"/>
      <c r="G10" s="2418"/>
      <c r="H10" s="2418"/>
      <c r="I10" s="2445"/>
      <c r="J10" s="2445"/>
      <c r="K10" s="2415"/>
      <c r="L10" s="1510"/>
      <c r="P10" s="2416"/>
      <c r="Q10" s="2416"/>
      <c r="R10" s="2506"/>
      <c r="S10" s="2501"/>
      <c r="T10" s="2520"/>
      <c r="U10" s="446"/>
      <c r="V10" s="1539"/>
      <c r="W10" s="1642"/>
      <c r="X10" s="1539"/>
      <c r="Y10" s="1642"/>
      <c r="Z10" s="1539"/>
      <c r="AA10" s="1539"/>
      <c r="AB10" s="1539"/>
      <c r="AC10" s="1539"/>
      <c r="AD10" s="2345"/>
      <c r="AE10" s="2485"/>
      <c r="AF10" s="2364"/>
      <c r="AG10" s="2522"/>
      <c r="AH10" s="2266"/>
      <c r="AI10" s="2485"/>
      <c r="AJ10" s="2364"/>
      <c r="AK10" s="2486"/>
      <c r="AL10" s="2266"/>
      <c r="AM10" s="462"/>
      <c r="AN10" s="1646"/>
      <c r="AO10" s="1646" t="s">
        <v>525</v>
      </c>
      <c r="AP10" s="562"/>
      <c r="AQ10" s="562"/>
      <c r="AR10" s="562"/>
      <c r="AS10" s="1539"/>
      <c r="AT10" s="1539"/>
      <c r="AU10" s="1642"/>
      <c r="AV10" s="1539"/>
      <c r="AW10" s="1642"/>
      <c r="AX10" s="1539"/>
      <c r="AY10" s="1539"/>
      <c r="AZ10" s="1539"/>
      <c r="BA10" s="1539"/>
      <c r="BB10" s="1543"/>
      <c r="BC10" s="2413"/>
      <c r="BE10" s="646"/>
      <c r="BF10" s="646"/>
      <c r="BG10" s="646"/>
      <c r="BH10" s="646"/>
      <c r="BI10" s="1301">
        <v>0</v>
      </c>
    </row>
    <row customHeight="1" ht="11.25" hidden="1">
      <c r="A11" s="1509"/>
      <c r="B11" s="1509"/>
      <c r="C11" s="1509"/>
      <c r="D11" s="1509"/>
      <c r="E11" s="2418"/>
      <c r="F11" s="2418"/>
      <c r="G11" s="2418"/>
      <c r="H11" s="2418"/>
      <c r="I11" s="2445"/>
      <c r="J11" s="2445"/>
      <c r="K11" s="2415"/>
      <c r="L11" s="1510"/>
      <c r="P11" s="2416"/>
      <c r="Q11" s="2416"/>
      <c r="R11" s="2506"/>
      <c r="S11" s="2501"/>
      <c r="T11" s="2520"/>
      <c r="U11" s="446"/>
      <c r="V11" s="1539"/>
      <c r="W11" s="1642"/>
      <c r="X11" s="1539"/>
      <c r="Y11" s="1642"/>
      <c r="Z11" s="1539"/>
      <c r="AA11" s="1539"/>
      <c r="AB11" s="1539"/>
      <c r="AC11" s="1539"/>
      <c r="AD11" s="2345"/>
      <c r="AE11" s="2485"/>
      <c r="AF11" s="2364"/>
      <c r="AG11" s="2522"/>
      <c r="AH11" s="2266"/>
      <c r="AI11" s="440"/>
      <c r="AJ11" s="561"/>
      <c r="AK11" s="459" t="s">
        <v>526</v>
      </c>
      <c r="AL11" s="1539"/>
      <c r="AM11" s="1539"/>
      <c r="AN11" s="1539"/>
      <c r="AO11" s="1539"/>
      <c r="AP11" s="1539"/>
      <c r="AQ11" s="1539"/>
      <c r="AR11" s="1539"/>
      <c r="AS11" s="1539"/>
      <c r="AT11" s="1539"/>
      <c r="AU11" s="1642"/>
      <c r="AV11" s="1539"/>
      <c r="AW11" s="1642"/>
      <c r="AX11" s="1539"/>
      <c r="AY11" s="1539"/>
      <c r="AZ11" s="1539"/>
      <c r="BA11" s="1539"/>
      <c r="BB11" s="1543"/>
      <c r="BC11" s="2413"/>
      <c r="BE11" s="646"/>
      <c r="BF11" s="646"/>
      <c r="BG11" s="646"/>
      <c r="BH11" s="646"/>
      <c r="BI11" s="1301">
        <v>0</v>
      </c>
    </row>
    <row customHeight="1" ht="11.25" hidden="1">
      <c r="A12" s="1509"/>
      <c r="B12" s="1509"/>
      <c r="C12" s="1509"/>
      <c r="D12" s="1509"/>
      <c r="E12" s="2418"/>
      <c r="F12" s="2418"/>
      <c r="G12" s="2418"/>
      <c r="H12" s="2418"/>
      <c r="I12" s="2445"/>
      <c r="J12" s="2445"/>
      <c r="K12" s="2415"/>
      <c r="L12" s="1510"/>
      <c r="P12" s="2416"/>
      <c r="Q12" s="2416"/>
      <c r="R12" s="2506"/>
      <c r="S12" s="2502"/>
      <c r="T12" s="2521"/>
      <c r="U12" s="446"/>
      <c r="V12" s="1539"/>
      <c r="W12" s="1540" t="str">
        <f>Z8&amp;"-"&amp;AB8</f>
        <v>-</v>
      </c>
      <c r="X12" s="1539"/>
      <c r="Y12" s="1540" t="str">
        <f>AB8&amp;"-"&amp;AD8</f>
        <v>-да</v>
      </c>
      <c r="Z12" s="1539"/>
      <c r="AA12" s="1539"/>
      <c r="AB12" s="1539"/>
      <c r="AC12" s="1539"/>
      <c r="AD12" s="2271"/>
      <c r="AE12" s="458"/>
      <c r="AF12" s="460"/>
      <c r="AG12" s="562" t="s">
        <v>527</v>
      </c>
      <c r="AH12" s="1539"/>
      <c r="AI12" s="1539"/>
      <c r="AJ12" s="1539"/>
      <c r="AK12" s="1539"/>
      <c r="AL12" s="1539"/>
      <c r="AM12" s="1539"/>
      <c r="AN12" s="1539"/>
      <c r="AO12" s="1539"/>
      <c r="AP12" s="1539"/>
      <c r="AQ12" s="1539"/>
      <c r="AR12" s="1539"/>
      <c r="AS12" s="1539"/>
      <c r="AT12" s="1539"/>
      <c r="AU12" s="1540" t="str">
        <f>AX8&amp;"-"&amp;AZ8</f>
        <v>-</v>
      </c>
      <c r="AV12" s="1539"/>
      <c r="AW12" s="1540" t="str">
        <f>AZ8&amp;"-"&amp;BB8</f>
        <v>-</v>
      </c>
      <c r="AX12" s="1539"/>
      <c r="AY12" s="1539"/>
      <c r="AZ12" s="1539"/>
      <c r="BA12" s="1539"/>
      <c r="BB12" s="1542" t="str">
        <f>BE8&amp;"-"&amp;BG8</f>
        <v>-</v>
      </c>
      <c r="BC12" s="2413"/>
      <c r="BE12" s="646"/>
      <c r="BF12" s="646" t="str">
        <f>IF(T12="","",T12)</f>
        <v/>
      </c>
      <c r="BG12" s="646"/>
      <c r="BH12" s="646"/>
      <c r="BI12" s="1301">
        <v>0</v>
      </c>
    </row>
    <row customHeight="1" ht="11.25" hidden="1">
      <c r="A13" s="1509"/>
      <c r="B13" s="1509"/>
      <c r="C13" s="1509"/>
      <c r="D13" s="1509"/>
      <c r="E13" s="2418"/>
      <c r="F13" s="2418"/>
      <c r="G13" s="2418"/>
      <c r="H13" s="2418"/>
      <c r="I13" s="2445"/>
      <c r="J13" s="2415"/>
      <c r="K13" s="1509"/>
      <c r="L13" s="1510"/>
      <c r="P13" s="2416"/>
      <c r="Q13" s="2416"/>
      <c r="R13" s="502"/>
      <c r="S13" s="1424"/>
      <c r="T13" s="433" t="s">
        <v>490</v>
      </c>
      <c r="U13" s="513"/>
      <c r="V13" s="513"/>
      <c r="W13" s="513"/>
      <c r="X13" s="513"/>
      <c r="Y13" s="513"/>
      <c r="Z13" s="513"/>
      <c r="AA13" s="513"/>
      <c r="AB13" s="513"/>
      <c r="AC13" s="513"/>
      <c r="AD13" s="1651"/>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470"/>
      <c r="BC13" s="2414"/>
      <c r="BE13" s="646"/>
      <c r="BF13" s="646" t="str">
        <f>IF(T13="","",T13)</f>
        <v>Добавить строку</v>
      </c>
      <c r="BG13" s="646"/>
      <c r="BH13" s="646"/>
      <c r="BI13" s="1301">
        <v>0</v>
      </c>
    </row>
    <row s="6720" customFormat="1" customHeight="1" ht="14.25" hidden="1">
      <c r="A14" s="1489"/>
      <c r="B14" s="1489"/>
      <c r="C14" s="1489"/>
      <c r="D14" s="1489"/>
      <c r="E14" s="2418"/>
      <c r="F14" s="2418"/>
      <c r="G14" s="2418"/>
      <c r="H14" s="2418"/>
      <c r="I14" s="2415"/>
      <c r="J14" s="1489"/>
      <c r="K14" s="1489"/>
      <c r="L14" s="1492"/>
      <c r="M14" s="656"/>
      <c r="N14" s="656"/>
      <c r="O14" s="656"/>
      <c r="P14" s="2416"/>
      <c r="Q14" s="1627"/>
      <c r="R14" s="502"/>
      <c r="S14" s="1532"/>
      <c r="T14" s="1533"/>
      <c r="U14" s="1534"/>
      <c r="V14" s="1534"/>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5"/>
      <c r="BE14" s="646"/>
      <c r="BF14" s="646" t="str">
        <f>IF(T14="","",T14)</f>
        <v/>
      </c>
      <c r="BG14" s="646"/>
      <c r="BH14" s="646"/>
      <c r="BI14" s="657">
        <v>0</v>
      </c>
    </row>
    <row s="6720" customFormat="1" customHeight="1" ht="14.25" hidden="1">
      <c r="A15" s="1489"/>
      <c r="B15" s="1489"/>
      <c r="C15" s="1489"/>
      <c r="D15" s="1489"/>
      <c r="E15" s="2418"/>
      <c r="F15" s="2418"/>
      <c r="G15" s="2418"/>
      <c r="H15" s="2417"/>
      <c r="I15" s="1489"/>
      <c r="J15" s="1489"/>
      <c r="K15" s="1489"/>
      <c r="L15" s="1492"/>
      <c r="M15" s="1461"/>
      <c r="N15" s="1461"/>
      <c r="O15" s="664"/>
      <c r="P15" s="526"/>
      <c r="Q15" s="1490"/>
      <c r="R15" s="1547"/>
      <c r="S15" s="1532"/>
      <c r="T15" s="1533"/>
      <c r="U15" s="1534"/>
      <c r="V15" s="1534"/>
      <c r="W15" s="1534"/>
      <c r="X15" s="1534"/>
      <c r="Y15" s="1534"/>
      <c r="Z15" s="1534"/>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5"/>
      <c r="BE15" s="646"/>
      <c r="BF15" s="646" t="str">
        <f>IF(T15="","",T15)</f>
        <v/>
      </c>
      <c r="BG15" s="646"/>
      <c r="BH15" s="646"/>
      <c r="BI15" s="657">
        <v>0</v>
      </c>
    </row>
    <row s="6720" customFormat="1" customHeight="1" ht="14.25" hidden="1">
      <c r="A16" s="1489"/>
      <c r="B16" s="1489"/>
      <c r="C16" s="1489"/>
      <c r="D16" s="1460"/>
      <c r="E16" s="2418"/>
      <c r="F16" s="2418"/>
      <c r="G16" s="2417"/>
      <c r="H16" s="1460"/>
      <c r="I16" s="1460"/>
      <c r="J16" s="1460"/>
      <c r="K16" s="1460"/>
      <c r="L16" s="1640"/>
      <c r="M16" s="1461"/>
      <c r="N16" s="1461"/>
      <c r="P16" s="1462"/>
      <c r="Q16" s="1463"/>
      <c r="R16" s="1462"/>
      <c r="S16" s="1468"/>
      <c r="T16" s="1471"/>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V16" s="1470"/>
      <c r="AW16" s="1470"/>
      <c r="AX16" s="1470"/>
      <c r="AY16" s="1470"/>
      <c r="AZ16" s="1470"/>
      <c r="BA16" s="1470"/>
      <c r="BB16" s="1470"/>
      <c r="BC16" s="1470"/>
      <c r="BE16" s="935"/>
      <c r="BF16" s="935" t="str">
        <f>IF(T16="","",T16)</f>
        <v/>
      </c>
      <c r="BG16" s="935"/>
      <c r="BH16" s="935"/>
      <c r="BI16" s="664">
        <v>0</v>
      </c>
    </row>
    <row s="6720" customFormat="1" customHeight="1" ht="14.25" hidden="1">
      <c r="A17" s="1489"/>
      <c r="B17" s="1489"/>
      <c r="C17" s="1460"/>
      <c r="D17" s="1460"/>
      <c r="E17" s="2418"/>
      <c r="F17" s="2417"/>
      <c r="G17" s="1460"/>
      <c r="H17" s="1460"/>
      <c r="I17" s="1460"/>
      <c r="J17" s="1460"/>
      <c r="K17" s="1460"/>
      <c r="L17" s="1640"/>
      <c r="M17" s="1467"/>
      <c r="N17" s="1467"/>
      <c r="P17" s="1462"/>
      <c r="Q17" s="1463"/>
      <c r="R17" s="1462"/>
      <c r="S17" s="1468"/>
      <c r="T17" s="1471" t="s">
        <v>437</v>
      </c>
      <c r="U17" s="1470"/>
      <c r="V17" s="1470"/>
      <c r="W17" s="1470"/>
      <c r="X17" s="1470"/>
      <c r="Y17" s="1470"/>
      <c r="Z17" s="1470"/>
      <c r="AA17" s="1470"/>
      <c r="AB17" s="1470"/>
      <c r="AC17" s="1470"/>
      <c r="AD17" s="1470"/>
      <c r="AE17" s="1470"/>
      <c r="AF17" s="1470"/>
      <c r="AG17" s="1470"/>
      <c r="AH17" s="1470"/>
      <c r="AI17" s="1470"/>
      <c r="AJ17" s="1470"/>
      <c r="AK17" s="1470"/>
      <c r="AL17" s="1470"/>
      <c r="AM17" s="1470"/>
      <c r="AN17" s="1470"/>
      <c r="AO17" s="1470"/>
      <c r="AP17" s="1470"/>
      <c r="AQ17" s="1470"/>
      <c r="AR17" s="1470"/>
      <c r="AS17" s="1470"/>
      <c r="AT17" s="1470"/>
      <c r="AU17" s="1470"/>
      <c r="AV17" s="1470"/>
      <c r="AW17" s="1470"/>
      <c r="AX17" s="1470"/>
      <c r="AY17" s="1470"/>
      <c r="AZ17" s="1470"/>
      <c r="BA17" s="1470"/>
      <c r="BB17" s="1470"/>
      <c r="BC17" s="1470"/>
      <c r="BE17" s="935"/>
      <c r="BF17" s="935" t="str">
        <f>IF(T17="","",T17)</f>
        <v>Добавить централизованную систему для дифференциации</v>
      </c>
      <c r="BG17" s="935"/>
      <c r="BH17" s="935"/>
      <c r="BI17" s="664">
        <v>0</v>
      </c>
    </row>
    <row s="6720" customFormat="1" customHeight="1" ht="14.25" hidden="1">
      <c r="A18" s="1489"/>
      <c r="B18" s="1489"/>
      <c r="C18" s="1489"/>
      <c r="D18" s="1489"/>
      <c r="E18" s="2417"/>
      <c r="F18" s="1489"/>
      <c r="G18" s="1489"/>
      <c r="H18" s="1489"/>
      <c r="I18" s="1489"/>
      <c r="J18" s="1489"/>
      <c r="K18" s="1489"/>
      <c r="L18" s="1492"/>
      <c r="M18" s="1467"/>
      <c r="N18" s="1467"/>
      <c r="O18" s="664"/>
      <c r="P18" s="526"/>
      <c r="Q18" s="1490"/>
      <c r="R18" s="526"/>
      <c r="S18" s="1468"/>
      <c r="T18" s="1471" t="s">
        <v>438</v>
      </c>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1470"/>
      <c r="AS18" s="1470"/>
      <c r="AT18" s="1470"/>
      <c r="AU18" s="1470"/>
      <c r="AV18" s="1470"/>
      <c r="AW18" s="1470"/>
      <c r="AX18" s="1470"/>
      <c r="AY18" s="1470"/>
      <c r="AZ18" s="1470"/>
      <c r="BA18" s="1470"/>
      <c r="BB18" s="1470"/>
      <c r="BC18" s="1470"/>
      <c r="BE18" s="646"/>
      <c r="BF18" s="646" t="str">
        <f>IF(T18="","",T18)</f>
        <v>Добавить территорию для дифференциации</v>
      </c>
      <c r="BG18" s="646"/>
      <c r="BH18" s="646"/>
      <c r="BI18" s="657">
        <v>0</v>
      </c>
    </row>
    <row customHeight="1" ht="14.25" hidden="1">
      <c r="AC19" s="473"/>
      <c r="BA19" s="473"/>
      <c r="BI19" s="1301">
        <v>0</v>
      </c>
    </row>
    <row customHeight="1" ht="14.25" hidden="1">
      <c r="AD20" s="1470" t="s">
        <v>19</v>
      </c>
      <c r="AE20" s="1647"/>
      <c r="AF20" s="694">
        <v>1</v>
      </c>
      <c r="AG20" s="1648"/>
      <c r="AH20" s="1470" t="s">
        <v>19</v>
      </c>
      <c r="AI20" s="1647"/>
      <c r="AJ20" s="694">
        <v>1</v>
      </c>
      <c r="AK20" s="1648"/>
      <c r="AL20" s="1470" t="s">
        <v>19</v>
      </c>
      <c r="AM20" s="1649"/>
      <c r="AN20" s="694">
        <v>1</v>
      </c>
      <c r="AO20" s="1650"/>
      <c r="AP20" s="1470" t="s">
        <v>19</v>
      </c>
      <c r="AQ20" s="1649"/>
      <c r="AR20" s="694">
        <v>1</v>
      </c>
      <c r="AS20" s="1650"/>
      <c r="AT20" s="471"/>
      <c r="AU20" s="530"/>
      <c r="AV20" s="471"/>
      <c r="AW20" s="530"/>
      <c r="AX20" s="1881"/>
      <c r="AY20" s="1631" t="s">
        <v>63</v>
      </c>
      <c r="AZ20" s="1881"/>
      <c r="BA20" s="1631" t="s">
        <v>63</v>
      </c>
      <c r="BI20" s="1301">
        <v>0</v>
      </c>
    </row>
    <row customHeight="1" ht="14.25" hidden="1">
      <c r="BD21" s="642"/>
      <c r="BE21" s="642"/>
      <c r="BF21" s="642"/>
      <c r="BG21" s="642"/>
      <c r="BH21" s="642"/>
      <c r="BI21" s="1301">
        <v>0</v>
      </c>
    </row>
    <row customHeight="1" ht="14.25" hidden="1">
      <c r="O22" s="1513" t="s">
        <v>439</v>
      </c>
      <c r="Z22" s="1491"/>
      <c r="AB22" s="1491"/>
      <c r="AC22" s="473"/>
      <c r="AX22" s="1491"/>
      <c r="AZ22" s="1491"/>
      <c r="BA22" s="473"/>
      <c r="BD22" s="642"/>
      <c r="BE22" s="642"/>
      <c r="BF22" s="642"/>
      <c r="BG22" s="642"/>
      <c r="BH22" s="642"/>
      <c r="BI22" s="1301">
        <v>0</v>
      </c>
    </row>
    <row customHeight="1" ht="14.25" hidden="1">
      <c r="AC23" s="473"/>
      <c r="BA23" s="473"/>
      <c r="BD23" s="642"/>
      <c r="BE23" s="642"/>
      <c r="BF23" s="642"/>
      <c r="BG23" s="642"/>
      <c r="BH23" s="642"/>
      <c r="BI23" s="1301">
        <v>0</v>
      </c>
    </row>
    <row s="6437" customFormat="1" customHeight="1" ht="14.25" hidden="1">
      <c r="M24" s="1654"/>
      <c r="N24" s="1654"/>
      <c r="O24" s="1655" t="s">
        <v>440</v>
      </c>
      <c r="P24" s="1654"/>
      <c r="Q24" s="1656"/>
      <c r="R24" s="1656"/>
      <c r="AA24" s="1653" t="s">
        <v>442</v>
      </c>
      <c r="AC24" s="1653" t="s">
        <v>443</v>
      </c>
      <c r="AD24" s="1653" t="s">
        <v>491</v>
      </c>
      <c r="AH24" s="1653" t="s">
        <v>491</v>
      </c>
      <c r="AK24" s="1653" t="s">
        <v>528</v>
      </c>
      <c r="AL24" s="1653" t="s">
        <v>491</v>
      </c>
      <c r="AP24" s="1653" t="s">
        <v>491</v>
      </c>
      <c r="AY24" s="1653" t="s">
        <v>442</v>
      </c>
      <c r="BA24" s="1653" t="s">
        <v>443</v>
      </c>
      <c r="BD24" s="1657"/>
      <c r="BE24" s="1657"/>
      <c r="BF24" s="1657"/>
      <c r="BG24" s="1657"/>
      <c r="BH24" s="1657"/>
      <c r="BI24" s="1653">
        <v>0</v>
      </c>
    </row>
    <row customHeight="1" ht="14.25" hidden="1">
      <c r="O25" s="1510"/>
      <c r="BD25" s="642"/>
      <c r="BE25" s="642"/>
      <c r="BF25" s="642"/>
      <c r="BG25" s="642"/>
      <c r="BH25" s="642"/>
      <c r="BI25" s="1301">
        <v>0</v>
      </c>
    </row>
    <row customHeight="1" ht="14.25" hidden="1">
      <c r="O26" s="1510"/>
      <c r="BD26" s="642"/>
      <c r="BE26" s="642"/>
      <c r="BF26" s="642"/>
      <c r="BG26" s="642"/>
      <c r="BH26" s="642"/>
      <c r="BI26" s="1301">
        <v>0</v>
      </c>
    </row>
    <row customHeight="1" ht="14.699999999999998">
      <c r="Q27" s="437"/>
      <c r="R27" s="522"/>
      <c r="S27" s="1421"/>
      <c r="T27" s="509"/>
      <c r="U27" s="509"/>
      <c r="V27" s="655"/>
      <c r="W27" s="655"/>
      <c r="X27" s="655"/>
      <c r="Y27" s="655"/>
      <c r="Z27" s="655"/>
      <c r="AA27" s="655"/>
      <c r="AB27" s="655"/>
      <c r="AC27" s="655"/>
      <c r="AD27" s="655"/>
      <c r="AE27" s="655"/>
      <c r="AF27" s="655"/>
      <c r="AG27" s="655"/>
      <c r="AH27" s="655"/>
      <c r="AI27" s="655"/>
      <c r="AJ27" s="655"/>
      <c r="AK27" s="655"/>
      <c r="AL27" s="655"/>
      <c r="AM27" s="655"/>
      <c r="AN27" s="655"/>
      <c r="AO27" s="655"/>
      <c r="AP27" s="655"/>
      <c r="AQ27" s="655"/>
      <c r="AR27" s="655"/>
      <c r="AS27" s="655"/>
      <c r="AT27" s="655"/>
      <c r="AU27" s="655"/>
      <c r="AV27" s="655"/>
      <c r="AW27" s="655"/>
      <c r="AX27" s="655"/>
      <c r="AY27" s="655"/>
      <c r="AZ27" s="655"/>
      <c r="BA27" s="655"/>
      <c r="BI27" s="1301">
        <v>14</v>
      </c>
    </row>
    <row customHeight="1" ht="14.699999999999998">
      <c r="Q28" s="437"/>
      <c r="R28" s="522"/>
      <c r="S28" s="240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407"/>
      <c r="AT28" s="2407"/>
      <c r="AU28" s="2407"/>
      <c r="AV28" s="2407"/>
      <c r="AW28" s="2407"/>
      <c r="AX28" s="2407"/>
      <c r="AY28" s="2407"/>
      <c r="AZ28" s="2407"/>
      <c r="BA28" s="1389"/>
      <c r="BI28" s="1301">
        <v>14</v>
      </c>
    </row>
    <row customHeight="1" ht="14.699999999999998">
      <c r="Q29" s="437"/>
      <c r="R29" s="522"/>
      <c r="S29" s="2408" t="str">
        <f>IF(org=0,"Не определено",org)</f>
        <v>ПАО "ТГК-14"</v>
      </c>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408"/>
      <c r="AT29" s="2408"/>
      <c r="AU29" s="2408"/>
      <c r="AV29" s="2408"/>
      <c r="AW29" s="2408"/>
      <c r="AX29" s="2408"/>
      <c r="AY29" s="2408"/>
      <c r="AZ29" s="2408"/>
      <c r="BA29" s="1389"/>
      <c r="BI29" s="1301">
        <v>14</v>
      </c>
    </row>
    <row customHeight="1" ht="14.25" hidden="1">
      <c r="Q30" s="437"/>
      <c r="R30" s="522"/>
      <c r="S30" s="1421"/>
      <c r="T30" s="509"/>
      <c r="U30" s="509"/>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655"/>
      <c r="BI30" s="1301">
        <v>0</v>
      </c>
    </row>
    <row s="7809" customFormat="1" customHeight="1" ht="25.5" hidden="1">
      <c r="A31" s="1514"/>
      <c r="B31" s="1514"/>
      <c r="C31" s="1514"/>
      <c r="D31" s="1514"/>
      <c r="E31" s="1514"/>
      <c r="F31" s="1514"/>
      <c r="G31" s="1514"/>
      <c r="H31" s="1514"/>
      <c r="I31" s="1514"/>
      <c r="J31" s="1514"/>
      <c r="K31" s="1514"/>
      <c r="L31" s="1515"/>
      <c r="M31" s="1514"/>
      <c r="N31" s="1514"/>
      <c r="O31" s="1514"/>
      <c r="P31" s="1514"/>
      <c r="Q31" s="1514"/>
      <c r="S31" s="2409" t="s">
        <v>42</v>
      </c>
      <c r="T31" s="2409"/>
      <c r="U31" s="1518"/>
      <c r="V31" s="2410" t="str">
        <f>IF(TITLE_NAME_OR_PR_CHANGE="",IF(TITLE_NAME_OR_PR="","",TITLE_NAME_OR_PR),TITLE_NAME_OR_PR_CHANGE)</f>
        <v/>
      </c>
      <c r="W31" s="2410"/>
      <c r="X31" s="2410"/>
      <c r="Y31" s="2410"/>
      <c r="Z31" s="2410"/>
      <c r="AA31" s="2410"/>
      <c r="AB31" s="2410"/>
      <c r="AC31" s="472"/>
      <c r="AD31" s="2410" t="str">
        <f>IF(TITLE_NAME_OR_PR_CHANGE="",IF(TITLE_NAME_OR_PR="","",TITLE_NAME_OR_PR),TITLE_NAME_OR_PR_CHANGE)</f>
        <v/>
      </c>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472"/>
      <c r="BB31" s="472"/>
      <c r="BC31" s="426"/>
      <c r="BD31" s="514"/>
      <c r="BE31" s="514"/>
      <c r="BF31" s="514"/>
      <c r="BG31" s="514"/>
      <c r="BH31" s="514"/>
      <c r="BI31" s="564">
        <v>0</v>
      </c>
    </row>
    <row s="7809" customFormat="1" customHeight="1" ht="18.75" hidden="1">
      <c r="A32" s="1514"/>
      <c r="B32" s="1514"/>
      <c r="C32" s="1514"/>
      <c r="D32" s="1514"/>
      <c r="E32" s="1514"/>
      <c r="F32" s="1514"/>
      <c r="G32" s="1514"/>
      <c r="H32" s="1514"/>
      <c r="I32" s="1514"/>
      <c r="J32" s="1514"/>
      <c r="K32" s="1514"/>
      <c r="L32" s="1515"/>
      <c r="M32" s="1514"/>
      <c r="N32" s="1514"/>
      <c r="O32" s="1514"/>
      <c r="P32" s="1514"/>
      <c r="Q32" s="1514"/>
      <c r="S32" s="2409" t="s">
        <v>445</v>
      </c>
      <c r="T32" s="2409"/>
      <c r="U32" s="1518"/>
      <c r="V32" s="2423" t="str">
        <f>IF(TITLE_DATE_PR_CHANGE="",IF(TITLE_DATE_PR="","",TITLE_DATE_PR),TITLE_DATE_PR_CHANGE)</f>
        <v/>
      </c>
      <c r="W32" s="2423"/>
      <c r="X32" s="2423"/>
      <c r="Y32" s="2423"/>
      <c r="Z32" s="2423"/>
      <c r="AA32" s="2423"/>
      <c r="AB32" s="2423"/>
      <c r="AC32" s="472"/>
      <c r="AD32" s="2423" t="str">
        <f>IF(TITLE_DATE_PR_CHANGE="",IF(TITLE_DATE_PR="","",TITLE_DATE_PR),TITLE_DATE_PR_CHANGE)</f>
        <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472"/>
      <c r="BB32" s="472"/>
      <c r="BC32" s="426"/>
      <c r="BD32" s="514"/>
      <c r="BE32" s="514"/>
      <c r="BF32" s="514"/>
      <c r="BG32" s="514"/>
      <c r="BH32" s="514"/>
      <c r="BI32" s="564">
        <v>0</v>
      </c>
    </row>
    <row s="7809" customFormat="1" customHeight="1" ht="18.75" hidden="1">
      <c r="A33" s="1514"/>
      <c r="B33" s="1514"/>
      <c r="C33" s="1514"/>
      <c r="D33" s="1514"/>
      <c r="E33" s="1514"/>
      <c r="F33" s="1514"/>
      <c r="G33" s="1514"/>
      <c r="H33" s="1514"/>
      <c r="I33" s="1514"/>
      <c r="J33" s="1514"/>
      <c r="K33" s="1514"/>
      <c r="L33" s="1515"/>
      <c r="M33" s="1514"/>
      <c r="N33" s="1514"/>
      <c r="O33" s="1514"/>
      <c r="P33" s="1514"/>
      <c r="Q33" s="1514"/>
      <c r="S33" s="2409" t="s">
        <v>446</v>
      </c>
      <c r="T33" s="2409"/>
      <c r="U33" s="1518"/>
      <c r="V33" s="2410" t="str">
        <f>IF(TITLE_NUMBER_PR_CHANGE="",IF(TITLE_NUMBER_PR="","",TITLE_NUMBER_PR),TITLE_NUMBER_PR_CHANGE)</f>
        <v/>
      </c>
      <c r="W33" s="2410"/>
      <c r="X33" s="2410"/>
      <c r="Y33" s="2410"/>
      <c r="Z33" s="2410"/>
      <c r="AA33" s="2410"/>
      <c r="AB33" s="2410"/>
      <c r="AC33" s="472"/>
      <c r="AD33" s="2410" t="str">
        <f>IF(TITLE_NUMBER_PR_CHANGE="",IF(TITLE_NUMBER_PR="","",TITLE_NUMBER_PR),TITLE_NUMBER_PR_CHANGE)</f>
        <v/>
      </c>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0"/>
      <c r="BA33" s="472"/>
      <c r="BB33" s="472"/>
      <c r="BC33" s="426"/>
      <c r="BD33" s="514"/>
      <c r="BE33" s="514"/>
      <c r="BF33" s="514"/>
      <c r="BG33" s="514"/>
      <c r="BH33" s="514"/>
      <c r="BI33" s="564">
        <v>0</v>
      </c>
    </row>
    <row s="7809" customFormat="1" customHeight="1" ht="18.75" hidden="1">
      <c r="A34" s="1514"/>
      <c r="B34" s="1514"/>
      <c r="C34" s="1514"/>
      <c r="D34" s="1514"/>
      <c r="E34" s="1514"/>
      <c r="F34" s="1514"/>
      <c r="G34" s="1514"/>
      <c r="H34" s="1514"/>
      <c r="I34" s="1514"/>
      <c r="J34" s="1514"/>
      <c r="K34" s="1514"/>
      <c r="L34" s="1515"/>
      <c r="M34" s="1514"/>
      <c r="N34" s="1514"/>
      <c r="O34" s="1514"/>
      <c r="P34" s="1514"/>
      <c r="Q34" s="1514"/>
      <c r="S34" s="2409" t="s">
        <v>43</v>
      </c>
      <c r="T34" s="2409"/>
      <c r="U34" s="1518"/>
      <c r="V34" s="2410" t="str">
        <f>IF(TITLE_IST_PUB_CHANGE="",IF(TITLE_IST_PUB="","",TITLE_IST_PUB),TITLE_IST_PUB_CHANGE)</f>
        <v/>
      </c>
      <c r="W34" s="2410"/>
      <c r="X34" s="2410"/>
      <c r="Y34" s="2410"/>
      <c r="Z34" s="2410"/>
      <c r="AA34" s="2410"/>
      <c r="AB34" s="2410"/>
      <c r="AC34" s="472"/>
      <c r="AD34" s="2410" t="str">
        <f>IF(TITLE_IST_PUB_CHANGE="",IF(TITLE_IST_PUB="","",TITLE_IST_PUB),TITLE_IST_PUB_CHANGE)</f>
        <v/>
      </c>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0"/>
      <c r="BA34" s="472"/>
      <c r="BB34" s="472"/>
      <c r="BC34" s="426"/>
      <c r="BD34" s="514"/>
      <c r="BE34" s="514"/>
      <c r="BF34" s="514"/>
      <c r="BG34" s="514"/>
      <c r="BH34" s="514"/>
      <c r="BI34" s="564">
        <v>0</v>
      </c>
    </row>
    <row customHeight="1" ht="14.25" hidden="1">
      <c r="Q35" s="437"/>
      <c r="R35" s="522"/>
      <c r="S35" s="1421"/>
      <c r="T35" s="509"/>
      <c r="U35" s="509"/>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655"/>
      <c r="BI35" s="1301">
        <v>0</v>
      </c>
    </row>
    <row s="7809" customFormat="1" customHeight="1" ht="18.75" hidden="1">
      <c r="A36" s="1514"/>
      <c r="B36" s="1514"/>
      <c r="C36" s="1514"/>
      <c r="D36" s="1514"/>
      <c r="E36" s="1514"/>
      <c r="F36" s="1514"/>
      <c r="G36" s="1514"/>
      <c r="H36" s="1514"/>
      <c r="I36" s="1514"/>
      <c r="J36" s="1514"/>
      <c r="K36" s="1514"/>
      <c r="L36" s="1515"/>
      <c r="M36" s="1514"/>
      <c r="N36" s="1514"/>
      <c r="O36" s="1514"/>
      <c r="P36" s="1514"/>
      <c r="Q36" s="1514"/>
      <c r="S36" s="2409" t="s">
        <v>445</v>
      </c>
      <c r="T36" s="2409"/>
      <c r="U36" s="1518"/>
      <c r="V36" s="2423" t="str">
        <f>IF(TITLE_DATE_PR_CHANGE="",IF(TITLE_DATE_PR="","",TITLE_DATE_PR),TITLE_DATE_PR_CHANGE)</f>
        <v/>
      </c>
      <c r="W36" s="2423"/>
      <c r="X36" s="2423"/>
      <c r="Y36" s="2423"/>
      <c r="Z36" s="2423"/>
      <c r="AA36" s="2423"/>
      <c r="AB36" s="2423"/>
      <c r="AC36" s="472"/>
      <c r="AD36" s="2423" t="str">
        <f>IF(TITLE_DATE_PR_CHANGE="",IF(TITLE_DATE_PR="","",TITLE_DATE_PR),TITLE_DATE_PR_CHANGE)</f>
        <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472"/>
      <c r="BB36" s="472"/>
      <c r="BC36" s="426"/>
      <c r="BD36" s="514"/>
      <c r="BE36" s="514"/>
      <c r="BF36" s="514"/>
      <c r="BG36" s="514"/>
      <c r="BH36" s="514"/>
      <c r="BI36" s="564">
        <v>0</v>
      </c>
    </row>
    <row s="7809" customFormat="1" customHeight="1" ht="18.75" hidden="1">
      <c r="A37" s="1514"/>
      <c r="B37" s="1514"/>
      <c r="C37" s="1514"/>
      <c r="D37" s="1514"/>
      <c r="E37" s="1514"/>
      <c r="F37" s="1514"/>
      <c r="G37" s="1514"/>
      <c r="H37" s="1514"/>
      <c r="I37" s="1514"/>
      <c r="J37" s="1514"/>
      <c r="K37" s="1514"/>
      <c r="L37" s="1515"/>
      <c r="M37" s="1514"/>
      <c r="N37" s="1514"/>
      <c r="O37" s="1514"/>
      <c r="P37" s="1514"/>
      <c r="Q37" s="1514"/>
      <c r="S37" s="2409" t="s">
        <v>446</v>
      </c>
      <c r="T37" s="2409"/>
      <c r="U37" s="1518"/>
      <c r="V37" s="2410" t="str">
        <f>IF(TITLE_NUMBER_PR_CHANGE="",IF(TITLE_NUMBER_PR="","",TITLE_NUMBER_PR),TITLE_NUMBER_PR_CHANGE)</f>
        <v/>
      </c>
      <c r="W37" s="2410"/>
      <c r="X37" s="2410"/>
      <c r="Y37" s="2410"/>
      <c r="Z37" s="2410"/>
      <c r="AA37" s="2410"/>
      <c r="AB37" s="2410"/>
      <c r="AC37" s="472"/>
      <c r="AD37" s="2410" t="str">
        <f>IF(TITLE_NUMBER_PR_CHANGE="",IF(TITLE_NUMBER_PR="","",TITLE_NUMBER_PR),TITLE_NUMBER_PR_CHANGE)</f>
        <v/>
      </c>
      <c r="AE37" s="2410"/>
      <c r="AF37" s="2410"/>
      <c r="AG37" s="2410"/>
      <c r="AH37" s="2410"/>
      <c r="AI37" s="2410"/>
      <c r="AJ37" s="2410"/>
      <c r="AK37" s="2410"/>
      <c r="AL37" s="2410"/>
      <c r="AM37" s="2410"/>
      <c r="AN37" s="2410"/>
      <c r="AO37" s="2410"/>
      <c r="AP37" s="2410"/>
      <c r="AQ37" s="2410"/>
      <c r="AR37" s="2410"/>
      <c r="AS37" s="2410"/>
      <c r="AT37" s="2410"/>
      <c r="AU37" s="2410"/>
      <c r="AV37" s="2410"/>
      <c r="AW37" s="2410"/>
      <c r="AX37" s="2410"/>
      <c r="AY37" s="2410"/>
      <c r="AZ37" s="2410"/>
      <c r="BA37" s="472"/>
      <c r="BB37" s="472"/>
      <c r="BC37" s="426"/>
      <c r="BD37" s="514"/>
      <c r="BE37" s="514"/>
      <c r="BF37" s="514"/>
      <c r="BG37" s="514"/>
      <c r="BH37" s="514"/>
      <c r="BI37" s="564">
        <v>0</v>
      </c>
    </row>
    <row s="7809" customFormat="1" customHeight="1" ht="0">
      <c r="A38" s="1514"/>
      <c r="B38" s="1514"/>
      <c r="C38" s="1514"/>
      <c r="D38" s="1514"/>
      <c r="E38" s="1514"/>
      <c r="F38" s="1514"/>
      <c r="G38" s="1514"/>
      <c r="H38" s="1514"/>
      <c r="I38" s="1514"/>
      <c r="J38" s="1514"/>
      <c r="K38" s="1514"/>
      <c r="L38" s="1515"/>
      <c r="M38" s="1514"/>
      <c r="N38" s="1514"/>
      <c r="O38" s="1514"/>
      <c r="P38" s="1514"/>
      <c r="Q38" s="1514"/>
      <c r="S38" s="469"/>
      <c r="T38" s="469"/>
      <c r="U38" s="1634"/>
      <c r="V38" s="472"/>
      <c r="W38" s="472"/>
      <c r="X38" s="472"/>
      <c r="Y38" s="472"/>
      <c r="Z38" s="472"/>
      <c r="AA38" s="472"/>
      <c r="AB38" s="472"/>
      <c r="AC38" s="424" t="s">
        <v>449</v>
      </c>
      <c r="AD38" s="472"/>
      <c r="AE38" s="472"/>
      <c r="AF38" s="472"/>
      <c r="AG38" s="472"/>
      <c r="AH38" s="472"/>
      <c r="AI38" s="472"/>
      <c r="AJ38" s="472"/>
      <c r="AK38" s="472"/>
      <c r="AL38" s="472"/>
      <c r="AM38" s="472"/>
      <c r="AN38" s="472"/>
      <c r="AO38" s="472"/>
      <c r="AP38" s="472"/>
      <c r="AQ38" s="472"/>
      <c r="AR38" s="472"/>
      <c r="AS38" s="472"/>
      <c r="AT38" s="472"/>
      <c r="AU38" s="472"/>
      <c r="AV38" s="472"/>
      <c r="AW38" s="472"/>
      <c r="AX38" s="472"/>
      <c r="AY38" s="472"/>
      <c r="AZ38" s="472"/>
      <c r="BA38" s="424" t="s">
        <v>449</v>
      </c>
      <c r="BD38" s="514"/>
      <c r="BE38" s="514"/>
      <c r="BF38" s="514"/>
      <c r="BG38" s="514"/>
      <c r="BH38" s="514"/>
      <c r="BI38" s="564">
        <v>0</v>
      </c>
    </row>
    <row customHeight="1" ht="14.699999999999998">
      <c r="Q39" s="437"/>
      <c r="R39" s="522"/>
      <c r="S39" s="1421"/>
      <c r="T39" s="509"/>
      <c r="U39" s="1390"/>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2411"/>
      <c r="AT39" s="2411"/>
      <c r="AU39" s="2411"/>
      <c r="AV39" s="2411"/>
      <c r="AW39" s="2411"/>
      <c r="AX39" s="2411"/>
      <c r="AY39" s="2411"/>
      <c r="AZ39" s="2411"/>
      <c r="BA39" s="2411"/>
      <c r="BI39" s="1301">
        <v>14</v>
      </c>
    </row>
    <row customHeight="1" ht="14.699999999999998">
      <c r="Q40" s="437"/>
      <c r="R40" s="522"/>
      <c r="S40" s="2286" t="s">
        <v>322</v>
      </c>
      <c r="T40" s="2286"/>
      <c r="U40" s="2286"/>
      <c r="V40" s="2286"/>
      <c r="W40" s="2286"/>
      <c r="X40" s="2286"/>
      <c r="Y40" s="2286"/>
      <c r="Z40" s="2286"/>
      <c r="AA40" s="2286"/>
      <c r="AB40" s="2286"/>
      <c r="AC40" s="2286"/>
      <c r="AD40" s="2286"/>
      <c r="AE40" s="2286"/>
      <c r="AF40" s="2286"/>
      <c r="AG40" s="2286"/>
      <c r="AH40" s="2286"/>
      <c r="AI40" s="2286"/>
      <c r="AJ40" s="2286"/>
      <c r="AK40" s="2286"/>
      <c r="AL40" s="2286"/>
      <c r="AM40" s="2286"/>
      <c r="AN40" s="2286"/>
      <c r="AO40" s="2286"/>
      <c r="AP40" s="2286"/>
      <c r="AQ40" s="2286"/>
      <c r="AR40" s="2286"/>
      <c r="AS40" s="2286"/>
      <c r="AT40" s="2286"/>
      <c r="AU40" s="2286"/>
      <c r="AV40" s="2286"/>
      <c r="AW40" s="2286"/>
      <c r="AX40" s="2286"/>
      <c r="AY40" s="2286"/>
      <c r="AZ40" s="2286"/>
      <c r="BA40" s="2286"/>
      <c r="BB40" s="2286"/>
      <c r="BC40" s="2286" t="s">
        <v>323</v>
      </c>
      <c r="BI40" s="1301">
        <v>14</v>
      </c>
    </row>
    <row customHeight="1" ht="14.699999999999998">
      <c r="Q41" s="437"/>
      <c r="R41" s="522"/>
      <c r="S41" s="2432" t="s">
        <v>89</v>
      </c>
      <c r="T41" s="2368" t="s">
        <v>529</v>
      </c>
      <c r="U41" s="447"/>
      <c r="V41" s="2433" t="s">
        <v>451</v>
      </c>
      <c r="W41" s="2434"/>
      <c r="X41" s="2434"/>
      <c r="Y41" s="2434"/>
      <c r="Z41" s="2434"/>
      <c r="AA41" s="2434"/>
      <c r="AB41" s="2435"/>
      <c r="AC41" s="2436" t="s">
        <v>452</v>
      </c>
      <c r="AD41" s="2487" t="s">
        <v>530</v>
      </c>
      <c r="AE41" s="2450"/>
      <c r="AF41" s="2450"/>
      <c r="AG41" s="2488"/>
      <c r="AH41" s="2487" t="s">
        <v>531</v>
      </c>
      <c r="AI41" s="2450"/>
      <c r="AJ41" s="2450"/>
      <c r="AK41" s="2488"/>
      <c r="AL41" s="2487" t="s">
        <v>532</v>
      </c>
      <c r="AM41" s="2450"/>
      <c r="AN41" s="2450"/>
      <c r="AO41" s="2488"/>
      <c r="AP41" s="2487" t="s">
        <v>533</v>
      </c>
      <c r="AQ41" s="2450"/>
      <c r="AR41" s="2450"/>
      <c r="AS41" s="2488"/>
      <c r="AT41" s="2433" t="s">
        <v>451</v>
      </c>
      <c r="AU41" s="2434"/>
      <c r="AV41" s="2434"/>
      <c r="AW41" s="2434"/>
      <c r="AX41" s="2434"/>
      <c r="AY41" s="2434"/>
      <c r="AZ41" s="2435"/>
      <c r="BA41" s="2436" t="s">
        <v>452</v>
      </c>
      <c r="BB41" s="2439" t="s">
        <v>454</v>
      </c>
      <c r="BC41" s="2286"/>
      <c r="BI41" s="1301">
        <v>14</v>
      </c>
    </row>
    <row customHeight="1" ht="35.699999999999996">
      <c r="Q42" s="437"/>
      <c r="R42" s="522"/>
      <c r="S42" s="2432"/>
      <c r="T42" s="2368"/>
      <c r="U42" s="1177"/>
      <c r="V42" s="2351" t="s">
        <v>534</v>
      </c>
      <c r="W42" s="2352"/>
      <c r="X42" s="2351" t="s">
        <v>535</v>
      </c>
      <c r="Y42" s="2352"/>
      <c r="Z42" s="2453" t="s">
        <v>536</v>
      </c>
      <c r="AA42" s="2472"/>
      <c r="AB42" s="2473"/>
      <c r="AC42" s="2437"/>
      <c r="AD42" s="2489"/>
      <c r="AE42" s="2490"/>
      <c r="AF42" s="2490"/>
      <c r="AG42" s="2491"/>
      <c r="AH42" s="2489"/>
      <c r="AI42" s="2490"/>
      <c r="AJ42" s="2490"/>
      <c r="AK42" s="2491"/>
      <c r="AL42" s="2489"/>
      <c r="AM42" s="2490"/>
      <c r="AN42" s="2490"/>
      <c r="AO42" s="2491"/>
      <c r="AP42" s="2489"/>
      <c r="AQ42" s="2490"/>
      <c r="AR42" s="2490"/>
      <c r="AS42" s="2491"/>
      <c r="AT42" s="2351" t="s">
        <v>534</v>
      </c>
      <c r="AU42" s="2352"/>
      <c r="AV42" s="2351" t="s">
        <v>535</v>
      </c>
      <c r="AW42" s="2352"/>
      <c r="AX42" s="2453" t="s">
        <v>536</v>
      </c>
      <c r="AY42" s="2472"/>
      <c r="AZ42" s="2473"/>
      <c r="BA42" s="2437"/>
      <c r="BB42" s="2440"/>
      <c r="BC42" s="2286"/>
      <c r="BI42" s="1301">
        <v>34</v>
      </c>
    </row>
    <row customHeight="1" ht="14.699999999999998">
      <c r="Q43" s="437"/>
      <c r="R43" s="522"/>
      <c r="S43" s="2432"/>
      <c r="T43" s="2368"/>
      <c r="U43" s="1177"/>
      <c r="V43" s="2359"/>
      <c r="W43" s="2360"/>
      <c r="X43" s="2359"/>
      <c r="Y43" s="2360"/>
      <c r="Z43" s="2454"/>
      <c r="AA43" s="2474"/>
      <c r="AB43" s="2475"/>
      <c r="AC43" s="2437"/>
      <c r="AD43" s="2489"/>
      <c r="AE43" s="2490"/>
      <c r="AF43" s="2490"/>
      <c r="AG43" s="2491"/>
      <c r="AH43" s="2489"/>
      <c r="AI43" s="2490"/>
      <c r="AJ43" s="2490"/>
      <c r="AK43" s="2491"/>
      <c r="AL43" s="2489"/>
      <c r="AM43" s="2490"/>
      <c r="AN43" s="2490"/>
      <c r="AO43" s="2491"/>
      <c r="AP43" s="2489"/>
      <c r="AQ43" s="2490"/>
      <c r="AR43" s="2490"/>
      <c r="AS43" s="2491"/>
      <c r="AT43" s="2359"/>
      <c r="AU43" s="2360"/>
      <c r="AV43" s="2359"/>
      <c r="AW43" s="2360"/>
      <c r="AX43" s="2454"/>
      <c r="AY43" s="2474"/>
      <c r="AZ43" s="2475"/>
      <c r="BA43" s="2437"/>
      <c r="BB43" s="2440"/>
      <c r="BC43" s="2286"/>
      <c r="BI43" s="1301">
        <v>14</v>
      </c>
    </row>
    <row customHeight="1" ht="14.699999999999998">
      <c r="A44" s="1516"/>
      <c r="B44" s="1516" t="s">
        <v>159</v>
      </c>
      <c r="C44" s="1516" t="s">
        <v>160</v>
      </c>
      <c r="D44" s="1516" t="s">
        <v>161</v>
      </c>
      <c r="E44" s="1510" t="s">
        <v>459</v>
      </c>
      <c r="F44" s="1510" t="s">
        <v>460</v>
      </c>
      <c r="G44" s="1510" t="s">
        <v>461</v>
      </c>
      <c r="H44" s="1510" t="s">
        <v>462</v>
      </c>
      <c r="I44" s="1510" t="s">
        <v>463</v>
      </c>
      <c r="J44" s="1510" t="s">
        <v>464</v>
      </c>
      <c r="K44" s="1510" t="s">
        <v>465</v>
      </c>
      <c r="L44" s="1510" t="s">
        <v>440</v>
      </c>
      <c r="Q44" s="437"/>
      <c r="R44" s="522"/>
      <c r="S44" s="2432"/>
      <c r="T44" s="2368"/>
      <c r="U44" s="448"/>
      <c r="V44" s="1625" t="s">
        <v>500</v>
      </c>
      <c r="W44" s="1625" t="s">
        <v>501</v>
      </c>
      <c r="X44" s="1625" t="s">
        <v>500</v>
      </c>
      <c r="Y44" s="1625" t="s">
        <v>501</v>
      </c>
      <c r="Z44" s="1635" t="s">
        <v>468</v>
      </c>
      <c r="AA44" s="2429" t="s">
        <v>469</v>
      </c>
      <c r="AB44" s="2430"/>
      <c r="AC44" s="2438"/>
      <c r="AD44" s="2492"/>
      <c r="AE44" s="2493"/>
      <c r="AF44" s="2493"/>
      <c r="AG44" s="2494"/>
      <c r="AH44" s="2492"/>
      <c r="AI44" s="2493"/>
      <c r="AJ44" s="2493"/>
      <c r="AK44" s="2494"/>
      <c r="AL44" s="2492"/>
      <c r="AM44" s="2493"/>
      <c r="AN44" s="2493"/>
      <c r="AO44" s="2494"/>
      <c r="AP44" s="2492"/>
      <c r="AQ44" s="2493"/>
      <c r="AR44" s="2493"/>
      <c r="AS44" s="2494"/>
      <c r="AT44" s="1625" t="s">
        <v>500</v>
      </c>
      <c r="AU44" s="1625" t="s">
        <v>501</v>
      </c>
      <c r="AV44" s="1625" t="s">
        <v>500</v>
      </c>
      <c r="AW44" s="1625" t="s">
        <v>501</v>
      </c>
      <c r="AX44" s="1635" t="s">
        <v>468</v>
      </c>
      <c r="AY44" s="2429" t="s">
        <v>469</v>
      </c>
      <c r="AZ44" s="2430"/>
      <c r="BA44" s="2438"/>
      <c r="BB44" s="2441"/>
      <c r="BC44" s="2286"/>
      <c r="BI44" s="1301">
        <v>14</v>
      </c>
    </row>
    <row s="6314" customFormat="1" customHeight="1" ht="0">
      <c r="A45" s="1516"/>
      <c r="B45" s="1516"/>
      <c r="C45" s="1516"/>
      <c r="D45" s="1516"/>
      <c r="E45" s="1516"/>
      <c r="F45" s="1516"/>
      <c r="G45" s="1516"/>
      <c r="H45" s="1516"/>
      <c r="I45" s="1516"/>
      <c r="J45" s="1516"/>
      <c r="K45" s="1516"/>
      <c r="L45" s="1510"/>
      <c r="M45" s="1508"/>
      <c r="N45" s="1508"/>
      <c r="O45" s="1508"/>
      <c r="P45" s="656"/>
      <c r="Q45" s="1400"/>
      <c r="R45" s="1400">
        <v>1</v>
      </c>
      <c r="S45" s="1423" t="s">
        <v>121</v>
      </c>
      <c r="T45" s="1401" t="s">
        <v>105</v>
      </c>
      <c r="U45" s="1391" t="str">
        <f>OFFSET(U45,0,-1)</f>
        <v>2</v>
      </c>
      <c r="V45" s="1628">
        <f>OFFSET(V45,0,-1)+1</f>
        <v>3</v>
      </c>
      <c r="W45" s="1628">
        <f>OFFSET(W45,0,-1)+1</f>
        <v>4</v>
      </c>
      <c r="X45" s="1628">
        <f>OFFSET(X45,0,-1)+1</f>
        <v>5</v>
      </c>
      <c r="Y45" s="1628">
        <f>OFFSET(Y45,0,-1)+1</f>
        <v>6</v>
      </c>
      <c r="Z45" s="1628">
        <f>OFFSET(Z45,0,-1)+1</f>
        <v>7</v>
      </c>
      <c r="AA45" s="2431">
        <f>OFFSET(AA45,0,-1)+1</f>
        <v>8</v>
      </c>
      <c r="AB45" s="2431"/>
      <c r="AC45" s="1628">
        <f>OFFSET(AC45,0,-2)+1</f>
        <v>9</v>
      </c>
      <c r="AD45" s="1628">
        <f>OFFSET(AD45,0,-1)+1</f>
        <v>10</v>
      </c>
      <c r="AE45" s="1628"/>
      <c r="AF45" s="1628"/>
      <c r="AG45" s="1628"/>
      <c r="AH45" s="1628"/>
      <c r="AI45" s="1628"/>
      <c r="AJ45" s="1628"/>
      <c r="AK45" s="1628"/>
      <c r="AL45" s="1628"/>
      <c r="AM45" s="1628"/>
      <c r="AN45" s="1628"/>
      <c r="AO45" s="1628"/>
      <c r="AP45" s="1628"/>
      <c r="AQ45" s="1628"/>
      <c r="AR45" s="1628"/>
      <c r="AS45" s="1628"/>
      <c r="AT45" s="1628"/>
      <c r="AU45" s="1628"/>
      <c r="AV45" s="1628"/>
      <c r="AW45" s="1628">
        <f>OFFSET(AW45,0,-1)+1</f>
        <v>1</v>
      </c>
      <c r="AX45" s="1628">
        <f>OFFSET(AX45,0,-1)+1</f>
        <v>2</v>
      </c>
      <c r="AY45" s="2431">
        <f>OFFSET(AY45,0,-1)+1</f>
        <v>3</v>
      </c>
      <c r="AZ45" s="2431"/>
      <c r="BA45" s="1628">
        <f>OFFSET(BA45,0,-2)+1</f>
        <v>4</v>
      </c>
      <c r="BB45" s="1391">
        <f>OFFSET(BB45,0,-1)</f>
        <v>4</v>
      </c>
      <c r="BC45" s="1628">
        <f>OFFSET(BC45,0,-1)+1</f>
        <v>5</v>
      </c>
      <c r="BD45" s="657"/>
      <c r="BE45" s="657"/>
      <c r="BF45" s="657"/>
      <c r="BG45" s="657"/>
      <c r="BH45" s="657"/>
      <c r="BI45" s="642">
        <v>0</v>
      </c>
    </row>
    <row customHeight="1" ht="22.049999999999997">
      <c r="A46" s="1509" t="s">
        <v>283</v>
      </c>
      <c r="B46" s="1509"/>
      <c r="C46" s="1509"/>
      <c r="D46" s="1509"/>
      <c r="E46" s="2417">
        <v>1</v>
      </c>
      <c r="F46" s="1509"/>
      <c r="G46" s="1509"/>
      <c r="H46" s="1509"/>
      <c r="I46" s="1509"/>
      <c r="J46" s="1509"/>
      <c r="K46" s="1509"/>
      <c r="L46" s="1510"/>
      <c r="M46" s="1511"/>
      <c r="N46" s="1511"/>
      <c r="O46" s="1511"/>
      <c r="P46" s="1555"/>
      <c r="Q46" s="1019"/>
      <c r="R46" s="501"/>
      <c r="S46" s="1639">
        <f>INDEX(PT_DIFFERENTIATION_NUM_NTAR,MATCH(A46,PT_DIFFERENTIATION_NTAR_ID,0))</f>
        <v>0</v>
      </c>
      <c r="T46" s="444" t="s">
        <v>147</v>
      </c>
      <c r="U46" s="446"/>
      <c r="V46" s="2402"/>
      <c r="W46" s="2402"/>
      <c r="X46" s="2402"/>
      <c r="Y46" s="2402"/>
      <c r="Z46" s="2402"/>
      <c r="AA46" s="2402"/>
      <c r="AB46" s="2402"/>
      <c r="AC46" s="2403"/>
      <c r="AD46" s="2401" t="str">
        <f>INDEX(PT_DIFFERENTIATION_NTAR,MATCH(A46,PT_DIFFERENTIATION_NTAR_ID,0))</f>
        <v/>
      </c>
      <c r="AE46" s="2402"/>
      <c r="AF46" s="2402"/>
      <c r="AG46" s="2402"/>
      <c r="AH46" s="2402"/>
      <c r="AI46" s="2402"/>
      <c r="AJ46" s="2402"/>
      <c r="AK46" s="2402"/>
      <c r="AL46" s="2402"/>
      <c r="AM46" s="2402"/>
      <c r="AN46" s="2402"/>
      <c r="AO46" s="2402"/>
      <c r="AP46" s="2402"/>
      <c r="AQ46" s="2402"/>
      <c r="AR46" s="2402"/>
      <c r="AS46" s="2402"/>
      <c r="AT46" s="2402"/>
      <c r="AU46" s="2402"/>
      <c r="AV46" s="2402"/>
      <c r="AW46" s="2402"/>
      <c r="AX46" s="2402"/>
      <c r="AY46" s="2402"/>
      <c r="AZ46" s="2402"/>
      <c r="BA46" s="2402"/>
      <c r="BB46" s="2403"/>
      <c r="BC46" s="140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46"/>
      <c r="BF46" s="646" t="str">
        <f>IF(T46="","",T46)</f>
        <v>Наименование тарифа</v>
      </c>
      <c r="BG46" s="646"/>
      <c r="BH46" s="646"/>
      <c r="BI46" s="1301">
        <v>21</v>
      </c>
    </row>
    <row customHeight="1" ht="22.049999999999997">
      <c r="A47" s="1509" t="s">
        <v>283</v>
      </c>
      <c r="B47" s="1509" t="s">
        <v>284</v>
      </c>
      <c r="C47" s="1509"/>
      <c r="D47" s="1509"/>
      <c r="E47" s="2418"/>
      <c r="F47" s="2417">
        <v>1</v>
      </c>
      <c r="G47" s="1509"/>
      <c r="H47" s="1509"/>
      <c r="I47" s="1509"/>
      <c r="J47" s="1509"/>
      <c r="K47" s="1509"/>
      <c r="L47" s="1510"/>
      <c r="M47" s="1511"/>
      <c r="N47" s="1511"/>
      <c r="O47" s="1511"/>
      <c r="P47" s="1556"/>
      <c r="Q47" s="1557"/>
      <c r="R47" s="499"/>
      <c r="S47" s="1639" t="str">
        <f>INDEX(PT_DIFFERENTIATION_NUM_TER,MATCH(B47,PT_DIFFERENTIATION_TER_ID,0))</f>
        <v>.</v>
      </c>
      <c r="T47" s="454" t="s">
        <v>419</v>
      </c>
      <c r="U47" s="446"/>
      <c r="V47" s="2402"/>
      <c r="W47" s="2402"/>
      <c r="X47" s="2402"/>
      <c r="Y47" s="2402"/>
      <c r="Z47" s="2402"/>
      <c r="AA47" s="2402"/>
      <c r="AB47" s="2402"/>
      <c r="AC47" s="2403"/>
      <c r="AD47" s="2401" t="str">
        <f>INDEX(PT_DIFFERENTIATION_TER,MATCH(B47,PT_DIFFERENTIATION_TER_ID,0))</f>
        <v/>
      </c>
      <c r="AE47" s="2402"/>
      <c r="AF47" s="2402"/>
      <c r="AG47" s="2402"/>
      <c r="AH47" s="2402"/>
      <c r="AI47" s="2402"/>
      <c r="AJ47" s="2402"/>
      <c r="AK47" s="2402"/>
      <c r="AL47" s="2402"/>
      <c r="AM47" s="2402"/>
      <c r="AN47" s="2402"/>
      <c r="AO47" s="2402"/>
      <c r="AP47" s="2402"/>
      <c r="AQ47" s="2402"/>
      <c r="AR47" s="2402"/>
      <c r="AS47" s="2402"/>
      <c r="AT47" s="2402"/>
      <c r="AU47" s="2402"/>
      <c r="AV47" s="2402"/>
      <c r="AW47" s="2402"/>
      <c r="AX47" s="2402"/>
      <c r="AY47" s="2402"/>
      <c r="AZ47" s="2402"/>
      <c r="BA47" s="2402"/>
      <c r="BB47" s="2403"/>
      <c r="BC47" s="1404" t="s">
        <v>420</v>
      </c>
      <c r="BE47" s="646"/>
      <c r="BF47" s="646" t="str">
        <f>IF(T47="","",T47)</f>
        <v>Территория действия тарифа</v>
      </c>
      <c r="BG47" s="646"/>
      <c r="BH47" s="646"/>
      <c r="BI47" s="1301">
        <v>21</v>
      </c>
    </row>
    <row customHeight="1" ht="35.699999999999996">
      <c r="A48" s="1509" t="s">
        <v>283</v>
      </c>
      <c r="B48" s="1509" t="s">
        <v>284</v>
      </c>
      <c r="C48" s="1509" t="s">
        <v>285</v>
      </c>
      <c r="D48" s="1509"/>
      <c r="E48" s="2418"/>
      <c r="F48" s="2418"/>
      <c r="G48" s="2417">
        <v>1</v>
      </c>
      <c r="H48" s="1509"/>
      <c r="I48" s="1509"/>
      <c r="J48" s="1509"/>
      <c r="K48" s="1509"/>
      <c r="L48" s="1510"/>
      <c r="M48" s="1511"/>
      <c r="N48" s="1511"/>
      <c r="O48" s="1511"/>
      <c r="P48" s="1558"/>
      <c r="Q48" s="1557"/>
      <c r="R48" s="499"/>
      <c r="S48" s="1639" t="str">
        <f>INDEX(PT_DIFFERENTIATION_NUM_CS,MATCH(C48,PT_DIFFERENTIATION_CS_ID,0))</f>
        <v>..</v>
      </c>
      <c r="T48" s="455" t="s">
        <v>552</v>
      </c>
      <c r="U48" s="446"/>
      <c r="V48" s="2402"/>
      <c r="W48" s="2402"/>
      <c r="X48" s="2402"/>
      <c r="Y48" s="2402"/>
      <c r="Z48" s="2402"/>
      <c r="AA48" s="2402"/>
      <c r="AB48" s="2402"/>
      <c r="AC48" s="2403"/>
      <c r="AD48" s="2401" t="str">
        <f>INDEX(PT_DIFFERENTIATION_CS,MATCH(C48,PT_DIFFERENTIATION_CS_ID,0))</f>
        <v/>
      </c>
      <c r="AE48" s="2402"/>
      <c r="AF48" s="2402"/>
      <c r="AG48" s="2402"/>
      <c r="AH48" s="2402"/>
      <c r="AI48" s="2402"/>
      <c r="AJ48" s="2402"/>
      <c r="AK48" s="2402"/>
      <c r="AL48" s="2402"/>
      <c r="AM48" s="2402"/>
      <c r="AN48" s="2402"/>
      <c r="AO48" s="2402"/>
      <c r="AP48" s="2402"/>
      <c r="AQ48" s="2402"/>
      <c r="AR48" s="2402"/>
      <c r="AS48" s="2402"/>
      <c r="AT48" s="2402"/>
      <c r="AU48" s="2402"/>
      <c r="AV48" s="2402"/>
      <c r="AW48" s="2402"/>
      <c r="AX48" s="2402"/>
      <c r="AY48" s="2402"/>
      <c r="AZ48" s="2402"/>
      <c r="BA48" s="2402"/>
      <c r="BB48" s="2403"/>
      <c r="BC48" s="1404" t="s">
        <v>553</v>
      </c>
      <c r="BE48" s="646"/>
      <c r="BF48" s="646" t="str">
        <f>IF(T48="","",T48)</f>
        <v>Наименование централизованной системы горячего водоснабжения</v>
      </c>
      <c r="BG48" s="646"/>
      <c r="BH48" s="646"/>
      <c r="BI48" s="1301">
        <v>34</v>
      </c>
    </row>
    <row s="6720" customFormat="1" customHeight="1" ht="0">
      <c r="A49" s="1489" t="s">
        <v>283</v>
      </c>
      <c r="B49" s="1489" t="s">
        <v>284</v>
      </c>
      <c r="C49" s="1489" t="s">
        <v>285</v>
      </c>
      <c r="D49" s="1489" t="s">
        <v>566</v>
      </c>
      <c r="E49" s="2418"/>
      <c r="F49" s="2418"/>
      <c r="G49" s="2418"/>
      <c r="H49" s="2417">
        <v>1</v>
      </c>
      <c r="I49" s="1489"/>
      <c r="J49" s="1489"/>
      <c r="K49" s="1489"/>
      <c r="L49" s="1492"/>
      <c r="M49" s="1461"/>
      <c r="N49" s="1461"/>
      <c r="O49" s="1461"/>
      <c r="P49" s="1643"/>
      <c r="Q49" s="1644"/>
      <c r="R49" s="503"/>
      <c r="S49" s="1188"/>
      <c r="T49" s="1645"/>
      <c r="U49" s="1530"/>
      <c r="V49" s="2456"/>
      <c r="W49" s="2456"/>
      <c r="X49" s="2456"/>
      <c r="Y49" s="2456"/>
      <c r="Z49" s="2456"/>
      <c r="AA49" s="2456"/>
      <c r="AB49" s="2456"/>
      <c r="AC49" s="2457"/>
      <c r="AD49" s="2455"/>
      <c r="AE49" s="2456"/>
      <c r="AF49" s="2456"/>
      <c r="AG49" s="2456"/>
      <c r="AH49" s="2456"/>
      <c r="AI49" s="2456"/>
      <c r="AJ49" s="2456"/>
      <c r="AK49" s="2456"/>
      <c r="AL49" s="2456"/>
      <c r="AM49" s="2456"/>
      <c r="AN49" s="2456"/>
      <c r="AO49" s="2456"/>
      <c r="AP49" s="2456"/>
      <c r="AQ49" s="2456"/>
      <c r="AR49" s="2456"/>
      <c r="AS49" s="2456"/>
      <c r="AT49" s="2456"/>
      <c r="AU49" s="2456"/>
      <c r="AV49" s="2456"/>
      <c r="AW49" s="2456"/>
      <c r="AX49" s="2456"/>
      <c r="AY49" s="2456"/>
      <c r="AZ49" s="2456"/>
      <c r="BA49" s="2456"/>
      <c r="BB49" s="2457"/>
      <c r="BC49" s="1531" t="s">
        <v>424</v>
      </c>
      <c r="BE49" s="646"/>
      <c r="BF49" s="646" t="str">
        <f>IF(T49="","",T49)</f>
        <v/>
      </c>
      <c r="BG49" s="646"/>
      <c r="BH49" s="646"/>
      <c r="BI49" s="657">
        <v>0</v>
      </c>
    </row>
    <row s="6720" customFormat="1" customHeight="1" ht="0">
      <c r="A50" s="1489" t="s">
        <v>283</v>
      </c>
      <c r="B50" s="1489" t="s">
        <v>284</v>
      </c>
      <c r="C50" s="1489" t="s">
        <v>285</v>
      </c>
      <c r="D50" s="1489" t="s">
        <v>566</v>
      </c>
      <c r="E50" s="2418"/>
      <c r="F50" s="2418"/>
      <c r="G50" s="2418"/>
      <c r="H50" s="2418"/>
      <c r="I50" s="2415" t="str">
        <f>S49&amp;".1"</f>
        <v>.1</v>
      </c>
      <c r="J50" s="1489"/>
      <c r="K50" s="1489"/>
      <c r="L50" s="1492" t="s">
        <v>425</v>
      </c>
      <c r="M50" s="656"/>
      <c r="N50" s="656"/>
      <c r="O50" s="656"/>
      <c r="P50" s="2416">
        <v>1</v>
      </c>
      <c r="Q50" s="1627"/>
      <c r="R50" s="502"/>
      <c r="S50" s="1188"/>
      <c r="T50" s="1529"/>
      <c r="U50" s="1530"/>
      <c r="V50" s="2456"/>
      <c r="W50" s="2456"/>
      <c r="X50" s="2456"/>
      <c r="Y50" s="2456"/>
      <c r="Z50" s="2456"/>
      <c r="AA50" s="2456"/>
      <c r="AB50" s="2456"/>
      <c r="AC50" s="2457"/>
      <c r="AD50" s="2455"/>
      <c r="AE50" s="2456"/>
      <c r="AF50" s="2456"/>
      <c r="AG50" s="2456"/>
      <c r="AH50" s="2456"/>
      <c r="AI50" s="2456"/>
      <c r="AJ50" s="2456"/>
      <c r="AK50" s="2456"/>
      <c r="AL50" s="2456"/>
      <c r="AM50" s="2456"/>
      <c r="AN50" s="2456"/>
      <c r="AO50" s="2456"/>
      <c r="AP50" s="2456"/>
      <c r="AQ50" s="2456"/>
      <c r="AR50" s="2456"/>
      <c r="AS50" s="2456"/>
      <c r="AT50" s="2456"/>
      <c r="AU50" s="2456"/>
      <c r="AV50" s="2456"/>
      <c r="AW50" s="2456"/>
      <c r="AX50" s="2456"/>
      <c r="AY50" s="2456"/>
      <c r="AZ50" s="2456"/>
      <c r="BA50" s="2456"/>
      <c r="BB50" s="2457"/>
      <c r="BC50" s="1531"/>
      <c r="BE50" s="646"/>
      <c r="BF50" s="646" t="str">
        <f>IF(T50="","",T50)</f>
        <v/>
      </c>
      <c r="BG50" s="646"/>
      <c r="BH50" s="646"/>
      <c r="BI50" s="657">
        <v>0</v>
      </c>
    </row>
    <row s="6720" customFormat="1" customHeight="1" ht="0">
      <c r="A51" s="1489" t="s">
        <v>283</v>
      </c>
      <c r="B51" s="1489" t="s">
        <v>284</v>
      </c>
      <c r="C51" s="1489" t="s">
        <v>285</v>
      </c>
      <c r="D51" s="1489" t="s">
        <v>566</v>
      </c>
      <c r="E51" s="2418"/>
      <c r="F51" s="2418"/>
      <c r="G51" s="2418"/>
      <c r="H51" s="2418"/>
      <c r="I51" s="2445"/>
      <c r="J51" s="2415" t="str">
        <f>S49&amp;".1"</f>
        <v>.1</v>
      </c>
      <c r="K51" s="1489"/>
      <c r="L51" s="1492"/>
      <c r="M51" s="656"/>
      <c r="N51" s="656"/>
      <c r="O51" s="656"/>
      <c r="P51" s="2416"/>
      <c r="Q51" s="2416">
        <v>1</v>
      </c>
      <c r="R51" s="503"/>
      <c r="S51" s="1188"/>
      <c r="T51" s="1545"/>
      <c r="U51" s="1530"/>
      <c r="V51" s="2456"/>
      <c r="W51" s="2456"/>
      <c r="X51" s="2456"/>
      <c r="Y51" s="2456"/>
      <c r="Z51" s="2456"/>
      <c r="AA51" s="2456"/>
      <c r="AB51" s="2456"/>
      <c r="AC51" s="2457"/>
      <c r="AD51" s="2455"/>
      <c r="AE51" s="2456"/>
      <c r="AF51" s="2456"/>
      <c r="AG51" s="2456"/>
      <c r="AH51" s="2456"/>
      <c r="AI51" s="2456"/>
      <c r="AJ51" s="2456"/>
      <c r="AK51" s="2456"/>
      <c r="AL51" s="2456"/>
      <c r="AM51" s="2456"/>
      <c r="AN51" s="2523"/>
      <c r="AO51" s="2523"/>
      <c r="AP51" s="2456"/>
      <c r="AQ51" s="2456"/>
      <c r="AR51" s="2456"/>
      <c r="AS51" s="2456"/>
      <c r="AT51" s="2456"/>
      <c r="AU51" s="2456"/>
      <c r="AV51" s="2456"/>
      <c r="AW51" s="2456"/>
      <c r="AX51" s="2456"/>
      <c r="AY51" s="2456"/>
      <c r="AZ51" s="2456"/>
      <c r="BA51" s="2456"/>
      <c r="BB51" s="2457"/>
      <c r="BC51" s="1531"/>
      <c r="BE51" s="646"/>
      <c r="BF51" s="646" t="str">
        <f>IF(T51="","",T51)</f>
        <v/>
      </c>
      <c r="BG51" s="646"/>
      <c r="BH51" s="646"/>
      <c r="BI51" s="657">
        <v>0</v>
      </c>
    </row>
    <row customHeight="1" ht="11.549999999999999">
      <c r="A52" s="1509" t="s">
        <v>283</v>
      </c>
      <c r="B52" s="1509" t="s">
        <v>284</v>
      </c>
      <c r="C52" s="1509" t="s">
        <v>285</v>
      </c>
      <c r="D52" s="1509" t="s">
        <v>566</v>
      </c>
      <c r="E52" s="2418"/>
      <c r="F52" s="2418"/>
      <c r="G52" s="2418"/>
      <c r="H52" s="2418"/>
      <c r="I52" s="2445"/>
      <c r="J52" s="2445"/>
      <c r="K52" s="2415" t="str">
        <f>S48&amp;".1"</f>
        <v>...1</v>
      </c>
      <c r="L52" s="1510"/>
      <c r="P52" s="2416"/>
      <c r="Q52" s="2416"/>
      <c r="R52" s="503">
        <v>1</v>
      </c>
      <c r="S52" s="2500" t="str">
        <f>$K52</f>
        <v>...1</v>
      </c>
      <c r="T52" s="2519"/>
      <c r="U52" s="446"/>
      <c r="V52" s="897"/>
      <c r="W52" s="1403"/>
      <c r="X52" s="897"/>
      <c r="Y52" s="1403"/>
      <c r="Z52" s="1879"/>
      <c r="AA52" s="1615" t="s">
        <v>63</v>
      </c>
      <c r="AB52" s="1879"/>
      <c r="AC52" s="1615" t="s">
        <v>63</v>
      </c>
      <c r="AD52" s="2344" t="s">
        <v>63</v>
      </c>
      <c r="AE52" s="2485"/>
      <c r="AF52" s="2364">
        <v>1</v>
      </c>
      <c r="AG52" s="2522"/>
      <c r="AH52" s="2266" t="s">
        <v>63</v>
      </c>
      <c r="AI52" s="2485"/>
      <c r="AJ52" s="2364">
        <v>1</v>
      </c>
      <c r="AK52" s="2486" t="s">
        <v>22</v>
      </c>
      <c r="AL52" s="2266" t="s">
        <v>63</v>
      </c>
      <c r="AM52" s="2351"/>
      <c r="AN52" s="2364">
        <v>1</v>
      </c>
      <c r="AO52" s="2516"/>
      <c r="AP52" s="2517" t="s">
        <v>63</v>
      </c>
      <c r="AQ52" s="457"/>
      <c r="AR52" s="1632">
        <v>1</v>
      </c>
      <c r="AS52" s="1638" t="s">
        <v>22</v>
      </c>
      <c r="AT52" s="897"/>
      <c r="AU52" s="1403"/>
      <c r="AV52" s="897"/>
      <c r="AW52" s="1403"/>
      <c r="AX52" s="1879"/>
      <c r="AY52" s="1615" t="s">
        <v>63</v>
      </c>
      <c r="AZ52" s="1879"/>
      <c r="BA52" s="1615" t="s">
        <v>63</v>
      </c>
      <c r="BB52" s="1494"/>
      <c r="BC52" s="2412" t="s">
        <v>523</v>
      </c>
      <c r="BE52" s="646"/>
      <c r="BF52" s="646" t="str">
        <f>IF(T52="","",T52)</f>
        <v/>
      </c>
      <c r="BG52" s="646"/>
      <c r="BH52" s="646"/>
      <c r="BI52" s="1301">
        <v>11</v>
      </c>
    </row>
    <row customHeight="1" ht="11.549999999999999">
      <c r="A53" s="1509"/>
      <c r="B53" s="1509"/>
      <c r="C53" s="1509"/>
      <c r="D53" s="1509"/>
      <c r="E53" s="2418"/>
      <c r="F53" s="2418"/>
      <c r="G53" s="2418"/>
      <c r="H53" s="2418"/>
      <c r="I53" s="2445"/>
      <c r="J53" s="2445"/>
      <c r="K53" s="2415"/>
      <c r="L53" s="1510"/>
      <c r="P53" s="2416"/>
      <c r="Q53" s="2416"/>
      <c r="R53" s="503"/>
      <c r="S53" s="2501"/>
      <c r="T53" s="2520"/>
      <c r="U53" s="446"/>
      <c r="V53" s="1539"/>
      <c r="W53" s="1642"/>
      <c r="X53" s="1539"/>
      <c r="Y53" s="1642"/>
      <c r="Z53" s="1539"/>
      <c r="AA53" s="1539"/>
      <c r="AB53" s="1539"/>
      <c r="AC53" s="1539"/>
      <c r="AD53" s="2345"/>
      <c r="AE53" s="2485"/>
      <c r="AF53" s="2364"/>
      <c r="AG53" s="2522"/>
      <c r="AH53" s="2266"/>
      <c r="AI53" s="2485"/>
      <c r="AJ53" s="2364"/>
      <c r="AK53" s="2486"/>
      <c r="AL53" s="2266"/>
      <c r="AM53" s="2359"/>
      <c r="AN53" s="2364"/>
      <c r="AO53" s="2516"/>
      <c r="AP53" s="2518"/>
      <c r="AQ53" s="462"/>
      <c r="AR53" s="562"/>
      <c r="AS53" s="562" t="s">
        <v>524</v>
      </c>
      <c r="AT53" s="1539"/>
      <c r="AU53" s="1642"/>
      <c r="AV53" s="1539"/>
      <c r="AW53" s="1642"/>
      <c r="AX53" s="1539"/>
      <c r="AY53" s="1539"/>
      <c r="AZ53" s="1539"/>
      <c r="BA53" s="1539"/>
      <c r="BB53" s="1543"/>
      <c r="BC53" s="2413"/>
      <c r="BE53" s="646"/>
      <c r="BF53" s="646"/>
      <c r="BG53" s="646"/>
      <c r="BH53" s="646"/>
      <c r="BI53" s="1301">
        <v>11</v>
      </c>
    </row>
    <row customHeight="1" ht="11.549999999999999">
      <c r="A54" s="1509" t="s">
        <v>283</v>
      </c>
      <c r="B54" s="1509"/>
      <c r="C54" s="1509"/>
      <c r="D54" s="1509"/>
      <c r="E54" s="2418"/>
      <c r="F54" s="2418"/>
      <c r="G54" s="2418"/>
      <c r="H54" s="2418"/>
      <c r="I54" s="2445"/>
      <c r="J54" s="2445"/>
      <c r="K54" s="2415"/>
      <c r="L54" s="1510"/>
      <c r="P54" s="2416"/>
      <c r="Q54" s="2416"/>
      <c r="R54" s="503"/>
      <c r="S54" s="2501"/>
      <c r="T54" s="2520"/>
      <c r="U54" s="446"/>
      <c r="V54" s="1539"/>
      <c r="W54" s="1642"/>
      <c r="X54" s="1539"/>
      <c r="Y54" s="1642"/>
      <c r="Z54" s="1539"/>
      <c r="AA54" s="1539"/>
      <c r="AB54" s="1539"/>
      <c r="AC54" s="1539"/>
      <c r="AD54" s="2345"/>
      <c r="AE54" s="2485"/>
      <c r="AF54" s="2364"/>
      <c r="AG54" s="2522"/>
      <c r="AH54" s="2266"/>
      <c r="AI54" s="2485"/>
      <c r="AJ54" s="2364"/>
      <c r="AK54" s="2486"/>
      <c r="AL54" s="2266"/>
      <c r="AM54" s="462"/>
      <c r="AN54" s="1646"/>
      <c r="AO54" s="1646" t="s">
        <v>525</v>
      </c>
      <c r="AP54" s="562"/>
      <c r="AQ54" s="562"/>
      <c r="AR54" s="562"/>
      <c r="AS54" s="1539"/>
      <c r="AT54" s="1539"/>
      <c r="AU54" s="1642"/>
      <c r="AV54" s="1539"/>
      <c r="AW54" s="1642"/>
      <c r="AX54" s="1539"/>
      <c r="AY54" s="1539"/>
      <c r="AZ54" s="1539"/>
      <c r="BA54" s="1539"/>
      <c r="BB54" s="1543"/>
      <c r="BC54" s="2413"/>
      <c r="BE54" s="646"/>
      <c r="BF54" s="646"/>
      <c r="BG54" s="646"/>
      <c r="BH54" s="646"/>
      <c r="BI54" s="1301">
        <v>11</v>
      </c>
    </row>
    <row customHeight="1" ht="11.549999999999999">
      <c r="A55" s="1509" t="s">
        <v>283</v>
      </c>
      <c r="B55" s="1509"/>
      <c r="C55" s="1509"/>
      <c r="D55" s="1509"/>
      <c r="E55" s="2418"/>
      <c r="F55" s="2418"/>
      <c r="G55" s="2418"/>
      <c r="H55" s="2418"/>
      <c r="I55" s="2445"/>
      <c r="J55" s="2445"/>
      <c r="K55" s="2415"/>
      <c r="L55" s="1510"/>
      <c r="P55" s="2416"/>
      <c r="Q55" s="2416"/>
      <c r="R55" s="503"/>
      <c r="S55" s="2501"/>
      <c r="T55" s="2520"/>
      <c r="U55" s="446"/>
      <c r="V55" s="1539"/>
      <c r="W55" s="1642"/>
      <c r="X55" s="1539"/>
      <c r="Y55" s="1642"/>
      <c r="Z55" s="1539"/>
      <c r="AA55" s="1539"/>
      <c r="AB55" s="1539"/>
      <c r="AC55" s="1539"/>
      <c r="AD55" s="2345"/>
      <c r="AE55" s="2485"/>
      <c r="AF55" s="2364"/>
      <c r="AG55" s="2522"/>
      <c r="AH55" s="2266"/>
      <c r="AI55" s="440"/>
      <c r="AJ55" s="561"/>
      <c r="AK55" s="459" t="s">
        <v>526</v>
      </c>
      <c r="AL55" s="1539"/>
      <c r="AM55" s="1539"/>
      <c r="AN55" s="1539"/>
      <c r="AO55" s="1539"/>
      <c r="AP55" s="1539"/>
      <c r="AQ55" s="1539"/>
      <c r="AR55" s="1539"/>
      <c r="AS55" s="1539"/>
      <c r="AT55" s="1539"/>
      <c r="AU55" s="1642"/>
      <c r="AV55" s="1539"/>
      <c r="AW55" s="1642"/>
      <c r="AX55" s="1539"/>
      <c r="AY55" s="1539"/>
      <c r="AZ55" s="1539"/>
      <c r="BA55" s="1539"/>
      <c r="BB55" s="1543"/>
      <c r="BC55" s="2413"/>
      <c r="BE55" s="646"/>
      <c r="BF55" s="646"/>
      <c r="BG55" s="646"/>
      <c r="BH55" s="646"/>
      <c r="BI55" s="1301">
        <v>11</v>
      </c>
    </row>
    <row customHeight="1" ht="11.549999999999999">
      <c r="A56" s="1509" t="s">
        <v>283</v>
      </c>
      <c r="B56" s="1509" t="s">
        <v>284</v>
      </c>
      <c r="C56" s="1509" t="s">
        <v>285</v>
      </c>
      <c r="D56" s="1509" t="s">
        <v>566</v>
      </c>
      <c r="E56" s="2418"/>
      <c r="F56" s="2418"/>
      <c r="G56" s="2418"/>
      <c r="H56" s="2418"/>
      <c r="I56" s="2445"/>
      <c r="J56" s="2445"/>
      <c r="K56" s="2415"/>
      <c r="L56" s="1510"/>
      <c r="P56" s="2416"/>
      <c r="Q56" s="2416"/>
      <c r="R56" s="503"/>
      <c r="S56" s="2502"/>
      <c r="T56" s="2521"/>
      <c r="U56" s="446"/>
      <c r="V56" s="1539"/>
      <c r="W56" s="1540" t="str">
        <f>Z52&amp;"-"&amp;AB52</f>
        <v>-</v>
      </c>
      <c r="X56" s="1539"/>
      <c r="Y56" s="1540" t="str">
        <f>AB52&amp;"-"&amp;AD52</f>
        <v>-да</v>
      </c>
      <c r="Z56" s="1539"/>
      <c r="AA56" s="1539"/>
      <c r="AB56" s="1539"/>
      <c r="AC56" s="1539"/>
      <c r="AD56" s="2271"/>
      <c r="AE56" s="458"/>
      <c r="AF56" s="460"/>
      <c r="AG56" s="562" t="s">
        <v>527</v>
      </c>
      <c r="AH56" s="1539"/>
      <c r="AI56" s="1539"/>
      <c r="AJ56" s="1539"/>
      <c r="AK56" s="1539"/>
      <c r="AL56" s="1539"/>
      <c r="AM56" s="1539"/>
      <c r="AN56" s="1539"/>
      <c r="AO56" s="1539"/>
      <c r="AP56" s="1539"/>
      <c r="AQ56" s="1539"/>
      <c r="AR56" s="1539"/>
      <c r="AS56" s="1539"/>
      <c r="AT56" s="1539"/>
      <c r="AU56" s="1540" t="str">
        <f>AX52&amp;"-"&amp;AZ52</f>
        <v>-</v>
      </c>
      <c r="AV56" s="1539"/>
      <c r="AW56" s="1540" t="str">
        <f>AZ52&amp;"-"&amp;BB52</f>
        <v>-</v>
      </c>
      <c r="AX56" s="1539"/>
      <c r="AY56" s="1539"/>
      <c r="AZ56" s="1539"/>
      <c r="BA56" s="1539"/>
      <c r="BB56" s="1542" t="str">
        <f>BE52&amp;"-"&amp;BG52</f>
        <v>-</v>
      </c>
      <c r="BC56" s="2413"/>
      <c r="BE56" s="646"/>
      <c r="BF56" s="646" t="str">
        <f>IF(T56="","",T56)</f>
        <v/>
      </c>
      <c r="BG56" s="646"/>
      <c r="BH56" s="646"/>
      <c r="BI56" s="1301">
        <v>11</v>
      </c>
    </row>
    <row customHeight="1" ht="11.549999999999999">
      <c r="A57" s="1509" t="s">
        <v>283</v>
      </c>
      <c r="B57" s="1509" t="s">
        <v>284</v>
      </c>
      <c r="C57" s="1509" t="s">
        <v>285</v>
      </c>
      <c r="D57" s="1509" t="s">
        <v>566</v>
      </c>
      <c r="E57" s="2418"/>
      <c r="F57" s="2418"/>
      <c r="G57" s="2418"/>
      <c r="H57" s="2418"/>
      <c r="I57" s="2445"/>
      <c r="J57" s="2415"/>
      <c r="K57" s="1509"/>
      <c r="L57" s="1510"/>
      <c r="P57" s="2416"/>
      <c r="Q57" s="2416"/>
      <c r="R57" s="502"/>
      <c r="S57" s="1424"/>
      <c r="T57" s="433" t="s">
        <v>490</v>
      </c>
      <c r="U57" s="513"/>
      <c r="V57" s="513"/>
      <c r="W57" s="513"/>
      <c r="X57" s="513"/>
      <c r="Y57" s="513"/>
      <c r="Z57" s="513"/>
      <c r="AA57" s="513"/>
      <c r="AB57" s="513"/>
      <c r="AC57" s="470"/>
      <c r="AD57" s="1651"/>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470"/>
      <c r="BC57" s="2414"/>
      <c r="BE57" s="646"/>
      <c r="BF57" s="646" t="str">
        <f>IF(T57="","",T57)</f>
        <v>Добавить строку</v>
      </c>
      <c r="BG57" s="646"/>
      <c r="BH57" s="646"/>
      <c r="BI57" s="1301">
        <v>11</v>
      </c>
    </row>
    <row s="6720" customFormat="1" customHeight="1" ht="0">
      <c r="A58" s="1489" t="s">
        <v>283</v>
      </c>
      <c r="B58" s="1489" t="s">
        <v>284</v>
      </c>
      <c r="C58" s="1489" t="s">
        <v>285</v>
      </c>
      <c r="D58" s="1489" t="s">
        <v>566</v>
      </c>
      <c r="E58" s="2418"/>
      <c r="F58" s="2418"/>
      <c r="G58" s="2418"/>
      <c r="H58" s="2418"/>
      <c r="I58" s="2415"/>
      <c r="J58" s="1489"/>
      <c r="K58" s="1489"/>
      <c r="L58" s="1492"/>
      <c r="M58" s="656"/>
      <c r="N58" s="656"/>
      <c r="O58" s="656"/>
      <c r="P58" s="2416"/>
      <c r="Q58" s="1627"/>
      <c r="R58" s="502"/>
      <c r="S58" s="1532"/>
      <c r="T58" s="1533"/>
      <c r="U58" s="1534"/>
      <c r="V58" s="1534"/>
      <c r="W58" s="1534"/>
      <c r="X58" s="1534"/>
      <c r="Y58" s="1534"/>
      <c r="Z58" s="1534"/>
      <c r="AA58" s="1534"/>
      <c r="AB58" s="1534"/>
      <c r="AC58" s="1534"/>
      <c r="AD58" s="1534"/>
      <c r="AE58" s="1534"/>
      <c r="AF58" s="1534"/>
      <c r="AG58" s="1534"/>
      <c r="AH58" s="1534"/>
      <c r="AI58" s="1534"/>
      <c r="AJ58" s="1534"/>
      <c r="AK58" s="1534"/>
      <c r="AL58" s="1534"/>
      <c r="AM58" s="1534"/>
      <c r="AN58" s="1534"/>
      <c r="AO58" s="1534"/>
      <c r="AP58" s="1534"/>
      <c r="AQ58" s="1534"/>
      <c r="AR58" s="1534"/>
      <c r="AS58" s="1534"/>
      <c r="AT58" s="1534"/>
      <c r="AU58" s="1534"/>
      <c r="AV58" s="1534"/>
      <c r="AW58" s="1534"/>
      <c r="AX58" s="1534"/>
      <c r="AY58" s="1534"/>
      <c r="AZ58" s="1534"/>
      <c r="BA58" s="1534"/>
      <c r="BB58" s="1534"/>
      <c r="BC58" s="1535"/>
      <c r="BE58" s="646"/>
      <c r="BF58" s="646" t="str">
        <f>IF(T58="","",T58)</f>
        <v/>
      </c>
      <c r="BG58" s="646"/>
      <c r="BH58" s="646"/>
      <c r="BI58" s="657">
        <v>0</v>
      </c>
    </row>
    <row s="6720" customFormat="1" customHeight="1" ht="0">
      <c r="A59" s="1489" t="s">
        <v>283</v>
      </c>
      <c r="B59" s="1489" t="s">
        <v>284</v>
      </c>
      <c r="C59" s="1489" t="s">
        <v>285</v>
      </c>
      <c r="D59" s="1489" t="s">
        <v>566</v>
      </c>
      <c r="E59" s="2418"/>
      <c r="F59" s="2418"/>
      <c r="G59" s="2418"/>
      <c r="H59" s="2417"/>
      <c r="I59" s="1489"/>
      <c r="J59" s="1489"/>
      <c r="K59" s="1489"/>
      <c r="L59" s="1492"/>
      <c r="M59" s="1461"/>
      <c r="N59" s="1461"/>
      <c r="O59" s="664"/>
      <c r="P59" s="526"/>
      <c r="Q59" s="1490"/>
      <c r="R59" s="1547"/>
      <c r="S59" s="1532"/>
      <c r="T59" s="1533"/>
      <c r="U59" s="1534"/>
      <c r="V59" s="1534"/>
      <c r="W59" s="1534"/>
      <c r="X59" s="1534"/>
      <c r="Y59" s="1534"/>
      <c r="Z59" s="1534"/>
      <c r="AA59" s="1534"/>
      <c r="AB59" s="1534"/>
      <c r="AC59" s="1534"/>
      <c r="AD59" s="1534"/>
      <c r="AE59" s="1534"/>
      <c r="AF59" s="1534"/>
      <c r="AG59" s="1534"/>
      <c r="AH59" s="1534"/>
      <c r="AI59" s="1534"/>
      <c r="AJ59" s="1534"/>
      <c r="AK59" s="1534"/>
      <c r="AL59" s="1534"/>
      <c r="AM59" s="1534"/>
      <c r="AN59" s="1534"/>
      <c r="AO59" s="1534"/>
      <c r="AP59" s="1534"/>
      <c r="AQ59" s="1534"/>
      <c r="AR59" s="1534"/>
      <c r="AS59" s="1534"/>
      <c r="AT59" s="1534"/>
      <c r="AU59" s="1534"/>
      <c r="AV59" s="1534"/>
      <c r="AW59" s="1534"/>
      <c r="AX59" s="1534"/>
      <c r="AY59" s="1534"/>
      <c r="AZ59" s="1534"/>
      <c r="BA59" s="1534"/>
      <c r="BB59" s="1534"/>
      <c r="BC59" s="1535"/>
      <c r="BE59" s="646"/>
      <c r="BF59" s="646" t="str">
        <f>IF(T59="","",T59)</f>
        <v/>
      </c>
      <c r="BG59" s="646"/>
      <c r="BH59" s="646"/>
      <c r="BI59" s="657">
        <v>0</v>
      </c>
    </row>
    <row s="6720" customFormat="1" customHeight="1" ht="0">
      <c r="A60" s="1489" t="s">
        <v>283</v>
      </c>
      <c r="B60" s="1489" t="s">
        <v>284</v>
      </c>
      <c r="C60" s="1489" t="s">
        <v>285</v>
      </c>
      <c r="D60" s="1460"/>
      <c r="E60" s="2418"/>
      <c r="F60" s="2418"/>
      <c r="G60" s="2417"/>
      <c r="H60" s="1460"/>
      <c r="I60" s="1460"/>
      <c r="J60" s="1460"/>
      <c r="K60" s="1460"/>
      <c r="L60" s="1640"/>
      <c r="M60" s="1461"/>
      <c r="N60" s="1461"/>
      <c r="P60" s="1462"/>
      <c r="Q60" s="1463"/>
      <c r="R60" s="1462"/>
      <c r="S60" s="1468"/>
      <c r="T60" s="1471"/>
      <c r="U60" s="1470"/>
      <c r="V60" s="1470"/>
      <c r="W60" s="1470"/>
      <c r="X60" s="1470"/>
      <c r="Y60" s="1470"/>
      <c r="Z60" s="1470"/>
      <c r="AA60" s="1470"/>
      <c r="AB60" s="1470"/>
      <c r="AC60" s="1470"/>
      <c r="AD60" s="1470"/>
      <c r="AE60" s="1470"/>
      <c r="AF60" s="1470"/>
      <c r="AG60" s="1470"/>
      <c r="AH60" s="1470"/>
      <c r="AI60" s="1470"/>
      <c r="AJ60" s="1470"/>
      <c r="AK60" s="1470"/>
      <c r="AL60" s="1470"/>
      <c r="AM60" s="1470"/>
      <c r="AN60" s="1470"/>
      <c r="AO60" s="1470"/>
      <c r="AP60" s="1470"/>
      <c r="AQ60" s="1470"/>
      <c r="AR60" s="1470"/>
      <c r="AS60" s="1470"/>
      <c r="AT60" s="1470"/>
      <c r="AU60" s="1470"/>
      <c r="AV60" s="1470"/>
      <c r="AW60" s="1470"/>
      <c r="AX60" s="1470"/>
      <c r="AY60" s="1470"/>
      <c r="AZ60" s="1470"/>
      <c r="BA60" s="1470"/>
      <c r="BB60" s="1470"/>
      <c r="BC60" s="1470"/>
      <c r="BE60" s="935"/>
      <c r="BF60" s="935" t="str">
        <f>IF(T60="","",T60)</f>
        <v/>
      </c>
      <c r="BG60" s="935"/>
      <c r="BH60" s="935"/>
      <c r="BI60" s="664">
        <v>0</v>
      </c>
    </row>
    <row s="6720" customFormat="1" customHeight="1" ht="0">
      <c r="A61" s="1489" t="s">
        <v>283</v>
      </c>
      <c r="B61" s="1489" t="s">
        <v>284</v>
      </c>
      <c r="C61" s="1460"/>
      <c r="D61" s="1460"/>
      <c r="E61" s="2418"/>
      <c r="F61" s="2417"/>
      <c r="G61" s="1460"/>
      <c r="H61" s="1460"/>
      <c r="I61" s="1460"/>
      <c r="J61" s="1460"/>
      <c r="K61" s="1460"/>
      <c r="L61" s="1640"/>
      <c r="M61" s="1467"/>
      <c r="N61" s="1467"/>
      <c r="P61" s="1462"/>
      <c r="Q61" s="1463"/>
      <c r="R61" s="1462"/>
      <c r="S61" s="1468"/>
      <c r="T61" s="1471" t="s">
        <v>437</v>
      </c>
      <c r="U61" s="1470"/>
      <c r="V61" s="1470"/>
      <c r="W61" s="1470"/>
      <c r="X61" s="1470"/>
      <c r="Y61" s="1470"/>
      <c r="Z61" s="1470"/>
      <c r="AA61" s="1470"/>
      <c r="AB61" s="1470"/>
      <c r="AC61" s="1470"/>
      <c r="AD61" s="1470"/>
      <c r="AE61" s="1470"/>
      <c r="AF61" s="1470"/>
      <c r="AG61" s="1470"/>
      <c r="AH61" s="1470"/>
      <c r="AI61" s="1470"/>
      <c r="AJ61" s="1470"/>
      <c r="AK61" s="1470"/>
      <c r="AL61" s="1470"/>
      <c r="AM61" s="1470"/>
      <c r="AN61" s="1470"/>
      <c r="AO61" s="1470"/>
      <c r="AP61" s="1470"/>
      <c r="AQ61" s="1470"/>
      <c r="AR61" s="1470"/>
      <c r="AS61" s="1470"/>
      <c r="AT61" s="1470"/>
      <c r="AU61" s="1470"/>
      <c r="AV61" s="1470"/>
      <c r="AW61" s="1470"/>
      <c r="AX61" s="1470"/>
      <c r="AY61" s="1470"/>
      <c r="AZ61" s="1470"/>
      <c r="BA61" s="1470"/>
      <c r="BB61" s="1470"/>
      <c r="BC61" s="1470"/>
      <c r="BE61" s="935"/>
      <c r="BF61" s="935" t="str">
        <f>IF(T61="","",T61)</f>
        <v>Добавить централизованную систему для дифференциации</v>
      </c>
      <c r="BG61" s="935"/>
      <c r="BH61" s="935"/>
      <c r="BI61" s="664">
        <v>0</v>
      </c>
    </row>
    <row s="6720" customFormat="1" customHeight="1" ht="0">
      <c r="A62" s="1489" t="s">
        <v>283</v>
      </c>
      <c r="B62" s="1489"/>
      <c r="C62" s="1489"/>
      <c r="D62" s="1489"/>
      <c r="E62" s="2417"/>
      <c r="F62" s="1489"/>
      <c r="G62" s="1489"/>
      <c r="H62" s="1489"/>
      <c r="I62" s="1489"/>
      <c r="J62" s="1489"/>
      <c r="K62" s="1489"/>
      <c r="L62" s="1492"/>
      <c r="M62" s="1467"/>
      <c r="N62" s="1467"/>
      <c r="O62" s="664"/>
      <c r="P62" s="526"/>
      <c r="Q62" s="1490"/>
      <c r="R62" s="526"/>
      <c r="S62" s="1468"/>
      <c r="T62" s="1471" t="s">
        <v>438</v>
      </c>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70"/>
      <c r="AW62" s="1470"/>
      <c r="AX62" s="1470"/>
      <c r="AY62" s="1470"/>
      <c r="AZ62" s="1470"/>
      <c r="BA62" s="1470"/>
      <c r="BB62" s="1470"/>
      <c r="BC62" s="1470"/>
      <c r="BE62" s="646"/>
      <c r="BF62" s="646" t="str">
        <f>IF(T62="","",T62)</f>
        <v>Добавить территорию для дифференциации</v>
      </c>
      <c r="BG62" s="646"/>
      <c r="BH62" s="646"/>
      <c r="BI62" s="657">
        <v>0</v>
      </c>
    </row>
    <row s="6720" customFormat="1" customHeight="1" ht="0">
      <c r="A63" s="1460"/>
      <c r="B63" s="1460"/>
      <c r="C63" s="1460"/>
      <c r="D63" s="1460"/>
      <c r="E63" s="1489"/>
      <c r="F63" s="1460"/>
      <c r="G63" s="1460"/>
      <c r="H63" s="1460"/>
      <c r="I63" s="1460"/>
      <c r="J63" s="1460"/>
      <c r="K63" s="1460"/>
      <c r="L63" s="1640"/>
      <c r="M63" s="1467"/>
      <c r="N63" s="1467"/>
      <c r="P63" s="1462"/>
      <c r="Q63" s="1463"/>
      <c r="R63" s="1462"/>
      <c r="S63" s="1468"/>
      <c r="T63" s="1471" t="s">
        <v>470</v>
      </c>
      <c r="U63" s="1470"/>
      <c r="V63" s="1470"/>
      <c r="W63" s="1470"/>
      <c r="X63" s="1470"/>
      <c r="Y63" s="1470"/>
      <c r="Z63" s="1470"/>
      <c r="AA63" s="1470"/>
      <c r="AB63" s="1470"/>
      <c r="AC63" s="1470"/>
      <c r="AD63" s="1470"/>
      <c r="AE63" s="1470"/>
      <c r="AF63" s="1470"/>
      <c r="AG63" s="1470"/>
      <c r="AH63" s="1470"/>
      <c r="AI63" s="1470"/>
      <c r="AJ63" s="1470"/>
      <c r="AK63" s="1470"/>
      <c r="AL63" s="1470"/>
      <c r="AM63" s="1470"/>
      <c r="AN63" s="1470"/>
      <c r="AO63" s="1470"/>
      <c r="AP63" s="1470"/>
      <c r="AQ63" s="1470"/>
      <c r="AR63" s="1470"/>
      <c r="AS63" s="1470"/>
      <c r="AT63" s="1470"/>
      <c r="AU63" s="1470"/>
      <c r="AV63" s="1470"/>
      <c r="AW63" s="1470"/>
      <c r="AX63" s="1470"/>
      <c r="AY63" s="1470"/>
      <c r="AZ63" s="1470"/>
      <c r="BA63" s="1470"/>
      <c r="BB63" s="1470"/>
      <c r="BC63" s="1470"/>
      <c r="BE63" s="935"/>
      <c r="BF63" s="935" t="str">
        <f>IF(T63="","",T63)</f>
        <v>Добавить наименование тарифа</v>
      </c>
      <c r="BG63" s="935"/>
      <c r="BH63" s="935"/>
      <c r="BI63" s="664">
        <v>0</v>
      </c>
    </row>
    <row customHeight="1" ht="11.549999999999999">
      <c r="M64" s="1306"/>
      <c r="N64" s="1306"/>
      <c r="O64" s="683"/>
      <c r="P64" s="1306"/>
      <c r="Q64" s="1306"/>
      <c r="R64" s="1301"/>
      <c r="S64" s="1301"/>
      <c r="BD64" s="1301"/>
      <c r="BE64" s="1301"/>
      <c r="BF64" s="1301"/>
      <c r="BG64" s="1301"/>
      <c r="BH64" s="1301"/>
      <c r="BI64" s="1301">
        <v>11</v>
      </c>
    </row>
    <row customHeight="1" ht="19.95">
      <c r="O65" s="683"/>
      <c r="S65" s="1399"/>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c r="AS65" s="2444"/>
      <c r="AT65" s="2444"/>
      <c r="AU65" s="2444"/>
      <c r="AV65" s="2444"/>
      <c r="AW65" s="2444"/>
      <c r="AX65" s="2444"/>
      <c r="AY65" s="2444"/>
      <c r="AZ65" s="2444"/>
      <c r="BA65" s="2444"/>
      <c r="BB65" s="2444"/>
      <c r="BC65" s="2444"/>
      <c r="BI65" s="1301">
        <v>19</v>
      </c>
    </row>
    <row customHeight="1" ht="14.699999999999998">
      <c r="O66" s="683"/>
      <c r="T66" s="1626"/>
      <c r="U66" s="1626"/>
      <c r="V66" s="1626"/>
      <c r="W66" s="1626"/>
      <c r="X66" s="1626"/>
      <c r="Y66" s="1626"/>
      <c r="Z66" s="1626"/>
      <c r="AA66" s="1626"/>
      <c r="AB66" s="1626"/>
      <c r="AC66" s="1626"/>
      <c r="AD66" s="1626"/>
      <c r="AE66" s="1626"/>
      <c r="AF66" s="1626"/>
      <c r="AG66" s="1626"/>
      <c r="AH66" s="1626"/>
      <c r="AI66" s="1626"/>
      <c r="AJ66" s="1626"/>
      <c r="AK66" s="1626"/>
      <c r="AL66" s="1626"/>
      <c r="AM66" s="1626"/>
      <c r="AN66" s="1626"/>
      <c r="AO66" s="1626"/>
      <c r="AP66" s="1626"/>
      <c r="AQ66" s="1626"/>
      <c r="AR66" s="1626"/>
      <c r="AS66" s="1626"/>
      <c r="AT66" s="1626"/>
      <c r="AU66" s="1626"/>
      <c r="AV66" s="1626"/>
      <c r="AW66" s="1626"/>
      <c r="AX66" s="1626"/>
      <c r="AY66" s="1626"/>
      <c r="AZ66" s="1626"/>
      <c r="BA66" s="1626"/>
      <c r="BB66" s="1626"/>
      <c r="BC66" s="1626"/>
      <c r="BI66" s="1301">
        <v>14</v>
      </c>
    </row>
    <row customHeight="1" ht="19.95">
      <c r="O67" s="683"/>
      <c r="S67" s="1399"/>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c r="AS67" s="2444"/>
      <c r="AT67" s="2444"/>
      <c r="AU67" s="2444"/>
      <c r="AV67" s="2444"/>
      <c r="AW67" s="2444"/>
      <c r="AX67" s="2444"/>
      <c r="AY67" s="2444"/>
      <c r="AZ67" s="2444"/>
      <c r="BA67" s="2444"/>
      <c r="BB67" s="2444"/>
      <c r="BC67" s="2444"/>
      <c r="BI67" s="1301">
        <v>19</v>
      </c>
    </row>
    <row customHeight="1" ht="14.699999999999998">
      <c r="O68" s="683"/>
      <c r="BI68" s="1301">
        <v>14</v>
      </c>
    </row>
    <row customHeight="1" ht="14.25" hidden="1">
      <c r="A69" s="1306" t="s">
        <v>83</v>
      </c>
      <c r="B69" s="1306">
        <v>0</v>
      </c>
      <c r="C69" s="1306">
        <v>0</v>
      </c>
      <c r="D69" s="1306">
        <v>0</v>
      </c>
      <c r="E69" s="1306">
        <v>0</v>
      </c>
      <c r="F69" s="1306">
        <v>0</v>
      </c>
      <c r="G69" s="1306">
        <v>0</v>
      </c>
      <c r="H69" s="1306">
        <v>0</v>
      </c>
      <c r="I69" s="1306">
        <v>0</v>
      </c>
      <c r="J69" s="1306">
        <v>0</v>
      </c>
      <c r="K69" s="1306">
        <v>0</v>
      </c>
      <c r="L69" s="1624">
        <v>0</v>
      </c>
      <c r="M69" s="1508">
        <v>0</v>
      </c>
      <c r="N69" s="1508">
        <v>0</v>
      </c>
      <c r="O69" s="1508">
        <v>0</v>
      </c>
      <c r="P69" s="1508">
        <v>0</v>
      </c>
      <c r="Q69" s="1517">
        <v>0</v>
      </c>
      <c r="R69" s="490">
        <v>3</v>
      </c>
      <c r="S69" s="727">
        <v>12</v>
      </c>
      <c r="T69" s="1301">
        <v>31</v>
      </c>
      <c r="U69" s="1301">
        <v>0</v>
      </c>
      <c r="V69" s="1301">
        <v>0</v>
      </c>
      <c r="W69" s="1301">
        <v>0</v>
      </c>
      <c r="X69" s="1301">
        <v>0</v>
      </c>
      <c r="Y69" s="1301">
        <v>0</v>
      </c>
      <c r="Z69" s="1301">
        <v>0</v>
      </c>
      <c r="AA69" s="1301">
        <v>0</v>
      </c>
      <c r="AB69" s="1301">
        <v>0</v>
      </c>
      <c r="AC69" s="1301">
        <v>0</v>
      </c>
      <c r="AD69" s="1301">
        <v>3</v>
      </c>
      <c r="AE69" s="1301">
        <v>3</v>
      </c>
      <c r="AF69" s="1301">
        <v>3</v>
      </c>
      <c r="AG69" s="1301">
        <v>24</v>
      </c>
      <c r="AH69" s="1301">
        <v>3</v>
      </c>
      <c r="AI69" s="1301">
        <v>3</v>
      </c>
      <c r="AJ69" s="1301">
        <v>3</v>
      </c>
      <c r="AK69" s="1301">
        <v>24</v>
      </c>
      <c r="AL69" s="1301">
        <v>3</v>
      </c>
      <c r="AM69" s="1301">
        <v>3</v>
      </c>
      <c r="AN69" s="1301">
        <v>3</v>
      </c>
      <c r="AO69" s="1301">
        <v>18</v>
      </c>
      <c r="AP69" s="1301">
        <v>3</v>
      </c>
      <c r="AQ69" s="1301">
        <v>3</v>
      </c>
      <c r="AR69" s="1301">
        <v>3</v>
      </c>
      <c r="AS69" s="1301">
        <v>18</v>
      </c>
      <c r="AT69" s="1301">
        <v>21</v>
      </c>
      <c r="AU69" s="1301">
        <v>21</v>
      </c>
      <c r="AV69" s="1301">
        <v>21</v>
      </c>
      <c r="AW69" s="1301">
        <v>21</v>
      </c>
      <c r="AX69" s="1301">
        <v>11</v>
      </c>
      <c r="AY69" s="1301">
        <v>3</v>
      </c>
      <c r="AZ69" s="1301">
        <v>11</v>
      </c>
      <c r="BA69" s="1301">
        <v>0</v>
      </c>
      <c r="BB69" s="1301">
        <v>4</v>
      </c>
      <c r="BC69" s="1301">
        <v>115</v>
      </c>
      <c r="BD69" s="657">
        <v>10</v>
      </c>
      <c r="BE69" s="657">
        <v>10</v>
      </c>
      <c r="BF69" s="657">
        <v>10</v>
      </c>
      <c r="BG69" s="657">
        <v>10</v>
      </c>
      <c r="BH69" s="657">
        <v>10</v>
      </c>
      <c r="BI69" s="130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D3726D-B9C9-9F14-D68D-0.92C2246A}" mc:Ignorable="x14ac xr xr2 xr3">
  <sheetPr>
    <tabColor theme="9" tint="-0.25"/>
  </sheetPr>
  <dimension ref="A1:AK334"/>
  <sheetViews>
    <sheetView topLeftCell="A1" showGridLines="0" zoomScale="79" workbookViewId="0">
      <selection activeCell="N159" sqref="N159"/>
    </sheetView>
  </sheetViews>
  <sheetFormatPr defaultColWidth="9.140625" customHeight="1" defaultRowHeight="11.25"/>
  <cols>
    <col min="1" max="1" style="6697" width="10.7109375" hidden="1" customWidth="1"/>
    <col min="2" max="2" style="7180" width="16.8515625" hidden="1" customWidth="1"/>
    <col min="3" max="3" style="6720" width="5.57421875" hidden="1" customWidth="1"/>
    <col min="4" max="4" style="7235" width="3.00390625" customWidth="1"/>
    <col min="5" max="5" style="7235" width="7.00390625" customWidth="1"/>
    <col min="6" max="6" style="7235" width="54.00390625" customWidth="1"/>
    <col min="7" max="7" style="7235" width="10.00390625" customWidth="1"/>
    <col min="8" max="8" style="7235" width="40.7109375" hidden="1" customWidth="1"/>
    <col min="9" max="9" style="7235" width="40.00390625" customWidth="1"/>
    <col min="10" max="10" style="7235" width="27.00390625" customWidth="1"/>
    <col min="11" max="11" style="7235" width="32.8515625" customWidth="1"/>
    <col min="12" max="12" style="7235" width="31.57421875" customWidth="1"/>
    <col min="13" max="13" style="7235" width="34.140625" customWidth="1"/>
    <col min="14" max="14" style="7235" width="26.57421875" customWidth="1"/>
    <col min="15" max="15" style="7235" width="102.00390625" customWidth="1"/>
    <col min="16" max="16" style="7180" width="9.00390625" customWidth="1"/>
    <col min="17" max="17" style="6720" width="5.00390625" customWidth="1"/>
    <col min="18" max="18" style="6720" width="3.00390625" customWidth="1"/>
    <col min="19" max="22" style="7180" width="3.00390625" customWidth="1"/>
    <col min="23" max="23" style="6720" width="10.00390625" customWidth="1"/>
    <col min="24" max="24" style="7180" width="34.00390625" customWidth="1"/>
    <col min="25" max="25" style="7180" width="9.00390625" customWidth="1"/>
    <col min="26" max="26" style="6698" width="8.00390625" customWidth="1"/>
    <col min="27" max="31" style="7180" width="8.00390625" customWidth="1"/>
    <col min="32" max="36" style="7486" width="8.00390625" customWidth="1"/>
    <col min="37" max="37" style="7235" width="9.140625" hidden="1"/>
  </cols>
  <sheetData>
    <row customHeight="1" ht="22.5" hidden="1">
      <c r="J1" s="7235"/>
      <c r="K1" s="7235"/>
      <c r="L1" s="7235"/>
      <c r="M1" s="7235"/>
      <c r="N1" s="7235"/>
      <c r="AK1" s="1777" t="s">
        <v>14</v>
      </c>
    </row>
    <row customHeight="1" ht="23.25" hidden="1">
      <c r="B2" s="2258"/>
      <c r="C2" s="1313" t="s">
        <v>567</v>
      </c>
      <c r="D2" s="1784"/>
      <c r="E2" s="692">
        <f>B2</f>
        <v>0</v>
      </c>
      <c r="F2" s="693"/>
      <c r="G2" s="1792" t="s">
        <v>568</v>
      </c>
      <c r="H2" s="1792" t="s">
        <v>568</v>
      </c>
      <c r="I2" s="1792" t="s">
        <v>568</v>
      </c>
      <c r="J2" s="7599" t="s">
        <v>568</v>
      </c>
      <c r="K2" s="7599" t="s">
        <v>568</v>
      </c>
      <c r="L2" s="7599" t="s">
        <v>568</v>
      </c>
      <c r="M2" s="7599" t="s">
        <v>568</v>
      </c>
      <c r="N2" s="7599" t="s">
        <v>568</v>
      </c>
      <c r="O2" s="435" t="s">
        <v>569</v>
      </c>
      <c r="P2" s="689"/>
      <c r="AK2" s="1777">
        <v>0</v>
      </c>
    </row>
    <row s="6720" customFormat="1" customHeight="1" ht="0.75" hidden="1">
      <c r="B3" s="2258"/>
      <c r="C3" s="1313"/>
      <c r="D3" s="694"/>
      <c r="E3" s="695"/>
      <c r="F3" s="696" t="s">
        <v>570</v>
      </c>
      <c r="G3" s="697"/>
      <c r="H3" s="1159">
        <f>H4*H5+H6</f>
        <v>0</v>
      </c>
      <c r="I3" s="697">
        <f>I4*I5+I6</f>
        <v>0</v>
      </c>
      <c r="J3" s="6584">
        <f>J4*J5+J6</f>
        <v>0</v>
      </c>
      <c r="K3" s="6584">
        <f>K4*K5+K6</f>
        <v>0</v>
      </c>
      <c r="L3" s="6584">
        <f>L4*L5+L6</f>
        <v>0</v>
      </c>
      <c r="M3" s="6584">
        <f>M4*M5+M6</f>
        <v>0</v>
      </c>
      <c r="N3" s="6584">
        <f>N4*N5+N6</f>
        <v>0</v>
      </c>
      <c r="O3" s="698"/>
      <c r="AK3" s="1782">
        <v>0</v>
      </c>
    </row>
    <row customHeight="1" ht="23.25" hidden="1">
      <c r="B4" s="2258"/>
      <c r="C4" s="1313"/>
      <c r="D4" s="1784"/>
      <c r="E4" s="692" t="str">
        <f>B2&amp;".1"</f>
        <v>.1</v>
      </c>
      <c r="F4" s="699" t="s">
        <v>571</v>
      </c>
      <c r="G4" s="700"/>
      <c r="H4" s="687"/>
      <c r="I4" s="687"/>
      <c r="J4" s="6588"/>
      <c r="K4" s="6588"/>
      <c r="L4" s="6588"/>
      <c r="M4" s="6588"/>
      <c r="N4" s="6588"/>
      <c r="O4" s="435" t="s">
        <v>572</v>
      </c>
      <c r="P4" s="689"/>
      <c r="AK4" s="1777">
        <v>0</v>
      </c>
    </row>
    <row customHeight="1" ht="18.75" hidden="1">
      <c r="B5" s="2258"/>
      <c r="C5" s="1313"/>
      <c r="D5" s="1784"/>
      <c r="E5" s="692" t="str">
        <f>B2&amp;".2"</f>
        <v>.2</v>
      </c>
      <c r="F5" s="699" t="s">
        <v>573</v>
      </c>
      <c r="G5" s="1792" t="s">
        <v>574</v>
      </c>
      <c r="H5" s="687"/>
      <c r="I5" s="687"/>
      <c r="J5" s="6588"/>
      <c r="K5" s="6588"/>
      <c r="L5" s="6588"/>
      <c r="M5" s="6588"/>
      <c r="N5" s="6588"/>
      <c r="O5" s="435"/>
      <c r="P5" s="689"/>
      <c r="AK5" s="1777">
        <v>0</v>
      </c>
    </row>
    <row customHeight="1" ht="18.75" hidden="1">
      <c r="B6" s="2258"/>
      <c r="C6" s="1313"/>
      <c r="D6" s="1784"/>
      <c r="E6" s="692" t="str">
        <f>B2&amp;".3"</f>
        <v>.3</v>
      </c>
      <c r="F6" s="699" t="s">
        <v>575</v>
      </c>
      <c r="G6" s="1792" t="s">
        <v>574</v>
      </c>
      <c r="H6" s="687"/>
      <c r="I6" s="687"/>
      <c r="J6" s="6588"/>
      <c r="K6" s="6588"/>
      <c r="L6" s="6588"/>
      <c r="M6" s="6588"/>
      <c r="N6" s="6588"/>
      <c r="O6" s="435"/>
      <c r="P6" s="689"/>
      <c r="AK6" s="1777">
        <v>0</v>
      </c>
    </row>
    <row customHeight="1" ht="18.75" hidden="1">
      <c r="B7" s="2258"/>
      <c r="C7" s="1313"/>
      <c r="D7" s="1784"/>
      <c r="E7" s="692" t="str">
        <f>B2&amp;".4"</f>
        <v>.4</v>
      </c>
      <c r="F7" s="699" t="s">
        <v>576</v>
      </c>
      <c r="G7" s="1792" t="s">
        <v>568</v>
      </c>
      <c r="H7" s="701"/>
      <c r="I7" s="701"/>
      <c r="J7" s="6589"/>
      <c r="K7" s="6589"/>
      <c r="L7" s="6589"/>
      <c r="M7" s="6589"/>
      <c r="N7" s="6589"/>
      <c r="O7" s="435"/>
      <c r="P7" s="689"/>
      <c r="AK7" s="1777">
        <v>0</v>
      </c>
    </row>
    <row s="7180" customFormat="1" customHeight="1" ht="11.25" hidden="1">
      <c r="A8" s="1133"/>
      <c r="C8" s="1782"/>
      <c r="D8" s="683"/>
      <c r="H8" s="1306">
        <v>4</v>
      </c>
      <c r="I8" s="1306">
        <v>4</v>
      </c>
      <c r="J8" s="7180">
        <v>4</v>
      </c>
      <c r="K8" s="7180">
        <v>4</v>
      </c>
      <c r="L8" s="7180">
        <v>4</v>
      </c>
      <c r="M8" s="7180">
        <v>4</v>
      </c>
      <c r="N8" s="7180">
        <v>4</v>
      </c>
      <c r="Q8" s="1782"/>
      <c r="R8" s="1782"/>
      <c r="W8" s="1782"/>
      <c r="AK8" s="1306">
        <v>0</v>
      </c>
    </row>
    <row s="7180" customFormat="1" customHeight="1" ht="22.5" hidden="1">
      <c r="A9" s="1133"/>
      <c r="C9" s="1782"/>
      <c r="D9" s="684"/>
      <c r="E9" s="1794"/>
      <c r="F9" s="686"/>
      <c r="G9" s="1792" t="s">
        <v>574</v>
      </c>
      <c r="H9" s="687"/>
      <c r="I9" s="687"/>
      <c r="J9" s="6588"/>
      <c r="K9" s="6588"/>
      <c r="L9" s="6588"/>
      <c r="M9" s="6588"/>
      <c r="N9" s="6588"/>
      <c r="O9" s="688" t="s">
        <v>577</v>
      </c>
      <c r="P9" s="689"/>
      <c r="Q9" s="1782"/>
      <c r="R9" s="1782"/>
      <c r="W9" s="1782"/>
      <c r="Z9" s="690"/>
      <c r="AF9" s="1778"/>
      <c r="AG9" s="1778"/>
      <c r="AH9" s="1778"/>
      <c r="AI9" s="1778"/>
      <c r="AJ9" s="1778"/>
      <c r="AK9" s="1306">
        <v>0</v>
      </c>
    </row>
    <row customHeight="1" ht="11.25" hidden="1">
      <c r="J10" s="7235"/>
      <c r="K10" s="7235"/>
      <c r="L10" s="7235"/>
      <c r="M10" s="7235"/>
      <c r="N10" s="7235"/>
      <c r="AK10" s="1777">
        <v>0</v>
      </c>
    </row>
    <row customHeight="1" ht="18.75" hidden="1">
      <c r="D11" s="1784"/>
      <c r="E11" s="692"/>
      <c r="F11" s="686"/>
      <c r="G11" s="1792" t="s">
        <v>578</v>
      </c>
      <c r="H11" s="687"/>
      <c r="I11" s="687"/>
      <c r="J11" s="6588"/>
      <c r="K11" s="6588"/>
      <c r="L11" s="6588"/>
      <c r="M11" s="6588"/>
      <c r="N11" s="6588"/>
      <c r="O11" s="435" t="s">
        <v>579</v>
      </c>
      <c r="P11" s="689"/>
      <c r="AK11" s="1777">
        <v>0</v>
      </c>
    </row>
    <row customHeight="1" ht="11.25" hidden="1">
      <c r="J12" s="7235"/>
      <c r="K12" s="7235"/>
      <c r="L12" s="7235"/>
      <c r="M12" s="7235"/>
      <c r="N12" s="7235"/>
      <c r="AK12" s="1777">
        <v>0</v>
      </c>
    </row>
    <row customHeight="1" ht="22.5" hidden="1">
      <c r="D13" s="1784"/>
      <c r="E13" s="692"/>
      <c r="F13" s="686"/>
      <c r="G13" s="1115" t="s">
        <v>580</v>
      </c>
      <c r="H13" s="691"/>
      <c r="I13" s="691"/>
      <c r="J13" s="6596"/>
      <c r="K13" s="6596"/>
      <c r="L13" s="6596"/>
      <c r="M13" s="6596"/>
      <c r="N13" s="6596"/>
      <c r="O13" s="891" t="s">
        <v>581</v>
      </c>
      <c r="P13" s="689"/>
      <c r="AK13" s="1777">
        <v>0</v>
      </c>
    </row>
    <row customHeight="1" ht="11.25" hidden="1">
      <c r="J14" s="7235"/>
      <c r="K14" s="7235"/>
      <c r="L14" s="7235"/>
      <c r="M14" s="7235"/>
      <c r="N14" s="7235"/>
      <c r="AK14" s="1777">
        <v>0</v>
      </c>
    </row>
    <row customHeight="1" ht="22.5" hidden="1">
      <c r="D15" s="1784"/>
      <c r="E15" s="692"/>
      <c r="F15" s="686"/>
      <c r="G15" s="1792" t="s">
        <v>582</v>
      </c>
      <c r="H15" s="691"/>
      <c r="I15" s="691"/>
      <c r="J15" s="6596"/>
      <c r="K15" s="6596"/>
      <c r="L15" s="6596"/>
      <c r="M15" s="6596"/>
      <c r="N15" s="6596"/>
      <c r="O15" s="435" t="s">
        <v>583</v>
      </c>
      <c r="P15" s="689"/>
      <c r="AK15" s="1777">
        <v>0</v>
      </c>
    </row>
    <row customHeight="1" ht="11.25" hidden="1">
      <c r="J16" s="7235"/>
      <c r="K16" s="7235"/>
      <c r="L16" s="7235"/>
      <c r="M16" s="7235"/>
      <c r="N16" s="7235"/>
      <c r="AK16" s="1777">
        <v>0</v>
      </c>
    </row>
    <row customHeight="1" ht="22.5" hidden="1">
      <c r="D17" s="1784"/>
      <c r="E17" s="692"/>
      <c r="F17" s="686"/>
      <c r="G17" s="1792" t="s">
        <v>584</v>
      </c>
      <c r="H17" s="691"/>
      <c r="I17" s="691"/>
      <c r="J17" s="6596"/>
      <c r="K17" s="6596"/>
      <c r="L17" s="6596"/>
      <c r="M17" s="6596"/>
      <c r="N17" s="6596"/>
      <c r="O17" s="435" t="s">
        <v>585</v>
      </c>
      <c r="P17" s="689"/>
      <c r="AK17" s="1777">
        <v>0</v>
      </c>
    </row>
    <row customHeight="1" ht="11.25" hidden="1">
      <c r="J18" s="7235"/>
      <c r="K18" s="7235"/>
      <c r="L18" s="7235"/>
      <c r="M18" s="7235"/>
      <c r="N18" s="7235"/>
      <c r="AK18" s="1777">
        <v>0</v>
      </c>
    </row>
    <row s="7486" customFormat="1" customHeight="1" ht="11.25" hidden="1">
      <c r="A19" s="1133"/>
      <c r="B19" s="1306"/>
      <c r="C19" s="1782"/>
      <c r="D19" s="508"/>
      <c r="J19" s="7486"/>
      <c r="K19" s="7486"/>
      <c r="L19" s="7486"/>
      <c r="M19" s="7486"/>
      <c r="N19" s="7486"/>
      <c r="O19" s="1778">
        <v>4</v>
      </c>
      <c r="P19" s="1306"/>
      <c r="Q19" s="1782"/>
      <c r="R19" s="1782"/>
      <c r="S19" s="1306"/>
      <c r="T19" s="1306"/>
      <c r="U19" s="1306"/>
      <c r="V19" s="1306"/>
      <c r="W19" s="1782"/>
      <c r="X19" s="1306"/>
      <c r="Y19" s="1306"/>
      <c r="Z19" s="690"/>
      <c r="AA19" s="1306"/>
      <c r="AB19" s="1306"/>
      <c r="AC19" s="1306"/>
      <c r="AD19" s="1306"/>
      <c r="AE19" s="1306"/>
      <c r="AK19" s="1778">
        <v>0</v>
      </c>
    </row>
    <row customHeight="1" ht="11.549999999999999">
      <c r="J20" s="7235"/>
      <c r="K20" s="7235"/>
      <c r="L20" s="7235"/>
      <c r="M20" s="7235"/>
      <c r="N20" s="7235"/>
      <c r="AK20" s="1777">
        <v>11</v>
      </c>
    </row>
    <row customHeight="1" ht="25.2">
      <c r="E21" s="240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07"/>
      <c r="G21" s="2407"/>
      <c r="H21" s="2407"/>
      <c r="I21" s="2407"/>
      <c r="J21" s="6202"/>
      <c r="K21" s="6202"/>
      <c r="L21" s="6202"/>
      <c r="M21" s="6202"/>
      <c r="N21" s="6202"/>
      <c r="O21" s="702"/>
      <c r="AK21" s="1777">
        <v>24</v>
      </c>
    </row>
    <row customHeight="1" ht="25.2">
      <c r="E22" s="2408" t="str">
        <f>IF(org=0,"Не определено",org)</f>
        <v>ПАО "ТГК-14"</v>
      </c>
      <c r="F22" s="2408"/>
      <c r="G22" s="2408"/>
      <c r="H22" s="2408"/>
      <c r="I22" s="2408"/>
      <c r="J22" s="6204"/>
      <c r="K22" s="6204"/>
      <c r="L22" s="6204"/>
      <c r="M22" s="6204"/>
      <c r="N22" s="6204"/>
      <c r="AK22" s="1777">
        <v>24</v>
      </c>
    </row>
    <row customHeight="1" ht="11.549999999999999">
      <c r="E23" s="1281"/>
      <c r="F23" s="1281"/>
      <c r="G23" s="1281"/>
      <c r="H23" s="1281"/>
      <c r="I23" s="1281"/>
      <c r="J23" s="6991" t="s">
        <v>22</v>
      </c>
      <c r="K23" s="6991" t="s">
        <v>22</v>
      </c>
      <c r="L23" s="6991" t="s">
        <v>22</v>
      </c>
      <c r="M23" s="6991" t="s">
        <v>22</v>
      </c>
      <c r="N23" s="6991" t="s">
        <v>22</v>
      </c>
      <c r="AK23" s="1777">
        <v>11</v>
      </c>
    </row>
    <row s="6720" customFormat="1" customHeight="1" ht="1.05">
      <c r="A24" s="1313"/>
      <c r="D24" s="1788"/>
      <c r="H24" s="1035"/>
      <c r="I24" s="1035" t="s">
        <v>129</v>
      </c>
      <c r="J24" s="6601" t="s">
        <v>137</v>
      </c>
      <c r="K24" s="6601" t="s">
        <v>139</v>
      </c>
      <c r="L24" s="6601" t="s">
        <v>143</v>
      </c>
      <c r="M24" s="6601" t="s">
        <v>134</v>
      </c>
      <c r="N24" s="6601" t="s">
        <v>141</v>
      </c>
      <c r="AK24" s="1782">
        <v>1</v>
      </c>
    </row>
    <row customHeight="1" ht="51.75">
      <c r="E25" s="857"/>
      <c r="F25" s="2526" t="s">
        <v>117</v>
      </c>
      <c r="G25" s="2527"/>
      <c r="H25" s="1798" t="str">
        <f>IF(H24="","",INDEX(DIFFERENTIATION_UNMERGE_VD,MATCH(H24,DIFFERENTIATION_ID_DIFF,0)))</f>
        <v/>
      </c>
      <c r="I25" s="179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25" s="6869"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25" s="6869" t="str">
        <f>IF(K24="","",INDEX(DIFFERENTIATION_UNMERGE_VD,MATCH(K24,DIFFERENTIATION_ID_DIFF,0)))</f>
        <v>Производство. Теплоноситель</v>
      </c>
      <c r="L25" s="6869" t="str">
        <f>IF(L24="","",INDEX(DIFFERENTIATION_UNMERGE_VD,MATCH(L24,DIFFERENTIATION_ID_DIFF,0)))</f>
        <v>Производство тепловой энергии. Некомбинированная выработка; Передача. Тепловая энергия; Сбыт. Тепловая энергия</v>
      </c>
      <c r="M25" s="6869" t="str">
        <f>IF(M24="","",INDEX(DIFFERENTIATION_UNMERGE_VD,MATCH(M24,DIFFERENTIATION_ID_DIFF,0)))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25" s="6869" t="str">
        <f>IF(N24="","",INDEX(DIFFERENTIATION_UNMERGE_VD,MATCH(N24,DIFFERENTIATION_ID_DIFF,0)))</f>
        <v>Производство. Теплоноситель</v>
      </c>
      <c r="O25" s="2286"/>
      <c r="AK25" s="1777">
        <v>11</v>
      </c>
    </row>
    <row customHeight="1" ht="29.25">
      <c r="E26" s="857"/>
      <c r="F26" s="2526" t="s">
        <v>586</v>
      </c>
      <c r="G26" s="2527"/>
      <c r="H26" s="1798" t="str">
        <f>IF(H24="","",INDEX(DIFFERENTIATION_UNMERGE_AREA,MATCH(H24,DIFFERENTIATION_ID_DIFF,0)))</f>
        <v/>
      </c>
      <c r="I26" s="1798" t="str">
        <f>IF(I24="","",INDEX(DIFFERENTIATION_UNMERGE_AREA,MATCH(I24,DIFFERENTIATION_ID_DIFF,0)))</f>
        <v>Территория 1</v>
      </c>
      <c r="J26" s="6869" t="str">
        <f>IF(J24="","",INDEX(DIFFERENTIATION_UNMERGE_AREA,MATCH(J24,DIFFERENTIATION_ID_DIFF,0)))</f>
        <v>Территория 3</v>
      </c>
      <c r="K26" s="6869" t="str">
        <f>IF(K24="","",INDEX(DIFFERENTIATION_UNMERGE_AREA,MATCH(K24,DIFFERENTIATION_ID_DIFF,0)))</f>
        <v>Территория 1</v>
      </c>
      <c r="L26" s="6869" t="str">
        <f>IF(L24="","",INDEX(DIFFERENTIATION_UNMERGE_AREA,MATCH(L24,DIFFERENTIATION_ID_DIFF,0)))</f>
        <v>Территория 3</v>
      </c>
      <c r="M26" s="6869" t="str">
        <f>IF(M24="","",INDEX(DIFFERENTIATION_UNMERGE_AREA,MATCH(M24,DIFFERENTIATION_ID_DIFF,0)))</f>
        <v>Территория 2</v>
      </c>
      <c r="N26" s="6869" t="str">
        <f>IF(N24="","",INDEX(DIFFERENTIATION_UNMERGE_AREA,MATCH(N24,DIFFERENTIATION_ID_DIFF,0)))</f>
        <v>Территория 2</v>
      </c>
      <c r="O26" s="2286"/>
      <c r="AK26" s="1777">
        <v>11</v>
      </c>
    </row>
    <row customHeight="1" ht="26.25">
      <c r="E27" s="857"/>
      <c r="F27" s="2526" t="s">
        <v>587</v>
      </c>
      <c r="G27" s="2527"/>
      <c r="H27" s="1798" t="str">
        <f>IF(H24="","",INDEX(DIFFERENTIATION_UNMERGE_SYSTEM,MATCH(H24,DIFFERENTIATION_ID_DIFF,0)))</f>
        <v/>
      </c>
      <c r="I27" s="1798" t="str">
        <f>IF(I24="","",INDEX(DIFFERENTIATION_UNMERGE_SYSTEM,MATCH(I24,DIFFERENTIATION_ID_DIFF,0)))</f>
        <v>Шерловогорская ТЭЦ</v>
      </c>
      <c r="J27" s="6869" t="str">
        <f>IF(J24="","",INDEX(DIFFERENTIATION_UNMERGE_SYSTEM,MATCH(J24,DIFFERENTIATION_ID_DIFF,0)))</f>
        <v>ЦТС г. Чита (ЧТЭЦ-1, ЧТЭЦ-2)</v>
      </c>
      <c r="K27" s="6869" t="str">
        <f>IF(K24="","",INDEX(DIFFERENTIATION_UNMERGE_SYSTEM,MATCH(K24,DIFFERENTIATION_ID_DIFF,0)))</f>
        <v>Шерловогорская ТЭЦ</v>
      </c>
      <c r="L27" s="6869" t="str">
        <f>IF(L24="","",INDEX(DIFFERENTIATION_UNMERGE_SYSTEM,MATCH(L24,DIFFERENTIATION_ID_DIFF,0)))</f>
        <v>Котельные г. Чита</v>
      </c>
      <c r="M27" s="6869" t="str">
        <f>IF(M24="","",INDEX(DIFFERENTIATION_UNMERGE_SYSTEM,MATCH(M24,DIFFERENTIATION_ID_DIFF,0)))</f>
        <v>Приаргунская ТЭЦ</v>
      </c>
      <c r="N27" s="6869" t="str">
        <f>IF(N24="","",INDEX(DIFFERENTIATION_UNMERGE_SYSTEM,MATCH(N24,DIFFERENTIATION_ID_DIFF,0)))</f>
        <v>Приаргунская ТЭЦ</v>
      </c>
      <c r="O27" s="2286"/>
      <c r="AK27" s="1777">
        <v>11</v>
      </c>
    </row>
    <row customHeight="1" ht="11.549999999999999">
      <c r="E28" s="2528" t="s">
        <v>322</v>
      </c>
      <c r="F28" s="2529"/>
      <c r="G28" s="2529"/>
      <c r="H28" s="1791"/>
      <c r="I28" s="1791"/>
      <c r="J28" s="6942"/>
      <c r="K28" s="6942"/>
      <c r="L28" s="6942"/>
      <c r="M28" s="6942"/>
      <c r="N28" s="6942"/>
      <c r="O28" s="2286"/>
      <c r="AK28" s="1777">
        <v>11</v>
      </c>
    </row>
    <row customHeight="1" ht="24">
      <c r="E29" s="1792" t="s">
        <v>89</v>
      </c>
      <c r="F29" s="1799" t="s">
        <v>324</v>
      </c>
      <c r="G29" s="1799" t="s">
        <v>588</v>
      </c>
      <c r="H29" s="1799" t="s">
        <v>325</v>
      </c>
      <c r="I29" s="1799" t="s">
        <v>325</v>
      </c>
      <c r="J29" s="7599" t="s">
        <v>325</v>
      </c>
      <c r="K29" s="7599" t="s">
        <v>325</v>
      </c>
      <c r="L29" s="7599" t="s">
        <v>325</v>
      </c>
      <c r="M29" s="7599" t="s">
        <v>325</v>
      </c>
      <c r="N29" s="7599" t="s">
        <v>325</v>
      </c>
      <c r="O29" s="2286"/>
      <c r="AK29" s="1777">
        <v>23</v>
      </c>
    </row>
    <row customHeight="1" ht="20.25">
      <c r="D30" s="1784"/>
      <c r="E30" s="692">
        <f>FHD_NUM_P_1</f>
        <v>1</v>
      </c>
      <c r="F30" s="2023" t="str">
        <f>FHD_P_1</f>
        <v>Выручка от регулируемого вида деятельности с распределением по видам деятельности</v>
      </c>
      <c r="G30" s="2021" t="s">
        <v>574</v>
      </c>
      <c r="H30" s="703"/>
      <c r="I30" s="703">
        <v>421504.52473</v>
      </c>
      <c r="J30" s="6612">
        <v>5448878.98981167</v>
      </c>
      <c r="K30" s="6612">
        <v>11088.715949077</v>
      </c>
      <c r="L30" s="6612">
        <v>878622.098123333</v>
      </c>
      <c r="M30" s="6612">
        <v>439966.55285</v>
      </c>
      <c r="N30" s="6612">
        <v>9081.23346328999</v>
      </c>
      <c r="O30" s="435" t="str">
        <f>FHD_NOTE_P_1</f>
        <v>Указывается выручка от регулируемого вида деятельности с распределением по видам деятельности.</v>
      </c>
      <c r="P30" s="689"/>
      <c r="AK30" s="1777">
        <v>19</v>
      </c>
    </row>
    <row customHeight="1" ht="24">
      <c r="D31" s="1784"/>
      <c r="E31" s="692">
        <f>FHD_NUM_P_2</f>
        <v>2</v>
      </c>
      <c r="F31" s="2023" t="str">
        <f>FHD_P_2</f>
        <v>Себестоимость производимых товаров (оказываемых услуг) по регулируемому виду деятельности, включая:</v>
      </c>
      <c r="G31" s="2021" t="s">
        <v>574</v>
      </c>
      <c r="H31" s="704">
        <f>SUMIF($P32:$P98,$P31,H32:H98)</f>
        <v>0</v>
      </c>
      <c r="I31" s="704">
        <f>SUMIF($P32:$P98,$P31,I32:I98)</f>
        <v>418845.419030429</v>
      </c>
      <c r="J31" s="6613">
        <f>SUMIF($P32:$P98,$P31,J32:J98)</f>
        <v>4288811.98245312</v>
      </c>
      <c r="K31" s="6613">
        <f>SUMIF($P32:$P98,$P31,K32:K98)</f>
        <v>34546.8783950536</v>
      </c>
      <c r="L31" s="6613">
        <f>SUMIF($P32:$P98,$P31,L32:L98)</f>
        <v>662278.429057038</v>
      </c>
      <c r="M31" s="6613">
        <f>SUMIF($P32:$P98,$P31,M32:M98)</f>
        <v>381866.188873826</v>
      </c>
      <c r="N31" s="6613">
        <f>SUMIF($P32:$P98,$P31,N32:N98)</f>
        <v>21793.1526305846</v>
      </c>
      <c r="O31" s="435" t="str">
        <f>FHD_NOTE_P_2</f>
        <v>Указывается суммарная себестоимость производимых товаров.</v>
      </c>
      <c r="P31" s="1782" t="s">
        <v>589</v>
      </c>
      <c r="AK31" s="1777">
        <v>11</v>
      </c>
    </row>
    <row customHeight="1" ht="30.75">
      <c r="D32" s="1784"/>
      <c r="E32" s="692" t="str">
        <f>FHD_NUM_P_3</f>
        <v>2.1</v>
      </c>
      <c r="F32" s="1670" t="str">
        <f>FHD_P_3</f>
        <v>Расходы на приобретаемую тепловую энергию (мощность), теплоноситель</v>
      </c>
      <c r="G32" s="2021" t="s">
        <v>574</v>
      </c>
      <c r="H32" s="703"/>
      <c r="I32" s="703">
        <v>4743.10095907697</v>
      </c>
      <c r="J32" s="6612">
        <v>0</v>
      </c>
      <c r="K32" s="6612">
        <v>0</v>
      </c>
      <c r="L32" s="6612">
        <v>0</v>
      </c>
      <c r="M32" s="6612">
        <v>4729.45421236348</v>
      </c>
      <c r="N32" s="6612">
        <v>0</v>
      </c>
      <c r="O32" s="435" t="str">
        <f>FHD_NOTE_P_3</f>
        <v/>
      </c>
      <c r="P32" s="1782" t="str">
        <f>IF((LEN(E32)-LEN(SUBSTITUTE(E32,".","")))/LEN(".")=1,"p","")</f>
        <v>p</v>
      </c>
      <c r="AK32" s="1777">
        <v>11</v>
      </c>
    </row>
    <row customHeight="1" ht="37.5">
      <c r="A33" s="2530" t="s">
        <v>590</v>
      </c>
      <c r="D33" s="1784"/>
      <c r="E33" s="692" t="str">
        <f>FHD_NUM_P_4</f>
        <v>2.2</v>
      </c>
      <c r="F33" s="167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021" t="s">
        <v>574</v>
      </c>
      <c r="H33" s="704">
        <f>SUMIF($F34:$F58,$F3,H34:H58)</f>
        <v>0</v>
      </c>
      <c r="I33" s="704">
        <f>SUMIF($F34:$F58,$F3,I34:I58)</f>
        <v>85512.5519223753</v>
      </c>
      <c r="J33" s="6613">
        <f>SUMIF($F34:$F58,$F3,J34:J58)</f>
        <v>1803375.54109047</v>
      </c>
      <c r="K33" s="6613">
        <f>SUMIF($F34:$F58,$F3,K34:K58)</f>
        <v>0</v>
      </c>
      <c r="L33" s="6613">
        <f>SUMIF($F34:$F58,$F3,L34:L58)</f>
        <v>122735.926471168</v>
      </c>
      <c r="M33" s="6613">
        <f>SUMIF($F34:$F58,$F3,M34:M58)</f>
        <v>89814.04519696</v>
      </c>
      <c r="N33" s="6613">
        <f>SUMIF($F34:$F58,$F3,N34:N58)</f>
        <v>0</v>
      </c>
      <c r="O33" s="435" t="str">
        <f>FHD_NOTE_P_4</f>
        <v>Указываются суммарные расходы на приобретение топлива всех видов.</v>
      </c>
      <c r="P33" s="1782" t="str">
        <f>IF((LEN(E33)-LEN(SUBSTITUTE(E33,".","")))/LEN(".")=1,"p","")</f>
        <v>p</v>
      </c>
      <c r="AK33" s="1777">
        <v>0</v>
      </c>
    </row>
    <row s="6314" customFormat="1" customHeight="1" ht="0">
      <c r="A34" s="2530"/>
      <c r="B34" s="2531" t="str">
        <f>E33&amp;".0"</f>
        <v>2.2.0</v>
      </c>
      <c r="C34" s="1313"/>
      <c r="D34" s="706"/>
      <c r="E34" s="707"/>
      <c r="F34" s="708"/>
      <c r="G34" s="709"/>
      <c r="H34" s="643"/>
      <c r="I34" s="643"/>
      <c r="J34" s="6034"/>
      <c r="K34" s="6034"/>
      <c r="L34" s="6034"/>
      <c r="M34" s="6034"/>
      <c r="N34" s="6034"/>
      <c r="O34" s="710"/>
      <c r="P34" s="1782" t="str">
        <f>IF((LEN(E34)-LEN(SUBSTITUTE(E34,".","")))/LEN(".")=1,"p","")</f>
        <v/>
      </c>
      <c r="Q34" s="1782"/>
      <c r="R34" s="1782"/>
      <c r="S34" s="1782"/>
      <c r="T34" s="1782"/>
      <c r="U34" s="1782"/>
      <c r="V34" s="1782"/>
      <c r="W34" s="1782"/>
      <c r="X34" s="1782"/>
      <c r="Y34" s="1782"/>
      <c r="Z34" s="711"/>
      <c r="AA34" s="1782"/>
      <c r="AB34" s="1782"/>
      <c r="AC34" s="1782"/>
      <c r="AD34" s="1782"/>
      <c r="AE34" s="1782"/>
      <c r="AF34" s="712"/>
      <c r="AG34" s="712"/>
      <c r="AH34" s="712"/>
      <c r="AI34" s="712"/>
      <c r="AJ34" s="712"/>
      <c r="AK34" s="1787">
        <v>0</v>
      </c>
    </row>
    <row s="6314" customFormat="1" customHeight="1" ht="0">
      <c r="A35" s="2530"/>
      <c r="B35" s="2531"/>
      <c r="C35" s="1313"/>
      <c r="D35" s="706"/>
      <c r="E35" s="713"/>
      <c r="F35" s="714"/>
      <c r="G35" s="709"/>
      <c r="H35" s="715"/>
      <c r="I35" s="715"/>
      <c r="J35" s="6626"/>
      <c r="K35" s="6626"/>
      <c r="L35" s="6626"/>
      <c r="M35" s="6626"/>
      <c r="N35" s="6626"/>
      <c r="O35" s="710"/>
      <c r="P35" s="1782" t="str">
        <f>IF((LEN(E35)-LEN(SUBSTITUTE(E35,".","")))/LEN(".")=1,"p","")</f>
        <v/>
      </c>
      <c r="Q35" s="1782"/>
      <c r="R35" s="1782"/>
      <c r="S35" s="1782"/>
      <c r="T35" s="1782"/>
      <c r="U35" s="1782"/>
      <c r="V35" s="1782"/>
      <c r="W35" s="1782"/>
      <c r="X35" s="1782"/>
      <c r="Y35" s="1782"/>
      <c r="Z35" s="711"/>
      <c r="AA35" s="1782"/>
      <c r="AB35" s="1782"/>
      <c r="AC35" s="1782"/>
      <c r="AD35" s="1782"/>
      <c r="AE35" s="1782"/>
      <c r="AF35" s="712"/>
      <c r="AG35" s="712"/>
      <c r="AH35" s="712"/>
      <c r="AI35" s="712"/>
      <c r="AJ35" s="712"/>
      <c r="AK35" s="1787">
        <v>0</v>
      </c>
    </row>
    <row s="6314" customFormat="1" customHeight="1" ht="0">
      <c r="A36" s="2530"/>
      <c r="B36" s="2531"/>
      <c r="C36" s="1313"/>
      <c r="D36" s="706"/>
      <c r="E36" s="713"/>
      <c r="F36" s="714"/>
      <c r="G36" s="709"/>
      <c r="H36" s="715"/>
      <c r="I36" s="715"/>
      <c r="J36" s="6626"/>
      <c r="K36" s="6626"/>
      <c r="L36" s="6626"/>
      <c r="M36" s="6626"/>
      <c r="N36" s="6626"/>
      <c r="O36" s="710"/>
      <c r="P36" s="1782" t="str">
        <f>IF((LEN(E36)-LEN(SUBSTITUTE(E36,".","")))/LEN(".")=1,"p","")</f>
        <v/>
      </c>
      <c r="Q36" s="1782"/>
      <c r="R36" s="1782"/>
      <c r="S36" s="1782"/>
      <c r="T36" s="1782"/>
      <c r="U36" s="1782"/>
      <c r="V36" s="1782"/>
      <c r="W36" s="1782"/>
      <c r="X36" s="1782"/>
      <c r="Y36" s="1782"/>
      <c r="Z36" s="711"/>
      <c r="AA36" s="1782"/>
      <c r="AB36" s="1782"/>
      <c r="AC36" s="1782"/>
      <c r="AD36" s="1782"/>
      <c r="AE36" s="1782"/>
      <c r="AF36" s="712"/>
      <c r="AG36" s="712"/>
      <c r="AH36" s="712"/>
      <c r="AI36" s="712"/>
      <c r="AJ36" s="712"/>
      <c r="AK36" s="1787">
        <v>0</v>
      </c>
    </row>
    <row s="6314" customFormat="1" customHeight="1" ht="0">
      <c r="A37" s="2530"/>
      <c r="B37" s="2531"/>
      <c r="C37" s="1313"/>
      <c r="D37" s="706"/>
      <c r="E37" s="713"/>
      <c r="F37" s="714"/>
      <c r="G37" s="709"/>
      <c r="H37" s="715"/>
      <c r="I37" s="715"/>
      <c r="J37" s="6626"/>
      <c r="K37" s="6626"/>
      <c r="L37" s="6626"/>
      <c r="M37" s="6626"/>
      <c r="N37" s="6626"/>
      <c r="O37" s="710"/>
      <c r="P37" s="1782" t="str">
        <f>IF((LEN(E37)-LEN(SUBSTITUTE(E37,".","")))/LEN(".")=1,"p","")</f>
        <v/>
      </c>
      <c r="Q37" s="1782"/>
      <c r="R37" s="1782"/>
      <c r="S37" s="1782"/>
      <c r="T37" s="1782"/>
      <c r="U37" s="1782"/>
      <c r="V37" s="1782"/>
      <c r="W37" s="1782"/>
      <c r="X37" s="1782"/>
      <c r="Y37" s="1782"/>
      <c r="Z37" s="711"/>
      <c r="AA37" s="1782"/>
      <c r="AB37" s="1782"/>
      <c r="AC37" s="1782"/>
      <c r="AD37" s="1782"/>
      <c r="AE37" s="1782"/>
      <c r="AF37" s="712"/>
      <c r="AG37" s="712"/>
      <c r="AH37" s="712"/>
      <c r="AI37" s="712"/>
      <c r="AJ37" s="712"/>
      <c r="AK37" s="1787">
        <v>0</v>
      </c>
    </row>
    <row s="6314" customFormat="1" customHeight="1" ht="0">
      <c r="A38" s="2530"/>
      <c r="B38" s="2531"/>
      <c r="C38" s="1313"/>
      <c r="D38" s="706"/>
      <c r="E38" s="713"/>
      <c r="F38" s="714"/>
      <c r="G38" s="709"/>
      <c r="H38" s="715"/>
      <c r="I38" s="715"/>
      <c r="J38" s="6626"/>
      <c r="K38" s="6626"/>
      <c r="L38" s="6626"/>
      <c r="M38" s="6626"/>
      <c r="N38" s="6626"/>
      <c r="O38" s="710"/>
      <c r="P38" s="1782" t="str">
        <f>IF((LEN(E38)-LEN(SUBSTITUTE(E38,".","")))/LEN(".")=1,"p","")</f>
        <v/>
      </c>
      <c r="Q38" s="1782"/>
      <c r="R38" s="1782"/>
      <c r="S38" s="1782"/>
      <c r="T38" s="1782"/>
      <c r="U38" s="1782"/>
      <c r="V38" s="1782"/>
      <c r="W38" s="1782"/>
      <c r="X38" s="1782"/>
      <c r="Y38" s="1782"/>
      <c r="Z38" s="711"/>
      <c r="AA38" s="1782"/>
      <c r="AB38" s="1782"/>
      <c r="AC38" s="1782"/>
      <c r="AD38" s="1782"/>
      <c r="AE38" s="1782"/>
      <c r="AF38" s="712"/>
      <c r="AG38" s="712"/>
      <c r="AH38" s="712"/>
      <c r="AI38" s="712"/>
      <c r="AJ38" s="712"/>
      <c r="AK38" s="1787">
        <v>0</v>
      </c>
    </row>
    <row s="6314" customFormat="1" customHeight="1" ht="0">
      <c r="A39" s="2530"/>
      <c r="B39" s="2531"/>
      <c r="C39" s="1313"/>
      <c r="D39" s="706"/>
      <c r="E39" s="713"/>
      <c r="F39" s="714"/>
      <c r="G39" s="709"/>
      <c r="H39" s="643"/>
      <c r="I39" s="643"/>
      <c r="J39" s="6034"/>
      <c r="K39" s="6034"/>
      <c r="L39" s="6034"/>
      <c r="M39" s="6034"/>
      <c r="N39" s="6034"/>
      <c r="O39" s="710"/>
      <c r="P39" s="1782" t="str">
        <f>IF((LEN(E39)-LEN(SUBSTITUTE(E39,".","")))/LEN(".")=1,"p","")</f>
        <v/>
      </c>
      <c r="Q39" s="1782"/>
      <c r="R39" s="1782"/>
      <c r="S39" s="1782"/>
      <c r="T39" s="1782"/>
      <c r="U39" s="1782"/>
      <c r="V39" s="1782"/>
      <c r="W39" s="1782"/>
      <c r="X39" s="1782"/>
      <c r="Y39" s="1782"/>
      <c r="Z39" s="711"/>
      <c r="AA39" s="1782"/>
      <c r="AB39" s="1782"/>
      <c r="AC39" s="1782"/>
      <c r="AD39" s="1782"/>
      <c r="AE39" s="1782"/>
      <c r="AF39" s="712"/>
      <c r="AG39" s="712"/>
      <c r="AH39" s="712"/>
      <c r="AI39" s="712"/>
      <c r="AJ39" s="712"/>
      <c r="AK39" s="1787">
        <v>0</v>
      </c>
    </row>
    <row s="7976" customFormat="1" customHeight="1" ht="25.5">
      <c r="A40" s="6697"/>
      <c r="B40" s="7917" t="str">
        <f>E33&amp;".1"</f>
        <v>2.2.1</v>
      </c>
      <c r="C40" s="6981" t="s">
        <v>567</v>
      </c>
      <c r="D40" s="7143" t="s">
        <v>106</v>
      </c>
      <c r="E40" s="6577" t="str">
        <f>B40</f>
        <v>2.2.1</v>
      </c>
      <c r="F40" s="6578" t="s">
        <v>591</v>
      </c>
      <c r="G40" s="7599" t="s">
        <v>568</v>
      </c>
      <c r="H40" s="7599" t="s">
        <v>568</v>
      </c>
      <c r="I40" s="7599" t="s">
        <v>568</v>
      </c>
      <c r="J40" s="7599" t="s">
        <v>568</v>
      </c>
      <c r="K40" s="7599" t="s">
        <v>568</v>
      </c>
      <c r="L40" s="7599" t="s">
        <v>568</v>
      </c>
      <c r="M40" s="7599" t="s">
        <v>568</v>
      </c>
      <c r="N40" s="7599" t="s">
        <v>568</v>
      </c>
      <c r="O40" s="7197" t="s">
        <v>569</v>
      </c>
      <c r="P40" s="6661"/>
      <c r="Q40" s="6720"/>
      <c r="R40" s="6720"/>
      <c r="S40" s="7180"/>
      <c r="T40" s="7180"/>
      <c r="U40" s="7180"/>
      <c r="V40" s="7180"/>
      <c r="W40" s="6720"/>
      <c r="X40" s="7180"/>
      <c r="Y40" s="7180"/>
      <c r="Z40" s="6698"/>
      <c r="AA40" s="7180"/>
      <c r="AB40" s="7180"/>
      <c r="AC40" s="7180"/>
      <c r="AD40" s="7180"/>
      <c r="AE40" s="7180"/>
      <c r="AF40" s="7486"/>
      <c r="AG40" s="7486"/>
      <c r="AH40" s="7486"/>
      <c r="AI40" s="7486"/>
      <c r="AJ40" s="7486"/>
      <c r="AK40" s="7235">
        <v>0</v>
      </c>
    </row>
    <row s="6710" customFormat="1" customHeight="1" ht="3.75" hidden="1">
      <c r="A41" s="6720"/>
      <c r="B41" s="7917" t="str">
        <f>E33&amp;".0"</f>
        <v>2.2.0</v>
      </c>
      <c r="C41" s="6981"/>
      <c r="D41" s="6981"/>
      <c r="E41" s="6582"/>
      <c r="F41" s="6583" t="s">
        <v>570</v>
      </c>
      <c r="G41" s="6584"/>
      <c r="H41" s="6584">
        <f>H42*H43+H44</f>
        <v>0</v>
      </c>
      <c r="I41" s="6584">
        <f>I42*I43+I44</f>
        <v>83750.55871</v>
      </c>
      <c r="J41" s="6584">
        <f>J42*J43+J44</f>
        <v>1791630.55014</v>
      </c>
      <c r="K41" s="6584">
        <f>K42*K43+K44</f>
        <v>0</v>
      </c>
      <c r="L41" s="6584">
        <f>L42*L43+L44</f>
        <v>122681.11672</v>
      </c>
      <c r="M41" s="6584">
        <f>M42*M43+M44</f>
        <v>88234.6585499998</v>
      </c>
      <c r="N41" s="6584">
        <f>N42*N43+N44</f>
        <v>0</v>
      </c>
      <c r="O41" s="6749"/>
      <c r="P41" s="6720"/>
      <c r="Q41" s="6720"/>
      <c r="R41" s="6720"/>
      <c r="S41" s="6720"/>
      <c r="T41" s="6720"/>
      <c r="U41" s="6720"/>
      <c r="V41" s="6720"/>
      <c r="W41" s="6720"/>
      <c r="X41" s="6720"/>
      <c r="Y41" s="6720"/>
      <c r="Z41" s="6720"/>
      <c r="AA41" s="6720"/>
      <c r="AB41" s="6720"/>
      <c r="AC41" s="6720"/>
      <c r="AD41" s="6720"/>
      <c r="AE41" s="6720"/>
      <c r="AF41" s="6720"/>
      <c r="AG41" s="6720"/>
      <c r="AH41" s="6720"/>
      <c r="AI41" s="6720"/>
      <c r="AJ41" s="6720"/>
      <c r="AK41" s="6720">
        <v>0</v>
      </c>
    </row>
    <row s="7976" customFormat="1" customHeight="1" ht="25.5">
      <c r="A42" s="6697"/>
      <c r="B42" s="7917" t="str">
        <f>E33&amp;".0"</f>
        <v>2.2.0</v>
      </c>
      <c r="C42" s="6981"/>
      <c r="D42" s="7808"/>
      <c r="E42" s="6577" t="str">
        <f>B40&amp;".1"</f>
        <v>2.2.1.1</v>
      </c>
      <c r="F42" s="6586" t="s">
        <v>571</v>
      </c>
      <c r="G42" s="6587" t="s">
        <v>592</v>
      </c>
      <c r="H42" s="6588"/>
      <c r="I42" s="6588">
        <v>48910.3288909681</v>
      </c>
      <c r="J42" s="6588">
        <v>907312.372398648</v>
      </c>
      <c r="K42" s="6588"/>
      <c r="L42" s="6588">
        <v>64083.72</v>
      </c>
      <c r="M42" s="6588">
        <v>44145.0858526513</v>
      </c>
      <c r="N42" s="6588"/>
      <c r="O42" s="7197" t="s">
        <v>572</v>
      </c>
      <c r="P42" s="6661"/>
      <c r="Q42" s="6720"/>
      <c r="R42" s="6720"/>
      <c r="S42" s="7180"/>
      <c r="T42" s="7180"/>
      <c r="U42" s="7180"/>
      <c r="V42" s="7180"/>
      <c r="W42" s="6720"/>
      <c r="X42" s="7180"/>
      <c r="Y42" s="7180"/>
      <c r="Z42" s="6698"/>
      <c r="AA42" s="7180"/>
      <c r="AB42" s="7180"/>
      <c r="AC42" s="7180"/>
      <c r="AD42" s="7180"/>
      <c r="AE42" s="7180"/>
      <c r="AF42" s="7486"/>
      <c r="AG42" s="7486"/>
      <c r="AH42" s="7486"/>
      <c r="AI42" s="7486"/>
      <c r="AJ42" s="7486"/>
      <c r="AK42" s="7235">
        <v>0</v>
      </c>
    </row>
    <row s="7976" customFormat="1" customHeight="1" ht="14.25">
      <c r="A43" s="6697"/>
      <c r="B43" s="7917" t="str">
        <f>E33&amp;".0"</f>
        <v>2.2.0</v>
      </c>
      <c r="C43" s="6981"/>
      <c r="D43" s="7808"/>
      <c r="E43" s="6577" t="str">
        <f>B40&amp;".2"</f>
        <v>2.2.1.2</v>
      </c>
      <c r="F43" s="6586" t="s">
        <v>573</v>
      </c>
      <c r="G43" s="7599" t="s">
        <v>574</v>
      </c>
      <c r="H43" s="6588"/>
      <c r="I43" s="6588">
        <v>1.62445955206957</v>
      </c>
      <c r="J43" s="6588">
        <v>1.95151009402524</v>
      </c>
      <c r="K43" s="6588"/>
      <c r="L43" s="6588">
        <v>1.90661020671269</v>
      </c>
      <c r="M43" s="6588">
        <v>1.96949592492777</v>
      </c>
      <c r="N43" s="6588"/>
      <c r="O43" s="7197"/>
      <c r="P43" s="6661"/>
      <c r="Q43" s="6720"/>
      <c r="R43" s="6720"/>
      <c r="S43" s="7180"/>
      <c r="T43" s="7180"/>
      <c r="U43" s="7180"/>
      <c r="V43" s="7180"/>
      <c r="W43" s="6720"/>
      <c r="X43" s="7180"/>
      <c r="Y43" s="7180"/>
      <c r="Z43" s="6698"/>
      <c r="AA43" s="7180"/>
      <c r="AB43" s="7180"/>
      <c r="AC43" s="7180"/>
      <c r="AD43" s="7180"/>
      <c r="AE43" s="7180"/>
      <c r="AF43" s="7486"/>
      <c r="AG43" s="7486"/>
      <c r="AH43" s="7486"/>
      <c r="AI43" s="7486"/>
      <c r="AJ43" s="7486"/>
      <c r="AK43" s="7235">
        <v>0</v>
      </c>
    </row>
    <row s="7976" customFormat="1" customHeight="1" ht="14.25">
      <c r="A44" s="6697"/>
      <c r="B44" s="7917" t="str">
        <f>E33&amp;".0"</f>
        <v>2.2.0</v>
      </c>
      <c r="C44" s="6981"/>
      <c r="D44" s="7808"/>
      <c r="E44" s="6577" t="str">
        <f>B40&amp;".3"</f>
        <v>2.2.1.3</v>
      </c>
      <c r="F44" s="6586" t="s">
        <v>575</v>
      </c>
      <c r="G44" s="7599" t="s">
        <v>574</v>
      </c>
      <c r="H44" s="6588"/>
      <c r="I44" s="6588">
        <v>4297.70774820257</v>
      </c>
      <c r="J44" s="6588">
        <v>21001.2969700484</v>
      </c>
      <c r="K44" s="6588"/>
      <c r="L44" s="6588">
        <v>498.442083881861</v>
      </c>
      <c r="M44" s="6588">
        <v>1291.09185761652</v>
      </c>
      <c r="N44" s="6588"/>
      <c r="O44" s="7197"/>
      <c r="P44" s="6661"/>
      <c r="Q44" s="6720"/>
      <c r="R44" s="6720"/>
      <c r="S44" s="7180"/>
      <c r="T44" s="7180"/>
      <c r="U44" s="7180"/>
      <c r="V44" s="7180"/>
      <c r="W44" s="6720"/>
      <c r="X44" s="7180"/>
      <c r="Y44" s="7180"/>
      <c r="Z44" s="6698"/>
      <c r="AA44" s="7180"/>
      <c r="AB44" s="7180"/>
      <c r="AC44" s="7180"/>
      <c r="AD44" s="7180"/>
      <c r="AE44" s="7180"/>
      <c r="AF44" s="7486"/>
      <c r="AG44" s="7486"/>
      <c r="AH44" s="7486"/>
      <c r="AI44" s="7486"/>
      <c r="AJ44" s="7486"/>
      <c r="AK44" s="7235">
        <v>0</v>
      </c>
    </row>
    <row s="7976" customFormat="1" customHeight="1" ht="14.25">
      <c r="A45" s="6697"/>
      <c r="B45" s="7917" t="str">
        <f>E33&amp;".0"</f>
        <v>2.2.0</v>
      </c>
      <c r="C45" s="6981"/>
      <c r="D45" s="7808"/>
      <c r="E45" s="6577" t="str">
        <f>B40&amp;".4"</f>
        <v>2.2.1.4</v>
      </c>
      <c r="F45" s="6586" t="s">
        <v>576</v>
      </c>
      <c r="G45" s="7599" t="s">
        <v>568</v>
      </c>
      <c r="H45" s="6589"/>
      <c r="I45" s="6589" t="s">
        <v>593</v>
      </c>
      <c r="J45" s="6589" t="s">
        <v>593</v>
      </c>
      <c r="K45" s="6589"/>
      <c r="L45" s="6589" t="s">
        <v>593</v>
      </c>
      <c r="M45" s="6589" t="s">
        <v>593</v>
      </c>
      <c r="N45" s="6589"/>
      <c r="O45" s="7197"/>
      <c r="P45" s="6661"/>
      <c r="Q45" s="6720"/>
      <c r="R45" s="6720"/>
      <c r="S45" s="7180"/>
      <c r="T45" s="7180"/>
      <c r="U45" s="7180"/>
      <c r="V45" s="7180"/>
      <c r="W45" s="6720"/>
      <c r="X45" s="7180"/>
      <c r="Y45" s="7180"/>
      <c r="Z45" s="6698"/>
      <c r="AA45" s="7180"/>
      <c r="AB45" s="7180"/>
      <c r="AC45" s="7180"/>
      <c r="AD45" s="7180"/>
      <c r="AE45" s="7180"/>
      <c r="AF45" s="7486"/>
      <c r="AG45" s="7486"/>
      <c r="AH45" s="7486"/>
      <c r="AI45" s="7486"/>
      <c r="AJ45" s="7486"/>
      <c r="AK45" s="7235">
        <v>0</v>
      </c>
    </row>
    <row s="7976" customFormat="1" customHeight="1" ht="25.5">
      <c r="A46" s="6697"/>
      <c r="B46" s="7917" t="str">
        <f>E33&amp;".2"</f>
        <v>2.2.2</v>
      </c>
      <c r="C46" s="6981" t="s">
        <v>567</v>
      </c>
      <c r="D46" s="7143" t="s">
        <v>106</v>
      </c>
      <c r="E46" s="6577" t="str">
        <f>B46</f>
        <v>2.2.2</v>
      </c>
      <c r="F46" s="6578" t="s">
        <v>594</v>
      </c>
      <c r="G46" s="7599" t="s">
        <v>568</v>
      </c>
      <c r="H46" s="7599" t="s">
        <v>568</v>
      </c>
      <c r="I46" s="7599" t="s">
        <v>568</v>
      </c>
      <c r="J46" s="7599" t="s">
        <v>568</v>
      </c>
      <c r="K46" s="7599" t="s">
        <v>568</v>
      </c>
      <c r="L46" s="7599" t="s">
        <v>568</v>
      </c>
      <c r="M46" s="7599" t="s">
        <v>568</v>
      </c>
      <c r="N46" s="7599" t="s">
        <v>568</v>
      </c>
      <c r="O46" s="7197" t="s">
        <v>569</v>
      </c>
      <c r="P46" s="6661"/>
      <c r="Q46" s="6720"/>
      <c r="R46" s="6720"/>
      <c r="S46" s="7180"/>
      <c r="T46" s="7180"/>
      <c r="U46" s="7180"/>
      <c r="V46" s="7180"/>
      <c r="W46" s="6720"/>
      <c r="X46" s="7180"/>
      <c r="Y46" s="7180"/>
      <c r="Z46" s="6698"/>
      <c r="AA46" s="7180"/>
      <c r="AB46" s="7180"/>
      <c r="AC46" s="7180"/>
      <c r="AD46" s="7180"/>
      <c r="AE46" s="7180"/>
      <c r="AF46" s="7486"/>
      <c r="AG46" s="7486"/>
      <c r="AH46" s="7486"/>
      <c r="AI46" s="7486"/>
      <c r="AJ46" s="7486"/>
      <c r="AK46" s="7235">
        <v>0</v>
      </c>
    </row>
    <row s="6710" customFormat="1" customHeight="1" ht="3.75" hidden="1">
      <c r="A47" s="6720"/>
      <c r="B47" s="7917" t="str">
        <f>E33&amp;".1"</f>
        <v>2.2.1</v>
      </c>
      <c r="C47" s="6981"/>
      <c r="D47" s="6981"/>
      <c r="E47" s="6582"/>
      <c r="F47" s="6583" t="s">
        <v>570</v>
      </c>
      <c r="G47" s="6584"/>
      <c r="H47" s="6584">
        <f>H48*H49+H50</f>
        <v>0</v>
      </c>
      <c r="I47" s="6584">
        <f>I48*I49+I50</f>
        <v>1761.99321237527</v>
      </c>
      <c r="J47" s="6584">
        <f>J48*J49+J50</f>
        <v>11204.0085184869</v>
      </c>
      <c r="K47" s="6584">
        <f>K48*K49+K50</f>
        <v>0</v>
      </c>
      <c r="L47" s="6584">
        <f>L48*L49+L50</f>
        <v>0</v>
      </c>
      <c r="M47" s="6584">
        <f>M48*M49+M50</f>
        <v>1579.38664696017</v>
      </c>
      <c r="N47" s="6584">
        <f>N48*N49+N50</f>
        <v>0</v>
      </c>
      <c r="O47" s="6749"/>
      <c r="P47" s="6720"/>
      <c r="Q47" s="6720"/>
      <c r="R47" s="6720"/>
      <c r="S47" s="6720"/>
      <c r="T47" s="6720"/>
      <c r="U47" s="6720"/>
      <c r="V47" s="6720"/>
      <c r="W47" s="6720"/>
      <c r="X47" s="6720"/>
      <c r="Y47" s="6720"/>
      <c r="Z47" s="6720"/>
      <c r="AA47" s="6720"/>
      <c r="AB47" s="6720"/>
      <c r="AC47" s="6720"/>
      <c r="AD47" s="6720"/>
      <c r="AE47" s="6720"/>
      <c r="AF47" s="6720"/>
      <c r="AG47" s="6720"/>
      <c r="AH47" s="6720"/>
      <c r="AI47" s="6720"/>
      <c r="AJ47" s="6720"/>
      <c r="AK47" s="6720">
        <v>0</v>
      </c>
    </row>
    <row s="7976" customFormat="1" customHeight="1" ht="25.5">
      <c r="A48" s="6697"/>
      <c r="B48" s="7917" t="str">
        <f>E33&amp;".1"</f>
        <v>2.2.1</v>
      </c>
      <c r="C48" s="6981"/>
      <c r="D48" s="7808"/>
      <c r="E48" s="6577" t="str">
        <f>B46&amp;".1"</f>
        <v>2.2.2.1</v>
      </c>
      <c r="F48" s="6586" t="s">
        <v>571</v>
      </c>
      <c r="G48" s="6587" t="s">
        <v>592</v>
      </c>
      <c r="H48" s="6588"/>
      <c r="I48" s="6588">
        <v>53.3767136542404</v>
      </c>
      <c r="J48" s="6588">
        <v>354.302707254173</v>
      </c>
      <c r="K48" s="6588"/>
      <c r="L48" s="6588"/>
      <c r="M48" s="6588">
        <v>46.5046141154175</v>
      </c>
      <c r="N48" s="6588"/>
      <c r="O48" s="7197" t="s">
        <v>572</v>
      </c>
      <c r="P48" s="6661"/>
      <c r="Q48" s="6720"/>
      <c r="R48" s="6720"/>
      <c r="S48" s="7180"/>
      <c r="T48" s="7180"/>
      <c r="U48" s="7180"/>
      <c r="V48" s="7180"/>
      <c r="W48" s="6720"/>
      <c r="X48" s="7180"/>
      <c r="Y48" s="7180"/>
      <c r="Z48" s="6698"/>
      <c r="AA48" s="7180"/>
      <c r="AB48" s="7180"/>
      <c r="AC48" s="7180"/>
      <c r="AD48" s="7180"/>
      <c r="AE48" s="7180"/>
      <c r="AF48" s="7486"/>
      <c r="AG48" s="7486"/>
      <c r="AH48" s="7486"/>
      <c r="AI48" s="7486"/>
      <c r="AJ48" s="7486"/>
      <c r="AK48" s="7235">
        <v>0</v>
      </c>
    </row>
    <row s="7976" customFormat="1" customHeight="1" ht="14.25">
      <c r="A49" s="6697"/>
      <c r="B49" s="7917" t="str">
        <f>E33&amp;".1"</f>
        <v>2.2.1</v>
      </c>
      <c r="C49" s="6981"/>
      <c r="D49" s="7808"/>
      <c r="E49" s="6577" t="str">
        <f>B46&amp;".2"</f>
        <v>2.2.2.2</v>
      </c>
      <c r="F49" s="6586" t="s">
        <v>573</v>
      </c>
      <c r="G49" s="7599" t="s">
        <v>574</v>
      </c>
      <c r="H49" s="6588"/>
      <c r="I49" s="6588">
        <v>33.0105225995923</v>
      </c>
      <c r="J49" s="6588">
        <v>31.6227008405252</v>
      </c>
      <c r="K49" s="6588"/>
      <c r="L49" s="6588"/>
      <c r="M49" s="6588">
        <v>33.961934251091</v>
      </c>
      <c r="N49" s="6588"/>
      <c r="O49" s="7197"/>
      <c r="P49" s="6661"/>
      <c r="Q49" s="6720"/>
      <c r="R49" s="6720"/>
      <c r="S49" s="7180"/>
      <c r="T49" s="7180"/>
      <c r="U49" s="7180"/>
      <c r="V49" s="7180"/>
      <c r="W49" s="6720"/>
      <c r="X49" s="7180"/>
      <c r="Y49" s="7180"/>
      <c r="Z49" s="6698"/>
      <c r="AA49" s="7180"/>
      <c r="AB49" s="7180"/>
      <c r="AC49" s="7180"/>
      <c r="AD49" s="7180"/>
      <c r="AE49" s="7180"/>
      <c r="AF49" s="7486"/>
      <c r="AG49" s="7486"/>
      <c r="AH49" s="7486"/>
      <c r="AI49" s="7486"/>
      <c r="AJ49" s="7486"/>
      <c r="AK49" s="7235">
        <v>0</v>
      </c>
    </row>
    <row s="7976" customFormat="1" customHeight="1" ht="14.25">
      <c r="A50" s="6697"/>
      <c r="B50" s="7917" t="str">
        <f>E33&amp;".1"</f>
        <v>2.2.1</v>
      </c>
      <c r="C50" s="6981"/>
      <c r="D50" s="7808"/>
      <c r="E50" s="6577" t="str">
        <f>B46&amp;".3"</f>
        <v>2.2.2.3</v>
      </c>
      <c r="F50" s="6586" t="s">
        <v>575</v>
      </c>
      <c r="G50" s="7599" t="s">
        <v>574</v>
      </c>
      <c r="H50" s="6588"/>
      <c r="I50" s="6588"/>
      <c r="J50" s="6588"/>
      <c r="K50" s="6588"/>
      <c r="L50" s="6588"/>
      <c r="M50" s="6588"/>
      <c r="N50" s="6588"/>
      <c r="O50" s="7197"/>
      <c r="P50" s="6661"/>
      <c r="Q50" s="6720"/>
      <c r="R50" s="6720"/>
      <c r="S50" s="7180"/>
      <c r="T50" s="7180"/>
      <c r="U50" s="7180"/>
      <c r="V50" s="7180"/>
      <c r="W50" s="6720"/>
      <c r="X50" s="7180"/>
      <c r="Y50" s="7180"/>
      <c r="Z50" s="6698"/>
      <c r="AA50" s="7180"/>
      <c r="AB50" s="7180"/>
      <c r="AC50" s="7180"/>
      <c r="AD50" s="7180"/>
      <c r="AE50" s="7180"/>
      <c r="AF50" s="7486"/>
      <c r="AG50" s="7486"/>
      <c r="AH50" s="7486"/>
      <c r="AI50" s="7486"/>
      <c r="AJ50" s="7486"/>
      <c r="AK50" s="7235">
        <v>0</v>
      </c>
    </row>
    <row s="7976" customFormat="1" customHeight="1" ht="14.25">
      <c r="A51" s="6697"/>
      <c r="B51" s="7917" t="str">
        <f>E33&amp;".1"</f>
        <v>2.2.1</v>
      </c>
      <c r="C51" s="6981"/>
      <c r="D51" s="7808"/>
      <c r="E51" s="6577" t="str">
        <f>B46&amp;".4"</f>
        <v>2.2.2.4</v>
      </c>
      <c r="F51" s="6586" t="s">
        <v>576</v>
      </c>
      <c r="G51" s="7599" t="s">
        <v>568</v>
      </c>
      <c r="H51" s="6589"/>
      <c r="I51" s="6589" t="s">
        <v>593</v>
      </c>
      <c r="J51" s="6589" t="s">
        <v>593</v>
      </c>
      <c r="K51" s="6589"/>
      <c r="L51" s="6589"/>
      <c r="M51" s="6589" t="s">
        <v>593</v>
      </c>
      <c r="N51" s="6589"/>
      <c r="O51" s="7197"/>
      <c r="P51" s="6661"/>
      <c r="Q51" s="6720"/>
      <c r="R51" s="6720"/>
      <c r="S51" s="7180"/>
      <c r="T51" s="7180"/>
      <c r="U51" s="7180"/>
      <c r="V51" s="7180"/>
      <c r="W51" s="6720"/>
      <c r="X51" s="7180"/>
      <c r="Y51" s="7180"/>
      <c r="Z51" s="6698"/>
      <c r="AA51" s="7180"/>
      <c r="AB51" s="7180"/>
      <c r="AC51" s="7180"/>
      <c r="AD51" s="7180"/>
      <c r="AE51" s="7180"/>
      <c r="AF51" s="7486"/>
      <c r="AG51" s="7486"/>
      <c r="AH51" s="7486"/>
      <c r="AI51" s="7486"/>
      <c r="AJ51" s="7486"/>
      <c r="AK51" s="7235">
        <v>0</v>
      </c>
    </row>
    <row s="7976" customFormat="1" customHeight="1" ht="25.5">
      <c r="A52" s="6697"/>
      <c r="B52" s="7917" t="str">
        <f>E33&amp;".3"</f>
        <v>2.2.3</v>
      </c>
      <c r="C52" s="6981" t="s">
        <v>567</v>
      </c>
      <c r="D52" s="7143" t="s">
        <v>106</v>
      </c>
      <c r="E52" s="6577" t="str">
        <f>B52</f>
        <v>2.2.3</v>
      </c>
      <c r="F52" s="6578" t="s">
        <v>595</v>
      </c>
      <c r="G52" s="7599" t="s">
        <v>568</v>
      </c>
      <c r="H52" s="7599" t="s">
        <v>568</v>
      </c>
      <c r="I52" s="7599" t="s">
        <v>568</v>
      </c>
      <c r="J52" s="7599" t="s">
        <v>568</v>
      </c>
      <c r="K52" s="7599" t="s">
        <v>568</v>
      </c>
      <c r="L52" s="7599" t="s">
        <v>568</v>
      </c>
      <c r="M52" s="7599" t="s">
        <v>568</v>
      </c>
      <c r="N52" s="7599" t="s">
        <v>568</v>
      </c>
      <c r="O52" s="7197" t="s">
        <v>569</v>
      </c>
      <c r="P52" s="6661"/>
      <c r="Q52" s="6720"/>
      <c r="R52" s="6720"/>
      <c r="S52" s="7180"/>
      <c r="T52" s="7180"/>
      <c r="U52" s="7180"/>
      <c r="V52" s="7180"/>
      <c r="W52" s="6720"/>
      <c r="X52" s="7180"/>
      <c r="Y52" s="7180"/>
      <c r="Z52" s="6698"/>
      <c r="AA52" s="7180"/>
      <c r="AB52" s="7180"/>
      <c r="AC52" s="7180"/>
      <c r="AD52" s="7180"/>
      <c r="AE52" s="7180"/>
      <c r="AF52" s="7486"/>
      <c r="AG52" s="7486"/>
      <c r="AH52" s="7486"/>
      <c r="AI52" s="7486"/>
      <c r="AJ52" s="7486"/>
      <c r="AK52" s="7235">
        <v>0</v>
      </c>
    </row>
    <row s="6710" customFormat="1" customHeight="1" ht="3.75" hidden="1">
      <c r="A53" s="6720"/>
      <c r="B53" s="7917" t="str">
        <f>E33&amp;".2"</f>
        <v>2.2.2</v>
      </c>
      <c r="C53" s="6981"/>
      <c r="D53" s="6981"/>
      <c r="E53" s="6582"/>
      <c r="F53" s="6583" t="s">
        <v>570</v>
      </c>
      <c r="G53" s="6584"/>
      <c r="H53" s="6584">
        <f>H54*H55+H56</f>
        <v>0</v>
      </c>
      <c r="I53" s="6584">
        <f>I54*I55+I56</f>
        <v>0</v>
      </c>
      <c r="J53" s="6584">
        <f>J54*J55+J56</f>
        <v>540.982431981574</v>
      </c>
      <c r="K53" s="6584">
        <f>K54*K55+K56</f>
        <v>0</v>
      </c>
      <c r="L53" s="6584">
        <f>L54*L55+L56</f>
        <v>54.8097511682893</v>
      </c>
      <c r="M53" s="6584">
        <f>M54*M55+M56</f>
        <v>0</v>
      </c>
      <c r="N53" s="6584">
        <f>N54*N55+N56</f>
        <v>0</v>
      </c>
      <c r="O53" s="6749"/>
      <c r="P53" s="6720"/>
      <c r="Q53" s="6720"/>
      <c r="R53" s="6720"/>
      <c r="S53" s="6720"/>
      <c r="T53" s="6720"/>
      <c r="U53" s="6720"/>
      <c r="V53" s="6720"/>
      <c r="W53" s="6720"/>
      <c r="X53" s="6720"/>
      <c r="Y53" s="6720"/>
      <c r="Z53" s="6720"/>
      <c r="AA53" s="6720"/>
      <c r="AB53" s="6720"/>
      <c r="AC53" s="6720"/>
      <c r="AD53" s="6720"/>
      <c r="AE53" s="6720"/>
      <c r="AF53" s="6720"/>
      <c r="AG53" s="6720"/>
      <c r="AH53" s="6720"/>
      <c r="AI53" s="6720"/>
      <c r="AJ53" s="6720"/>
      <c r="AK53" s="6720">
        <v>0</v>
      </c>
    </row>
    <row s="7976" customFormat="1" customHeight="1" ht="25.5">
      <c r="A54" s="6697"/>
      <c r="B54" s="7917" t="str">
        <f>E33&amp;".2"</f>
        <v>2.2.2</v>
      </c>
      <c r="C54" s="6981"/>
      <c r="D54" s="7808"/>
      <c r="E54" s="6577" t="str">
        <f>B52&amp;".1"</f>
        <v>2.2.3.1</v>
      </c>
      <c r="F54" s="6586" t="s">
        <v>571</v>
      </c>
      <c r="G54" s="6587" t="s">
        <v>592</v>
      </c>
      <c r="H54" s="6588"/>
      <c r="I54" s="6588"/>
      <c r="J54" s="6588">
        <v>7.62616908448747</v>
      </c>
      <c r="K54" s="6588"/>
      <c r="L54" s="6588">
        <v>0.827424</v>
      </c>
      <c r="M54" s="6588"/>
      <c r="N54" s="6588"/>
      <c r="O54" s="7197" t="s">
        <v>572</v>
      </c>
      <c r="P54" s="6661"/>
      <c r="Q54" s="6720"/>
      <c r="R54" s="6720"/>
      <c r="S54" s="7180"/>
      <c r="T54" s="7180"/>
      <c r="U54" s="7180"/>
      <c r="V54" s="7180"/>
      <c r="W54" s="6720"/>
      <c r="X54" s="7180"/>
      <c r="Y54" s="7180"/>
      <c r="Z54" s="6698"/>
      <c r="AA54" s="7180"/>
      <c r="AB54" s="7180"/>
      <c r="AC54" s="7180"/>
      <c r="AD54" s="7180"/>
      <c r="AE54" s="7180"/>
      <c r="AF54" s="7486"/>
      <c r="AG54" s="7486"/>
      <c r="AH54" s="7486"/>
      <c r="AI54" s="7486"/>
      <c r="AJ54" s="7486"/>
      <c r="AK54" s="7235">
        <v>0</v>
      </c>
    </row>
    <row s="7976" customFormat="1" customHeight="1" ht="14.25">
      <c r="A55" s="6697"/>
      <c r="B55" s="7917" t="str">
        <f>E33&amp;".2"</f>
        <v>2.2.2</v>
      </c>
      <c r="C55" s="6981"/>
      <c r="D55" s="7808"/>
      <c r="E55" s="6577" t="str">
        <f>B52&amp;".2"</f>
        <v>2.2.3.2</v>
      </c>
      <c r="F55" s="6586" t="s">
        <v>573</v>
      </c>
      <c r="G55" s="7599" t="s">
        <v>574</v>
      </c>
      <c r="H55" s="6588"/>
      <c r="I55" s="6588"/>
      <c r="J55" s="6588">
        <v>70.9376393295549</v>
      </c>
      <c r="K55" s="6588"/>
      <c r="L55" s="6588">
        <v>66.2414326491488</v>
      </c>
      <c r="M55" s="6588"/>
      <c r="N55" s="6588"/>
      <c r="O55" s="7197"/>
      <c r="P55" s="6661"/>
      <c r="Q55" s="6720"/>
      <c r="R55" s="6720"/>
      <c r="S55" s="7180"/>
      <c r="T55" s="7180"/>
      <c r="U55" s="7180"/>
      <c r="V55" s="7180"/>
      <c r="W55" s="6720"/>
      <c r="X55" s="7180"/>
      <c r="Y55" s="7180"/>
      <c r="Z55" s="6698"/>
      <c r="AA55" s="7180"/>
      <c r="AB55" s="7180"/>
      <c r="AC55" s="7180"/>
      <c r="AD55" s="7180"/>
      <c r="AE55" s="7180"/>
      <c r="AF55" s="7486"/>
      <c r="AG55" s="7486"/>
      <c r="AH55" s="7486"/>
      <c r="AI55" s="7486"/>
      <c r="AJ55" s="7486"/>
      <c r="AK55" s="7235">
        <v>0</v>
      </c>
    </row>
    <row s="7976" customFormat="1" customHeight="1" ht="14.25">
      <c r="A56" s="6697"/>
      <c r="B56" s="7917" t="str">
        <f>E33&amp;".2"</f>
        <v>2.2.2</v>
      </c>
      <c r="C56" s="6981"/>
      <c r="D56" s="7808"/>
      <c r="E56" s="6577" t="str">
        <f>B52&amp;".3"</f>
        <v>2.2.3.3</v>
      </c>
      <c r="F56" s="6586" t="s">
        <v>575</v>
      </c>
      <c r="G56" s="7599" t="s">
        <v>574</v>
      </c>
      <c r="H56" s="6588"/>
      <c r="I56" s="6588"/>
      <c r="J56" s="6588"/>
      <c r="K56" s="6588"/>
      <c r="L56" s="6588"/>
      <c r="M56" s="6588"/>
      <c r="N56" s="6588"/>
      <c r="O56" s="7197"/>
      <c r="P56" s="6661"/>
      <c r="Q56" s="6720"/>
      <c r="R56" s="6720"/>
      <c r="S56" s="7180"/>
      <c r="T56" s="7180"/>
      <c r="U56" s="7180"/>
      <c r="V56" s="7180"/>
      <c r="W56" s="6720"/>
      <c r="X56" s="7180"/>
      <c r="Y56" s="7180"/>
      <c r="Z56" s="6698"/>
      <c r="AA56" s="7180"/>
      <c r="AB56" s="7180"/>
      <c r="AC56" s="7180"/>
      <c r="AD56" s="7180"/>
      <c r="AE56" s="7180"/>
      <c r="AF56" s="7486"/>
      <c r="AG56" s="7486"/>
      <c r="AH56" s="7486"/>
      <c r="AI56" s="7486"/>
      <c r="AJ56" s="7486"/>
      <c r="AK56" s="7235">
        <v>0</v>
      </c>
    </row>
    <row s="7976" customFormat="1" customHeight="1" ht="14.25">
      <c r="A57" s="6697"/>
      <c r="B57" s="7917" t="str">
        <f>E33&amp;".2"</f>
        <v>2.2.2</v>
      </c>
      <c r="C57" s="6981"/>
      <c r="D57" s="7808"/>
      <c r="E57" s="6577" t="str">
        <f>B52&amp;".4"</f>
        <v>2.2.3.4</v>
      </c>
      <c r="F57" s="6586" t="s">
        <v>576</v>
      </c>
      <c r="G57" s="7599" t="s">
        <v>568</v>
      </c>
      <c r="H57" s="6589"/>
      <c r="I57" s="6589"/>
      <c r="J57" s="6589" t="s">
        <v>593</v>
      </c>
      <c r="K57" s="6589"/>
      <c r="L57" s="6589" t="s">
        <v>593</v>
      </c>
      <c r="M57" s="6589"/>
      <c r="N57" s="6589"/>
      <c r="O57" s="7197"/>
      <c r="P57" s="6661"/>
      <c r="Q57" s="6720"/>
      <c r="R57" s="6720"/>
      <c r="S57" s="7180"/>
      <c r="T57" s="7180"/>
      <c r="U57" s="7180"/>
      <c r="V57" s="7180"/>
      <c r="W57" s="6720"/>
      <c r="X57" s="7180"/>
      <c r="Y57" s="7180"/>
      <c r="Z57" s="6698"/>
      <c r="AA57" s="7180"/>
      <c r="AB57" s="7180"/>
      <c r="AC57" s="7180"/>
      <c r="AD57" s="7180"/>
      <c r="AE57" s="7180"/>
      <c r="AF57" s="7486"/>
      <c r="AG57" s="7486"/>
      <c r="AH57" s="7486"/>
      <c r="AI57" s="7486"/>
      <c r="AJ57" s="7486"/>
      <c r="AK57" s="7235">
        <v>0</v>
      </c>
    </row>
    <row s="7180" customFormat="1" customHeight="1" ht="21">
      <c r="A58" s="2530"/>
      <c r="C58" s="1782"/>
      <c r="D58" s="1779"/>
      <c r="E58" s="716"/>
      <c r="F58" s="717" t="s">
        <v>596</v>
      </c>
      <c r="G58" s="718"/>
      <c r="H58" s="719"/>
      <c r="I58" s="719"/>
      <c r="J58" s="7987"/>
      <c r="K58" s="7988"/>
      <c r="L58" s="7989"/>
      <c r="M58" s="7990"/>
      <c r="N58" s="7991"/>
      <c r="O58" s="447"/>
      <c r="P58" s="1782" t="str">
        <f>IF((LEN(E58)-LEN(SUBSTITUTE(E58,".","")))/LEN(".")=1,"p","")</f>
        <v/>
      </c>
      <c r="Q58" s="1782"/>
      <c r="R58" s="1782"/>
      <c r="W58" s="1782"/>
      <c r="Z58" s="690"/>
      <c r="AF58" s="1778"/>
      <c r="AG58" s="1778"/>
      <c r="AH58" s="1778"/>
      <c r="AI58" s="1778"/>
      <c r="AJ58" s="1778"/>
      <c r="AK58" s="1306">
        <v>0</v>
      </c>
    </row>
    <row customHeight="1" ht="14.25" hidden="1">
      <c r="A59" s="2530" t="s">
        <v>597</v>
      </c>
      <c r="D59" s="1784"/>
      <c r="E59" s="692" t="str">
        <f>FHD_NUM_P_5</f>
        <v/>
      </c>
      <c r="F59" s="1670" t="str">
        <f>FHD_P_5</f>
        <v/>
      </c>
      <c r="G59" s="2021" t="s">
        <v>574</v>
      </c>
      <c r="H59" s="703"/>
      <c r="I59" s="703"/>
      <c r="J59" s="6612"/>
      <c r="K59" s="6612"/>
      <c r="L59" s="6612"/>
      <c r="M59" s="6612"/>
      <c r="N59" s="6612"/>
      <c r="O59" s="435" t="str">
        <f>FHD_NOTE_P_5</f>
        <v/>
      </c>
      <c r="P59" s="1782" t="str">
        <f>IF((LEN(E59)-LEN(SUBSTITUTE(E59,".","")))/LEN(".")=1,"p","")</f>
        <v/>
      </c>
      <c r="AK59" s="1777">
        <v>0</v>
      </c>
    </row>
    <row customHeight="1" ht="14.25" hidden="1">
      <c r="A60" s="2530"/>
      <c r="D60" s="1784"/>
      <c r="E60" s="692" t="str">
        <f>FHD_NUM_P_6</f>
        <v/>
      </c>
      <c r="F60" s="1670" t="str">
        <f>FHD_P_6</f>
        <v/>
      </c>
      <c r="G60" s="2021" t="s">
        <v>574</v>
      </c>
      <c r="H60" s="703"/>
      <c r="I60" s="703"/>
      <c r="J60" s="6612"/>
      <c r="K60" s="6612"/>
      <c r="L60" s="6612"/>
      <c r="M60" s="6612"/>
      <c r="N60" s="6612"/>
      <c r="O60" s="435" t="str">
        <f>FHD_NOTE_P_6</f>
        <v/>
      </c>
      <c r="P60" s="1782" t="str">
        <f>IF((LEN(E60)-LEN(SUBSTITUTE(E60,".","")))/LEN(".")=1,"p","")</f>
        <v/>
      </c>
      <c r="AK60" s="1777">
        <v>0</v>
      </c>
    </row>
    <row customHeight="1" ht="14.25" hidden="1">
      <c r="A61" s="2530"/>
      <c r="D61" s="1784"/>
      <c r="E61" s="692" t="str">
        <f>FHD_NUM_P_7</f>
        <v/>
      </c>
      <c r="F61" s="1670" t="str">
        <f>FHD_P_7</f>
        <v/>
      </c>
      <c r="G61" s="2021" t="s">
        <v>574</v>
      </c>
      <c r="H61" s="703"/>
      <c r="I61" s="703"/>
      <c r="J61" s="6612"/>
      <c r="K61" s="6612"/>
      <c r="L61" s="6612"/>
      <c r="M61" s="6612"/>
      <c r="N61" s="6612"/>
      <c r="O61" s="435" t="str">
        <f>FHD_NOTE_P_7</f>
        <v/>
      </c>
      <c r="P61" s="1782" t="str">
        <f>IF((LEN(E61)-LEN(SUBSTITUTE(E61,".","")))/LEN(".")=1,"p","")</f>
        <v/>
      </c>
      <c r="AK61" s="1777">
        <v>0</v>
      </c>
    </row>
    <row customHeight="1" ht="23.25">
      <c r="D62" s="1784"/>
      <c r="E62" s="692" t="str">
        <f>FHD_NUM_P_8</f>
        <v>2.3</v>
      </c>
      <c r="F62" s="1670" t="str">
        <f>FHD_P_8</f>
        <v>Расходы на приобретаемую электрическую энергию (мощность), используемую в технологическом процессе</v>
      </c>
      <c r="G62" s="2021" t="s">
        <v>574</v>
      </c>
      <c r="H62" s="703"/>
      <c r="I62" s="703">
        <v>16489.1030328192</v>
      </c>
      <c r="J62" s="6612">
        <v>247397.426206408</v>
      </c>
      <c r="K62" s="6612">
        <v>61.721544017568</v>
      </c>
      <c r="L62" s="6612">
        <v>47968.932191426</v>
      </c>
      <c r="M62" s="6612">
        <v>1810.87163021762</v>
      </c>
      <c r="N62" s="6612">
        <v>14.4742750018438</v>
      </c>
      <c r="O62" s="435" t="str">
        <f>FHD_NOTE_P_8</f>
        <v/>
      </c>
      <c r="P62" s="1782" t="str">
        <f>IF((LEN(E62)-LEN(SUBSTITUTE(E62,".","")))/LEN(".")=1,"p","")</f>
        <v>p</v>
      </c>
      <c r="AK62" s="1777">
        <v>11</v>
      </c>
    </row>
    <row customHeight="1" ht="12.75">
      <c r="D63" s="1784"/>
      <c r="E63" s="692" t="str">
        <f>FHD_NUM_P_9</f>
        <v>2.3.1</v>
      </c>
      <c r="F63" s="1796" t="str">
        <f>FHD_P_9</f>
        <v>Средневзвешенная стоимость 1 кВт.ч (с учетом мощности)</v>
      </c>
      <c r="G63" s="2021" t="s">
        <v>598</v>
      </c>
      <c r="H63" s="703"/>
      <c r="I63" s="703">
        <v>6.71732736717236</v>
      </c>
      <c r="J63" s="6612">
        <v>5.61996781976427</v>
      </c>
      <c r="K63" s="6612">
        <v>5.26964404389619</v>
      </c>
      <c r="L63" s="6612">
        <v>6.88488829410794</v>
      </c>
      <c r="M63" s="6612">
        <v>5.46786979677819</v>
      </c>
      <c r="N63" s="6612">
        <v>5.65611050234205</v>
      </c>
      <c r="O63" s="435" t="str">
        <f>FHD_NOTE_P_9</f>
        <v/>
      </c>
      <c r="P63" s="1782" t="str">
        <f>IF((LEN(E63)-LEN(SUBSTITUTE(E63,".","")))/LEN(".")=1,"p","")</f>
        <v/>
      </c>
      <c r="AK63" s="1777">
        <v>11</v>
      </c>
    </row>
    <row s="7180" customFormat="1" customHeight="1" ht="12.75">
      <c r="A64" s="1133"/>
      <c r="C64" s="1782"/>
      <c r="D64" s="720"/>
      <c r="E64" s="692" t="str">
        <f>FHD_NUM_P_10</f>
        <v>2.3.2</v>
      </c>
      <c r="F64" s="1796" t="str">
        <f>FHD_P_10</f>
        <v>Объём приобретения электрической энергии</v>
      </c>
      <c r="G64" s="2021" t="s">
        <v>599</v>
      </c>
      <c r="H64" s="703"/>
      <c r="I64" s="703">
        <v>2454.71184170681</v>
      </c>
      <c r="J64" s="6612">
        <v>44021.1464087681</v>
      </c>
      <c r="K64" s="6612">
        <v>11.7126590531404</v>
      </c>
      <c r="L64" s="6612">
        <v>6967.27821023293</v>
      </c>
      <c r="M64" s="6612">
        <v>331.184116945257</v>
      </c>
      <c r="N64" s="6612">
        <v>2.55905095840161</v>
      </c>
      <c r="O64" s="435" t="str">
        <f>FHD_NOTE_P_10</f>
        <v/>
      </c>
      <c r="P64" s="1782" t="str">
        <f>IF((LEN(E64)-LEN(SUBSTITUTE(E64,".","")))/LEN(".")=1,"p","")</f>
        <v/>
      </c>
      <c r="Q64" s="1782"/>
      <c r="R64" s="1782"/>
      <c r="W64" s="1782"/>
      <c r="Z64" s="690"/>
      <c r="AF64" s="1778"/>
      <c r="AG64" s="1778"/>
      <c r="AH64" s="1778"/>
      <c r="AI64" s="1778"/>
      <c r="AJ64" s="1778"/>
      <c r="AK64" s="1306">
        <v>11</v>
      </c>
    </row>
    <row s="7180" customFormat="1" customHeight="1" ht="23.25">
      <c r="A65" s="1135" t="s">
        <v>600</v>
      </c>
      <c r="C65" s="1782"/>
      <c r="D65" s="721"/>
      <c r="E65" s="692" t="str">
        <f>FHD_NUM_P_11</f>
        <v>2.4</v>
      </c>
      <c r="F65" s="1670" t="str">
        <f>FHD_P_11</f>
        <v>Расходы на приобретение холодной воды, используемой в технологическом процессе</v>
      </c>
      <c r="G65" s="2021" t="s">
        <v>574</v>
      </c>
      <c r="H65" s="703"/>
      <c r="I65" s="703">
        <v>24666.7273487958</v>
      </c>
      <c r="J65" s="6612">
        <v>0</v>
      </c>
      <c r="K65" s="6612">
        <v>12346.5605949134</v>
      </c>
      <c r="L65" s="6612">
        <v>2103.04078</v>
      </c>
      <c r="M65" s="6612">
        <v>9819.17775730835</v>
      </c>
      <c r="N65" s="6612">
        <v>6309.48071975453</v>
      </c>
      <c r="O65" s="435" t="str">
        <f>FHD_NOTE_P_11</f>
        <v/>
      </c>
      <c r="P65" s="1782" t="str">
        <f>IF((LEN(E65)-LEN(SUBSTITUTE(E65,".","")))/LEN(".")=1,"p","")</f>
        <v>p</v>
      </c>
      <c r="Q65" s="1782"/>
      <c r="R65" s="1782"/>
      <c r="W65" s="1782"/>
      <c r="Z65" s="690"/>
      <c r="AF65" s="1778"/>
      <c r="AG65" s="1778"/>
      <c r="AH65" s="1778"/>
      <c r="AI65" s="1778"/>
      <c r="AJ65" s="1778"/>
      <c r="AK65" s="1306">
        <v>0</v>
      </c>
    </row>
    <row s="7180" customFormat="1" customHeight="1" ht="23.25">
      <c r="A66" s="1135" t="s">
        <v>601</v>
      </c>
      <c r="C66" s="1782"/>
      <c r="D66" s="1784"/>
      <c r="E66" s="692" t="str">
        <f>FHD_NUM_P_12</f>
        <v>2.5</v>
      </c>
      <c r="F66" s="1670" t="str">
        <f>FHD_P_12</f>
        <v>Расходы на  химические реагенты, используемые в технологическом процессе</v>
      </c>
      <c r="G66" s="2021" t="s">
        <v>574</v>
      </c>
      <c r="H66" s="723"/>
      <c r="I66" s="723">
        <v>4.21751692684003</v>
      </c>
      <c r="J66" s="6635">
        <v>20602.50537</v>
      </c>
      <c r="K66" s="6635">
        <v>1051.85456</v>
      </c>
      <c r="L66" s="6635">
        <v>350.37994</v>
      </c>
      <c r="M66" s="6635">
        <v>427.223143839294</v>
      </c>
      <c r="N66" s="6635">
        <v>1600.94187</v>
      </c>
      <c r="O66" s="435" t="str">
        <f>FHD_NOTE_P_12</f>
        <v/>
      </c>
      <c r="P66" s="1782" t="str">
        <f>IF((LEN(E66)-LEN(SUBSTITUTE(E66,".","")))/LEN(".")=1,"p","")</f>
        <v>p</v>
      </c>
      <c r="Q66" s="1782"/>
      <c r="R66" s="1782"/>
      <c r="W66" s="1782"/>
      <c r="Z66" s="690"/>
      <c r="AF66" s="1778"/>
      <c r="AG66" s="1778"/>
      <c r="AH66" s="1778"/>
      <c r="AI66" s="1778"/>
      <c r="AJ66" s="1778"/>
      <c r="AK66" s="1306">
        <v>18</v>
      </c>
    </row>
    <row s="6636" customFormat="1" customHeight="1" ht="33.75">
      <c r="A67" s="1134"/>
      <c r="C67" s="876"/>
      <c r="D67" s="819"/>
      <c r="E67" s="692" t="str">
        <f>FHD_NUM_P_13</f>
        <v>2.6</v>
      </c>
      <c r="F67" s="167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2021" t="s">
        <v>574</v>
      </c>
      <c r="H67" s="703"/>
      <c r="I67" s="703">
        <f>I68+I69</f>
        <v>178317.374484719</v>
      </c>
      <c r="J67" s="6612">
        <f>J68+J69</f>
        <v>1184404.35952467</v>
      </c>
      <c r="K67" s="6612">
        <f>K68+K69</f>
        <v>14770.4106805218</v>
      </c>
      <c r="L67" s="6612">
        <f>L68+L69</f>
        <v>341659.27876</v>
      </c>
      <c r="M67" s="6612">
        <f>M68+M69</f>
        <v>187910.509676007</v>
      </c>
      <c r="N67" s="6612">
        <f>N68+N69</f>
        <v>10691.1779367748</v>
      </c>
      <c r="O67" s="435" t="str">
        <f>FHD_NOTE_P_13</f>
        <v/>
      </c>
      <c r="P67" s="1782" t="str">
        <f>IF((LEN(E67)-LEN(SUBSTITUTE(E67,".","")))/LEN(".")=1,"p","")</f>
        <v>p</v>
      </c>
      <c r="Q67" s="876"/>
      <c r="R67" s="876"/>
      <c r="W67" s="876"/>
      <c r="Z67" s="877"/>
      <c r="AF67" s="878"/>
      <c r="AG67" s="878"/>
      <c r="AH67" s="878"/>
      <c r="AI67" s="878"/>
      <c r="AJ67" s="878"/>
      <c r="AK67" s="875">
        <v>11</v>
      </c>
    </row>
    <row s="6636" customFormat="1" customHeight="1" ht="23.25">
      <c r="A68" s="1134"/>
      <c r="C68" s="876"/>
      <c r="D68" s="819"/>
      <c r="E68" s="692" t="str">
        <f>FHD_NUM_P_14</f>
        <v>2.6.1</v>
      </c>
      <c r="F68" s="1796" t="str">
        <f>FHD_P_14</f>
        <v>Расходы на оплату труда основного производственного персонала</v>
      </c>
      <c r="G68" s="2021" t="s">
        <v>574</v>
      </c>
      <c r="H68" s="703"/>
      <c r="I68" s="703">
        <v>135821.732489347</v>
      </c>
      <c r="J68" s="6612">
        <v>901395.204269512</v>
      </c>
      <c r="K68" s="6612">
        <v>11250.6297029696</v>
      </c>
      <c r="L68" s="6612">
        <v>258895.47016</v>
      </c>
      <c r="M68" s="6612">
        <v>141660.811602979</v>
      </c>
      <c r="N68" s="6612">
        <v>8223.67982400328</v>
      </c>
      <c r="O68" s="435" t="str">
        <f>FHD_NOTE_P_14</f>
        <v/>
      </c>
      <c r="P68" s="1782" t="str">
        <f>IF((LEN(E68)-LEN(SUBSTITUTE(E68,".","")))/LEN(".")=1,"p","")</f>
        <v/>
      </c>
      <c r="Q68" s="876"/>
      <c r="R68" s="876"/>
      <c r="W68" s="876"/>
      <c r="Z68" s="877"/>
      <c r="AF68" s="878"/>
      <c r="AG68" s="878"/>
      <c r="AH68" s="878"/>
      <c r="AI68" s="878"/>
      <c r="AJ68" s="878"/>
      <c r="AK68" s="875">
        <v>11</v>
      </c>
    </row>
    <row s="6636" customFormat="1" customHeight="1" ht="33.75">
      <c r="A69" s="1134"/>
      <c r="C69" s="876"/>
      <c r="D69" s="819"/>
      <c r="E69" s="692" t="str">
        <f>FHD_NUM_P_15</f>
        <v>2.6.2</v>
      </c>
      <c r="F69" s="1796" t="str">
        <f>FHD_P_15</f>
        <v>Страховые взносы на обязательное социальное страхование, выплачиваемые из фонда оплаты труда основного производственного персонала</v>
      </c>
      <c r="G69" s="2021" t="s">
        <v>574</v>
      </c>
      <c r="H69" s="703"/>
      <c r="I69" s="703">
        <v>42495.6419953725</v>
      </c>
      <c r="J69" s="6612">
        <v>283009.155255157</v>
      </c>
      <c r="K69" s="6612">
        <v>3519.78097755221</v>
      </c>
      <c r="L69" s="6612">
        <v>82763.8086</v>
      </c>
      <c r="M69" s="6612">
        <v>46249.6980730279</v>
      </c>
      <c r="N69" s="6612">
        <v>2467.4981127715</v>
      </c>
      <c r="O69" s="435" t="str">
        <f>FHD_NOTE_P_15</f>
        <v/>
      </c>
      <c r="P69" s="1782" t="str">
        <f>IF((LEN(E69)-LEN(SUBSTITUTE(E69,".","")))/LEN(".")=1,"p","")</f>
        <v/>
      </c>
      <c r="Q69" s="876"/>
      <c r="R69" s="876"/>
      <c r="W69" s="876"/>
      <c r="Z69" s="877"/>
      <c r="AF69" s="878"/>
      <c r="AG69" s="878"/>
      <c r="AH69" s="878"/>
      <c r="AI69" s="878"/>
      <c r="AJ69" s="878"/>
      <c r="AK69" s="875">
        <v>11</v>
      </c>
    </row>
    <row s="7180" customFormat="1" customHeight="1" ht="44.25">
      <c r="A70" s="1133"/>
      <c r="C70" s="1782"/>
      <c r="D70" s="1784"/>
      <c r="E70" s="692" t="str">
        <f>FHD_NUM_P_16</f>
        <v>2.7</v>
      </c>
      <c r="F70" s="167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2021" t="s">
        <v>574</v>
      </c>
      <c r="H70" s="703"/>
      <c r="I70" s="703">
        <f>I71+I72</f>
        <v>8306.52618</v>
      </c>
      <c r="J70" s="6612">
        <f>J71+J72</f>
        <v>75935.81091</v>
      </c>
      <c r="K70" s="6612">
        <f>K71+K72</f>
        <v>397.72023</v>
      </c>
      <c r="L70" s="6612">
        <f>L71+L72</f>
        <v>14860.02091</v>
      </c>
      <c r="M70" s="6612">
        <f>M71+M72</f>
        <v>8237.13136</v>
      </c>
      <c r="N70" s="6612">
        <f>N71+N72</f>
        <v>394.25556</v>
      </c>
      <c r="O70" s="435" t="str">
        <f>FHD_NOTE_P_16</f>
        <v/>
      </c>
      <c r="P70" s="1782" t="str">
        <f>IF((LEN(E70)-LEN(SUBSTITUTE(E70,".","")))/LEN(".")=1,"p","")</f>
        <v>p</v>
      </c>
      <c r="Q70" s="1782"/>
      <c r="R70" s="1788"/>
      <c r="S70" s="683"/>
      <c r="T70" s="683"/>
      <c r="W70" s="1782"/>
      <c r="Z70" s="690"/>
      <c r="AF70" s="1778"/>
      <c r="AG70" s="1778"/>
      <c r="AH70" s="1778"/>
      <c r="AI70" s="1778"/>
      <c r="AJ70" s="1778"/>
      <c r="AK70" s="1306">
        <v>11</v>
      </c>
    </row>
    <row s="7180" customFormat="1" customHeight="1" ht="23.25">
      <c r="A71" s="1133"/>
      <c r="C71" s="1782"/>
      <c r="D71" s="1784"/>
      <c r="E71" s="692" t="str">
        <f>FHD_NUM_P_17</f>
        <v>2.7.1</v>
      </c>
      <c r="F71" s="1796" t="str">
        <f>FHD_P_17</f>
        <v>Расходы на оплату труда административно-управленческого персонала</v>
      </c>
      <c r="G71" s="2021" t="s">
        <v>574</v>
      </c>
      <c r="H71" s="703"/>
      <c r="I71" s="703">
        <v>6495.44249</v>
      </c>
      <c r="J71" s="6612">
        <v>59379.41867</v>
      </c>
      <c r="K71" s="6612">
        <v>311.00474</v>
      </c>
      <c r="L71" s="6612">
        <v>11620.06947</v>
      </c>
      <c r="M71" s="6612">
        <v>6441.17798</v>
      </c>
      <c r="N71" s="6612">
        <v>308.29547</v>
      </c>
      <c r="O71" s="435" t="str">
        <f>FHD_NOTE_P_17</f>
        <v/>
      </c>
      <c r="P71" s="1782" t="str">
        <f>IF((LEN(E71)-LEN(SUBSTITUTE(E71,".","")))/LEN(".")=1,"p","")</f>
        <v/>
      </c>
      <c r="Q71" s="1782"/>
      <c r="R71" s="1788"/>
      <c r="S71" s="683"/>
      <c r="T71" s="683"/>
      <c r="W71" s="1782"/>
      <c r="Z71" s="690"/>
      <c r="AF71" s="1778"/>
      <c r="AG71" s="1778"/>
      <c r="AH71" s="1778"/>
      <c r="AI71" s="1778"/>
      <c r="AJ71" s="1778"/>
      <c r="AK71" s="1306">
        <v>11</v>
      </c>
    </row>
    <row s="7180" customFormat="1" customHeight="1" ht="33.75">
      <c r="A72" s="1133"/>
      <c r="C72" s="1782"/>
      <c r="D72" s="1784"/>
      <c r="E72" s="692" t="str">
        <f>FHD_NUM_P_18</f>
        <v>2.7.2</v>
      </c>
      <c r="F72" s="1796"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2021" t="s">
        <v>574</v>
      </c>
      <c r="H72" s="703"/>
      <c r="I72" s="703">
        <v>1811.08369</v>
      </c>
      <c r="J72" s="6612">
        <v>16556.39224</v>
      </c>
      <c r="K72" s="6612">
        <v>86.71549</v>
      </c>
      <c r="L72" s="6612">
        <v>3239.95144</v>
      </c>
      <c r="M72" s="6612">
        <v>1795.95338</v>
      </c>
      <c r="N72" s="6612">
        <v>85.96009</v>
      </c>
      <c r="O72" s="435" t="str">
        <f>FHD_NOTE_P_18</f>
        <v/>
      </c>
      <c r="P72" s="1782" t="str">
        <f>IF((LEN(E72)-LEN(SUBSTITUTE(E72,".","")))/LEN(".")=1,"p","")</f>
        <v/>
      </c>
      <c r="Q72" s="1782"/>
      <c r="R72" s="1788"/>
      <c r="S72" s="683"/>
      <c r="T72" s="683"/>
      <c r="W72" s="1782"/>
      <c r="Z72" s="690"/>
      <c r="AF72" s="1778"/>
      <c r="AG72" s="1778"/>
      <c r="AH72" s="1778"/>
      <c r="AI72" s="1778"/>
      <c r="AJ72" s="1778"/>
      <c r="AK72" s="1306">
        <v>11</v>
      </c>
    </row>
    <row s="7180" customFormat="1" customHeight="1" ht="23.25">
      <c r="A73" s="1133"/>
      <c r="C73" s="1782"/>
      <c r="D73" s="721"/>
      <c r="E73" s="692" t="str">
        <f>FHD_NUM_P_19</f>
        <v>2.8</v>
      </c>
      <c r="F73" s="1670" t="str">
        <f>FHD_P_19</f>
        <v>Расходы на амортизацию основных средств и нематериальных активов</v>
      </c>
      <c r="G73" s="2021" t="s">
        <v>574</v>
      </c>
      <c r="H73" s="703"/>
      <c r="I73" s="703">
        <v>8137.58232323783</v>
      </c>
      <c r="J73" s="6612">
        <v>267799.13675</v>
      </c>
      <c r="K73" s="6612">
        <v>583.53574</v>
      </c>
      <c r="L73" s="6612">
        <v>24704.56608</v>
      </c>
      <c r="M73" s="6612">
        <v>5611.10382286195</v>
      </c>
      <c r="N73" s="6612">
        <v>130.55726</v>
      </c>
      <c r="O73" s="435" t="str">
        <f>FHD_NOTE_P_19</f>
        <v/>
      </c>
      <c r="P73" s="1782" t="str">
        <f>IF((LEN(E73)-LEN(SUBSTITUTE(E73,".","")))/LEN(".")=1,"p","")</f>
        <v>p</v>
      </c>
      <c r="Q73" s="1782"/>
      <c r="R73" s="1782"/>
      <c r="W73" s="1782"/>
      <c r="Z73" s="690"/>
      <c r="AF73" s="1778"/>
      <c r="AG73" s="1778"/>
      <c r="AH73" s="1778"/>
      <c r="AI73" s="1778"/>
      <c r="AJ73" s="1778"/>
      <c r="AK73" s="1306">
        <v>11</v>
      </c>
    </row>
    <row s="7180" customFormat="1" customHeight="1" ht="12.75">
      <c r="A74" s="1133"/>
      <c r="C74" s="1782"/>
      <c r="D74" s="721"/>
      <c r="E74" s="692" t="str">
        <f>FHD_NUM_P_20</f>
        <v>2.8.1</v>
      </c>
      <c r="F74" s="1796" t="str">
        <f>FHD_P_20</f>
        <v>Расходы на амортизацию основных средств</v>
      </c>
      <c r="G74" s="2021" t="s">
        <v>574</v>
      </c>
      <c r="H74" s="703"/>
      <c r="I74" s="703">
        <v>8137.58232323783</v>
      </c>
      <c r="J74" s="6612">
        <v>267799.13675</v>
      </c>
      <c r="K74" s="6612">
        <v>583.53574</v>
      </c>
      <c r="L74" s="6612">
        <v>24704.56608</v>
      </c>
      <c r="M74" s="6612">
        <v>5611.10382286195</v>
      </c>
      <c r="N74" s="6612">
        <v>130.55726</v>
      </c>
      <c r="O74" s="435" t="str">
        <f>FHD_NOTE_P_20</f>
        <v/>
      </c>
      <c r="P74" s="1782" t="str">
        <f>IF((LEN(E74)-LEN(SUBSTITUTE(E74,".","")))/LEN(".")=1,"p","")</f>
        <v/>
      </c>
      <c r="Q74" s="1782"/>
      <c r="R74" s="1782"/>
      <c r="W74" s="1782"/>
      <c r="Z74" s="690"/>
      <c r="AF74" s="1778"/>
      <c r="AG74" s="1778"/>
      <c r="AH74" s="1778"/>
      <c r="AI74" s="1778"/>
      <c r="AJ74" s="1778"/>
      <c r="AK74" s="1306">
        <v>11</v>
      </c>
    </row>
    <row s="7180" customFormat="1" customHeight="1" ht="11.549999999999999">
      <c r="A75" s="1133"/>
      <c r="C75" s="1782"/>
      <c r="D75" s="721"/>
      <c r="E75" s="692" t="str">
        <f>FHD_NUM_P_21</f>
        <v>2.8.2</v>
      </c>
      <c r="F75" s="1796" t="str">
        <f>FHD_P_21</f>
        <v>Расходы на амортизацию нематериальных активов</v>
      </c>
      <c r="G75" s="2021" t="s">
        <v>574</v>
      </c>
      <c r="H75" s="703"/>
      <c r="I75" s="703">
        <v>0</v>
      </c>
      <c r="J75" s="6612">
        <v>0</v>
      </c>
      <c r="K75" s="6612">
        <v>0</v>
      </c>
      <c r="L75" s="6612">
        <v>0</v>
      </c>
      <c r="M75" s="6612">
        <v>0</v>
      </c>
      <c r="N75" s="6612">
        <v>0</v>
      </c>
      <c r="O75" s="435" t="str">
        <f>FHD_NOTE_P_21</f>
        <v/>
      </c>
      <c r="P75" s="1782" t="str">
        <f>IF((LEN(E75)-LEN(SUBSTITUTE(E75,".","")))/LEN(".")=1,"p","")</f>
        <v/>
      </c>
      <c r="Q75" s="1782"/>
      <c r="R75" s="1782"/>
      <c r="W75" s="1782"/>
      <c r="Z75" s="690"/>
      <c r="AF75" s="1778"/>
      <c r="AG75" s="1778"/>
      <c r="AH75" s="1778"/>
      <c r="AI75" s="1778"/>
      <c r="AJ75" s="1778"/>
      <c r="AK75" s="1306">
        <v>11</v>
      </c>
    </row>
    <row s="7180" customFormat="1" customHeight="1" ht="23.25">
      <c r="A76" s="1133"/>
      <c r="C76" s="1782"/>
      <c r="D76" s="1784"/>
      <c r="E76" s="692" t="str">
        <f>FHD_NUM_P_22</f>
        <v>2.9</v>
      </c>
      <c r="F76" s="1670" t="str">
        <f>FHD_P_22</f>
        <v>Расходы на аренду имущества, используемого для осуществления регулируемого вида деятельности</v>
      </c>
      <c r="G76" s="2021" t="s">
        <v>574</v>
      </c>
      <c r="H76" s="703"/>
      <c r="I76" s="703">
        <v>1097.22359192611</v>
      </c>
      <c r="J76" s="6612">
        <v>7614.38647</v>
      </c>
      <c r="K76" s="6612">
        <v>51.16776</v>
      </c>
      <c r="L76" s="6612">
        <v>1865.65899</v>
      </c>
      <c r="M76" s="6612">
        <v>1073.41953</v>
      </c>
      <c r="N76" s="6612">
        <v>53.35267</v>
      </c>
      <c r="O76" s="435" t="str">
        <f>FHD_NOTE_P_22</f>
        <v/>
      </c>
      <c r="P76" s="1782" t="str">
        <f>IF((LEN(E76)-LEN(SUBSTITUTE(E76,".","")))/LEN(".")=1,"p","")</f>
        <v>p</v>
      </c>
      <c r="Q76" s="1782"/>
      <c r="R76" s="1782"/>
      <c r="W76" s="1782"/>
      <c r="Z76" s="690"/>
      <c r="AF76" s="1778"/>
      <c r="AG76" s="1778"/>
      <c r="AH76" s="1778"/>
      <c r="AI76" s="1778"/>
      <c r="AJ76" s="1778"/>
      <c r="AK76" s="1306">
        <v>11</v>
      </c>
    </row>
    <row s="7180" customFormat="1" customHeight="1" ht="12.75">
      <c r="A77" s="1133"/>
      <c r="C77" s="1782"/>
      <c r="D77" s="721"/>
      <c r="E77" s="692" t="str">
        <f>FHD_NUM_P_23</f>
        <v>2.10</v>
      </c>
      <c r="F77" s="1670" t="str">
        <f>FHD_P_23</f>
        <v>Общепроизводственные расходы, в том числе:</v>
      </c>
      <c r="G77" s="2021" t="s">
        <v>574</v>
      </c>
      <c r="H77" s="703"/>
      <c r="I77" s="703">
        <v>22807.5640786708</v>
      </c>
      <c r="J77" s="6612">
        <v>225147.32708</v>
      </c>
      <c r="K77" s="6612">
        <v>1983.20605</v>
      </c>
      <c r="L77" s="6612">
        <v>30046.2993</v>
      </c>
      <c r="M77" s="6612">
        <v>23974.415200374</v>
      </c>
      <c r="N77" s="6612">
        <v>1211.24959</v>
      </c>
      <c r="O77" s="435" t="str">
        <f>FHD_NOTE_P_23</f>
        <v>Указывается общая сумма общепроизводственных расходов.</v>
      </c>
      <c r="P77" s="1782" t="str">
        <f>IF((LEN(E77)-LEN(SUBSTITUTE(E77,".","")))/LEN(".")=1,"p","")</f>
        <v>p</v>
      </c>
      <c r="Q77" s="1782"/>
      <c r="R77" s="1782"/>
      <c r="W77" s="1782"/>
      <c r="Z77" s="690"/>
      <c r="AF77" s="1778"/>
      <c r="AG77" s="1778"/>
      <c r="AH77" s="1778"/>
      <c r="AI77" s="1778"/>
      <c r="AJ77" s="1778"/>
      <c r="AK77" s="1306">
        <v>11</v>
      </c>
    </row>
    <row s="7180" customFormat="1" customHeight="1" ht="11.549999999999999">
      <c r="A78" s="1133"/>
      <c r="C78" s="1782"/>
      <c r="D78" s="721"/>
      <c r="E78" s="692" t="str">
        <f>FHD_NUM_P_24</f>
        <v>2.10.1</v>
      </c>
      <c r="F78" s="1796" t="str">
        <f>FHD_P_24</f>
        <v>Расходы на текущий ремонт</v>
      </c>
      <c r="G78" s="2021" t="s">
        <v>574</v>
      </c>
      <c r="H78" s="703"/>
      <c r="I78" s="703">
        <v>0</v>
      </c>
      <c r="J78" s="6612">
        <v>0</v>
      </c>
      <c r="K78" s="6612">
        <v>0</v>
      </c>
      <c r="L78" s="6612">
        <v>0</v>
      </c>
      <c r="M78" s="6612">
        <v>0</v>
      </c>
      <c r="N78" s="6612">
        <v>0</v>
      </c>
      <c r="O78" s="435" t="str">
        <f>FHD_NOTE_P_24</f>
        <v>Указываются расходы на текущий ремонт, отнесенные к общепроизводственным расходам.</v>
      </c>
      <c r="P78" s="1782" t="str">
        <f>IF((LEN(E78)-LEN(SUBSTITUTE(E78,".","")))/LEN(".")=1,"p","")</f>
        <v/>
      </c>
      <c r="Q78" s="1782"/>
      <c r="R78" s="1782"/>
      <c r="W78" s="1782"/>
      <c r="Z78" s="690"/>
      <c r="AF78" s="1778"/>
      <c r="AG78" s="1778"/>
      <c r="AH78" s="1778"/>
      <c r="AI78" s="1778"/>
      <c r="AJ78" s="1778"/>
      <c r="AK78" s="1306">
        <v>11</v>
      </c>
    </row>
    <row s="7180" customFormat="1" customHeight="1" ht="11.549999999999999">
      <c r="A79" s="1133"/>
      <c r="C79" s="1782"/>
      <c r="D79" s="721"/>
      <c r="E79" s="692" t="str">
        <f>FHD_NUM_P_25</f>
        <v>2.10.2</v>
      </c>
      <c r="F79" s="1796" t="str">
        <f>FHD_P_25</f>
        <v>Расходы на капитальный ремонт</v>
      </c>
      <c r="G79" s="2021" t="s">
        <v>574</v>
      </c>
      <c r="H79" s="703"/>
      <c r="I79" s="703">
        <v>0</v>
      </c>
      <c r="J79" s="6612">
        <v>0</v>
      </c>
      <c r="K79" s="6612">
        <v>0</v>
      </c>
      <c r="L79" s="6612">
        <v>0</v>
      </c>
      <c r="M79" s="6612">
        <v>0</v>
      </c>
      <c r="N79" s="6612">
        <v>0</v>
      </c>
      <c r="O79" s="435" t="str">
        <f>FHD_NOTE_P_25</f>
        <v>Указываются расходы на капитальный ремонт, отнесенные к общепроизводственным расходам.</v>
      </c>
      <c r="P79" s="1782" t="str">
        <f>IF((LEN(E79)-LEN(SUBSTITUTE(E79,".","")))/LEN(".")=1,"p","")</f>
        <v/>
      </c>
      <c r="Q79" s="1782"/>
      <c r="R79" s="1782"/>
      <c r="W79" s="1782"/>
      <c r="Z79" s="690"/>
      <c r="AF79" s="1778"/>
      <c r="AG79" s="1778"/>
      <c r="AH79" s="1778"/>
      <c r="AI79" s="1778"/>
      <c r="AJ79" s="1778"/>
      <c r="AK79" s="1306">
        <v>11</v>
      </c>
    </row>
    <row s="7180" customFormat="1" customHeight="1" ht="12.75">
      <c r="A80" s="1133"/>
      <c r="C80" s="1782"/>
      <c r="D80" s="1784"/>
      <c r="E80" s="692" t="str">
        <f>FHD_NUM_P_26</f>
        <v>2.11</v>
      </c>
      <c r="F80" s="1670" t="str">
        <f>FHD_P_26</f>
        <v>Общехозяйственные расходы, в том числе:</v>
      </c>
      <c r="G80" s="2021" t="s">
        <v>574</v>
      </c>
      <c r="H80" s="703"/>
      <c r="I80" s="703">
        <v>3347.80414</v>
      </c>
      <c r="J80" s="6612">
        <v>31628.30207</v>
      </c>
      <c r="K80" s="6612">
        <v>160.29435</v>
      </c>
      <c r="L80" s="6612">
        <v>5989.07767</v>
      </c>
      <c r="M80" s="6612">
        <v>3319.83585</v>
      </c>
      <c r="N80" s="6612">
        <v>158.89788</v>
      </c>
      <c r="O80" s="435" t="str">
        <f>FHD_NOTE_P_26</f>
        <v>Указывается общая сумма общехозяйственных расходов.</v>
      </c>
      <c r="P80" s="1782" t="str">
        <f>IF((LEN(E80)-LEN(SUBSTITUTE(E80,".","")))/LEN(".")=1,"p","")</f>
        <v>p</v>
      </c>
      <c r="Q80" s="1782"/>
      <c r="R80" s="1782"/>
      <c r="W80" s="1782"/>
      <c r="Z80" s="690"/>
      <c r="AF80" s="1778"/>
      <c r="AG80" s="1778"/>
      <c r="AH80" s="1778"/>
      <c r="AI80" s="1778"/>
      <c r="AJ80" s="1778"/>
      <c r="AK80" s="1306">
        <v>11</v>
      </c>
    </row>
    <row s="7180" customFormat="1" customHeight="1" ht="12.75">
      <c r="A81" s="1133"/>
      <c r="C81" s="1782"/>
      <c r="D81" s="1784"/>
      <c r="E81" s="692" t="str">
        <f>FHD_NUM_P_27</f>
        <v>2.11.1</v>
      </c>
      <c r="F81" s="1796" t="str">
        <f>FHD_P_27</f>
        <v>Расходы на текущий ремонт</v>
      </c>
      <c r="G81" s="2021" t="s">
        <v>574</v>
      </c>
      <c r="H81" s="703"/>
      <c r="I81" s="703">
        <v>2.96093</v>
      </c>
      <c r="J81" s="6612">
        <v>27.06769</v>
      </c>
      <c r="K81" s="6612">
        <v>0.14177</v>
      </c>
      <c r="L81" s="6612">
        <v>5.29694</v>
      </c>
      <c r="M81" s="6612">
        <v>2.93616</v>
      </c>
      <c r="N81" s="6612">
        <v>0.14053</v>
      </c>
      <c r="O81" s="435" t="str">
        <f>FHD_NOTE_P_27</f>
        <v>Указываются расходы на текущий ремонт, отнесенные к общехозяйственным расходам.</v>
      </c>
      <c r="P81" s="1782" t="str">
        <f>IF((LEN(E81)-LEN(SUBSTITUTE(E81,".","")))/LEN(".")=1,"p","")</f>
        <v/>
      </c>
      <c r="Q81" s="1782"/>
      <c r="R81" s="1782"/>
      <c r="W81" s="1782"/>
      <c r="Z81" s="690"/>
      <c r="AF81" s="1778"/>
      <c r="AG81" s="1778"/>
      <c r="AH81" s="1778"/>
      <c r="AI81" s="1778"/>
      <c r="AJ81" s="1778"/>
      <c r="AK81" s="1306">
        <v>11</v>
      </c>
    </row>
    <row s="7180" customFormat="1" customHeight="1" ht="11.549999999999999">
      <c r="A82" s="1133"/>
      <c r="C82" s="1782"/>
      <c r="D82" s="1784"/>
      <c r="E82" s="692" t="str">
        <f>FHD_NUM_P_28</f>
        <v>2.11.2</v>
      </c>
      <c r="F82" s="1796" t="str">
        <f>FHD_P_28</f>
        <v>Расходы на капитальный ремонт</v>
      </c>
      <c r="G82" s="2021" t="s">
        <v>574</v>
      </c>
      <c r="H82" s="703"/>
      <c r="I82" s="703">
        <v>0</v>
      </c>
      <c r="J82" s="6612">
        <v>0</v>
      </c>
      <c r="K82" s="6612">
        <v>0</v>
      </c>
      <c r="L82" s="6612">
        <v>0</v>
      </c>
      <c r="M82" s="6612">
        <v>0</v>
      </c>
      <c r="N82" s="6612">
        <v>0</v>
      </c>
      <c r="O82" s="435" t="str">
        <f>FHD_NOTE_P_28</f>
        <v>Указываются расходы на капитальный ремонт, отнесенные к общехозяйственным расходам.</v>
      </c>
      <c r="P82" s="1782" t="str">
        <f>IF((LEN(E82)-LEN(SUBSTITUTE(E82,".","")))/LEN(".")=1,"p","")</f>
        <v/>
      </c>
      <c r="Q82" s="1782"/>
      <c r="R82" s="1782"/>
      <c r="W82" s="1782"/>
      <c r="Z82" s="690"/>
      <c r="AF82" s="1778"/>
      <c r="AG82" s="1778"/>
      <c r="AH82" s="1778"/>
      <c r="AI82" s="1778"/>
      <c r="AJ82" s="1778"/>
      <c r="AK82" s="1306">
        <v>11</v>
      </c>
    </row>
    <row s="7180" customFormat="1" customHeight="1" ht="23.25">
      <c r="A83" s="1133"/>
      <c r="C83" s="1782"/>
      <c r="D83" s="1784"/>
      <c r="E83" s="692" t="str">
        <f>FHD_NUM_P_29</f>
        <v>2.12</v>
      </c>
      <c r="F83" s="1670" t="str">
        <f>FHD_P_29</f>
        <v>Расходы на капитальный и текущий ремонт основных средств</v>
      </c>
      <c r="G83" s="2021" t="s">
        <v>574</v>
      </c>
      <c r="H83" s="703"/>
      <c r="I83" s="703">
        <v>32104.9964984414</v>
      </c>
      <c r="J83" s="6612">
        <v>184682.177340489</v>
      </c>
      <c r="K83" s="6612">
        <v>1899.14129560087</v>
      </c>
      <c r="L83" s="6612">
        <v>20322.41886</v>
      </c>
      <c r="M83" s="6612">
        <v>21201.9724511029</v>
      </c>
      <c r="N83" s="6612">
        <v>45.7274757201</v>
      </c>
      <c r="O83" s="43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83" s="1782" t="str">
        <f>IF((LEN(E83)-LEN(SUBSTITUTE(E83,".","")))/LEN(".")=1,"p","")</f>
        <v>p</v>
      </c>
      <c r="Q83" s="1782"/>
      <c r="R83" s="1782"/>
      <c r="W83" s="1782"/>
      <c r="Z83" s="690"/>
      <c r="AF83" s="1778"/>
      <c r="AG83" s="1778"/>
      <c r="AH83" s="1778"/>
      <c r="AI83" s="1778"/>
      <c r="AJ83" s="1778"/>
      <c r="AK83" s="1306">
        <v>11</v>
      </c>
    </row>
    <row s="7180" customFormat="1" customHeight="1" ht="48.75">
      <c r="A84" s="1133"/>
      <c r="C84" s="1782"/>
      <c r="D84" s="1784"/>
      <c r="E84" s="692" t="str">
        <f>FHD_NUM_P_30</f>
        <v>2.12.1</v>
      </c>
      <c r="F84" s="179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2021" t="s">
        <v>328</v>
      </c>
      <c r="H84" s="1795" t="s">
        <v>602</v>
      </c>
      <c r="I84" s="1795" t="s">
        <v>602</v>
      </c>
      <c r="J84" s="7454" t="s">
        <v>602</v>
      </c>
      <c r="K84" s="7454" t="s">
        <v>602</v>
      </c>
      <c r="L84" s="7454" t="s">
        <v>602</v>
      </c>
      <c r="M84" s="7454" t="s">
        <v>602</v>
      </c>
      <c r="N84" s="7454" t="s">
        <v>602</v>
      </c>
      <c r="O84" s="435" t="str">
        <f>FHD_NOTE_P_30</f>
        <v/>
      </c>
      <c r="P84" s="1782" t="str">
        <f>IF((LEN(E84)-LEN(SUBSTITUTE(E84,".","")))/LEN(".")=1,"p","")</f>
        <v/>
      </c>
      <c r="Q84" s="1782">
        <f>_xlfn.IFERROR(MATCH("есть",B_FHD_FLAG_INDEX_1,0),0)</f>
        <v>0</v>
      </c>
      <c r="R84" s="1782"/>
      <c r="W84" s="1782"/>
      <c r="Z84" s="690"/>
      <c r="AF84" s="1778"/>
      <c r="AG84" s="1778"/>
      <c r="AH84" s="1778"/>
      <c r="AI84" s="1778"/>
      <c r="AJ84" s="1778"/>
      <c r="AK84" s="1306">
        <v>11</v>
      </c>
    </row>
    <row s="7180" customFormat="1" customHeight="1" ht="14.25" hidden="1">
      <c r="A85" s="2530" t="s">
        <v>603</v>
      </c>
      <c r="C85" s="1782"/>
      <c r="D85" s="1784"/>
      <c r="E85" s="692" t="str">
        <f>FHD_NUM_P_31</f>
        <v/>
      </c>
      <c r="F85" s="1670" t="str">
        <f>FHD_P_31</f>
        <v/>
      </c>
      <c r="G85" s="2021" t="s">
        <v>574</v>
      </c>
      <c r="H85" s="703"/>
      <c r="I85" s="703"/>
      <c r="J85" s="6612"/>
      <c r="K85" s="6612"/>
      <c r="L85" s="6612"/>
      <c r="M85" s="6612"/>
      <c r="N85" s="6612"/>
      <c r="O85" s="435" t="str">
        <f>FHD_NOTE_P_31</f>
        <v/>
      </c>
      <c r="P85" s="1782" t="str">
        <f>IF((LEN(E85)-LEN(SUBSTITUTE(E85,".","")))/LEN(".")=1,"p","")</f>
        <v/>
      </c>
      <c r="Q85" s="1782"/>
      <c r="R85" s="1782"/>
      <c r="W85" s="1782"/>
      <c r="Z85" s="690"/>
      <c r="AF85" s="1778"/>
      <c r="AG85" s="1778"/>
      <c r="AH85" s="1778"/>
      <c r="AI85" s="1778"/>
      <c r="AJ85" s="1778"/>
      <c r="AK85" s="1306">
        <v>22</v>
      </c>
    </row>
    <row s="7180" customFormat="1" customHeight="1" ht="14.25" hidden="1">
      <c r="A86" s="2530"/>
      <c r="C86" s="1782"/>
      <c r="D86" s="1784"/>
      <c r="E86" s="692" t="str">
        <f>FHD_NUM_P_32</f>
        <v/>
      </c>
      <c r="F86" s="1796" t="str">
        <f>FHD_P_32</f>
        <v/>
      </c>
      <c r="G86" s="2021" t="s">
        <v>328</v>
      </c>
      <c r="H86" s="1795" t="s">
        <v>602</v>
      </c>
      <c r="I86" s="1795" t="s">
        <v>602</v>
      </c>
      <c r="J86" s="7454" t="s">
        <v>602</v>
      </c>
      <c r="K86" s="7454" t="s">
        <v>602</v>
      </c>
      <c r="L86" s="7454" t="s">
        <v>602</v>
      </c>
      <c r="M86" s="7454" t="s">
        <v>602</v>
      </c>
      <c r="N86" s="7454" t="s">
        <v>602</v>
      </c>
      <c r="O86" s="435" t="str">
        <f>FHD_NOTE_P_32</f>
        <v/>
      </c>
      <c r="P86" s="1782" t="str">
        <f>IF((LEN(E86)-LEN(SUBSTITUTE(E86,".","")))/LEN(".")=1,"p","")</f>
        <v/>
      </c>
      <c r="Q86" s="1782">
        <f>_xlfn.IFERROR(MATCH("есть",B_FHD_FLAG_INDEX_2,0),0)</f>
        <v>0</v>
      </c>
      <c r="R86" s="1782"/>
      <c r="W86" s="1782"/>
      <c r="Z86" s="690"/>
      <c r="AF86" s="1778"/>
      <c r="AG86" s="1778"/>
      <c r="AH86" s="1778"/>
      <c r="AI86" s="1778"/>
      <c r="AJ86" s="1778"/>
      <c r="AK86" s="1306">
        <v>45</v>
      </c>
    </row>
    <row s="7180" customFormat="1" customHeight="1" ht="11.549999999999999">
      <c r="A87" s="1133"/>
      <c r="C87" s="1782"/>
      <c r="D87" s="1784"/>
      <c r="E87" s="692" t="str">
        <f>FHD_NUM_P_33</f>
        <v>2.13</v>
      </c>
      <c r="F87" s="1670" t="str">
        <f>FHD_P_33</f>
        <v>Прочие расходы, которые подлежат отнесению на регулируемые виды деятельности в соответствии с законодательством Российской Федерации</v>
      </c>
      <c r="G87" s="2022" t="s">
        <v>574</v>
      </c>
      <c r="H87" s="725">
        <f>SUM(H88:H98)</f>
        <v>0</v>
      </c>
      <c r="I87" s="725">
        <f>SUM(I88:I98)</f>
        <v>33310.6469534393</v>
      </c>
      <c r="J87" s="6644">
        <f>SUM(J88:J98)</f>
        <v>240225.009641086</v>
      </c>
      <c r="K87" s="6644">
        <f>SUM(K88:K98)</f>
        <v>1241.26559</v>
      </c>
      <c r="L87" s="6644">
        <f>SUM(L88:L98)</f>
        <v>49672.8291044444</v>
      </c>
      <c r="M87" s="6644">
        <f>SUM(M88:M98)</f>
        <v>23937.0290427917</v>
      </c>
      <c r="N87" s="6644">
        <f>SUM(N88:N98)</f>
        <v>1183.03739333333</v>
      </c>
      <c r="O87" s="43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87" s="1782" t="str">
        <f>IF((LEN(E87)-LEN(SUBSTITUTE(E87,".","")))/LEN(".")=1,"p","")</f>
        <v>p</v>
      </c>
      <c r="Q87" s="1782"/>
      <c r="R87" s="1782"/>
      <c r="W87" s="1782"/>
      <c r="Z87" s="690"/>
      <c r="AF87" s="1778"/>
      <c r="AG87" s="1778"/>
      <c r="AH87" s="1778"/>
      <c r="AI87" s="1778"/>
      <c r="AJ87" s="1778"/>
      <c r="AK87" s="1306">
        <v>11</v>
      </c>
    </row>
    <row s="6720" customFormat="1" customHeight="1" ht="1.05">
      <c r="A88" s="1313"/>
      <c r="D88" s="694"/>
      <c r="E88" s="1159" t="str">
        <f>E87&amp;".0"</f>
        <v>2.13.0</v>
      </c>
      <c r="F88" s="1137"/>
      <c r="G88" s="1159"/>
      <c r="H88" s="1138"/>
      <c r="I88" s="1138"/>
      <c r="J88" s="6646"/>
      <c r="K88" s="6646"/>
      <c r="L88" s="6646"/>
      <c r="M88" s="6646"/>
      <c r="N88" s="6646"/>
      <c r="O88" s="1139"/>
      <c r="P88" s="1782" t="str">
        <f>IF((LEN(E88)-LEN(SUBSTITUTE(E88,".","")))/LEN(".")=1,"p","")</f>
        <v/>
      </c>
      <c r="AK88" s="1782">
        <v>1</v>
      </c>
    </row>
    <row s="7486" customFormat="1" customHeight="1" ht="25.5">
      <c r="A89" s="6697"/>
      <c r="B89" s="7180"/>
      <c r="C89" s="6720"/>
      <c r="D89" s="7143" t="s">
        <v>106</v>
      </c>
      <c r="E89" s="7599" t="str">
        <f>E87&amp;".1"</f>
        <v>2.13.1</v>
      </c>
      <c r="F89" s="5570" t="s">
        <v>604</v>
      </c>
      <c r="G89" s="7599" t="s">
        <v>574</v>
      </c>
      <c r="H89" s="6588"/>
      <c r="I89" s="6588">
        <v>2575.92113</v>
      </c>
      <c r="J89" s="6588">
        <v>11368.14119</v>
      </c>
      <c r="K89" s="6588">
        <v>103.8659</v>
      </c>
      <c r="L89" s="6588">
        <v>2480.05102</v>
      </c>
      <c r="M89" s="6588">
        <v>1537.37074</v>
      </c>
      <c r="N89" s="6588">
        <v>69.53196</v>
      </c>
      <c r="O89" s="6593" t="s">
        <v>577</v>
      </c>
      <c r="P89" s="6661"/>
      <c r="Q89" s="6720"/>
      <c r="R89" s="6720"/>
      <c r="S89" s="7180"/>
      <c r="T89" s="7180"/>
      <c r="U89" s="7180"/>
      <c r="V89" s="7180"/>
      <c r="W89" s="6720"/>
      <c r="X89" s="7180"/>
      <c r="Y89" s="7180"/>
      <c r="Z89" s="6698"/>
      <c r="AA89" s="7180"/>
      <c r="AB89" s="7180"/>
      <c r="AC89" s="7180"/>
      <c r="AD89" s="7180"/>
      <c r="AE89" s="7180"/>
      <c r="AF89" s="7486"/>
      <c r="AG89" s="7486"/>
      <c r="AH89" s="7486"/>
      <c r="AI89" s="7486"/>
      <c r="AJ89" s="7486"/>
      <c r="AK89" s="7180">
        <v>0</v>
      </c>
    </row>
    <row s="7486" customFormat="1" customHeight="1" ht="25.5">
      <c r="A90" s="6697"/>
      <c r="B90" s="7180"/>
      <c r="C90" s="6720"/>
      <c r="D90" s="7143" t="s">
        <v>106</v>
      </c>
      <c r="E90" s="7599" t="str">
        <f>E87&amp;".2"</f>
        <v>2.13.2</v>
      </c>
      <c r="F90" s="5570" t="s">
        <v>605</v>
      </c>
      <c r="G90" s="7599" t="s">
        <v>574</v>
      </c>
      <c r="H90" s="6588"/>
      <c r="I90" s="6588">
        <v>1.15292</v>
      </c>
      <c r="J90" s="6588">
        <v>3772.95385</v>
      </c>
      <c r="K90" s="6588">
        <v>0.0583199999999999</v>
      </c>
      <c r="L90" s="6588">
        <v>213.22142</v>
      </c>
      <c r="M90" s="6588">
        <v>1.15324</v>
      </c>
      <c r="N90" s="6588">
        <v>0.0577799999999999</v>
      </c>
      <c r="O90" s="6593" t="s">
        <v>577</v>
      </c>
      <c r="P90" s="6661"/>
      <c r="Q90" s="6720"/>
      <c r="R90" s="6720"/>
      <c r="S90" s="7180"/>
      <c r="T90" s="7180"/>
      <c r="U90" s="7180"/>
      <c r="V90" s="7180"/>
      <c r="W90" s="6720"/>
      <c r="X90" s="7180"/>
      <c r="Y90" s="7180"/>
      <c r="Z90" s="6698"/>
      <c r="AA90" s="7180"/>
      <c r="AB90" s="7180"/>
      <c r="AC90" s="7180"/>
      <c r="AD90" s="7180"/>
      <c r="AE90" s="7180"/>
      <c r="AF90" s="7486"/>
      <c r="AG90" s="7486"/>
      <c r="AH90" s="7486"/>
      <c r="AI90" s="7486"/>
      <c r="AJ90" s="7486"/>
      <c r="AK90" s="7180">
        <v>0</v>
      </c>
    </row>
    <row s="7486" customFormat="1" customHeight="1" ht="25.5">
      <c r="A91" s="6697"/>
      <c r="B91" s="7180"/>
      <c r="C91" s="6720"/>
      <c r="D91" s="7143" t="s">
        <v>106</v>
      </c>
      <c r="E91" s="7599" t="str">
        <f>E87&amp;".3"</f>
        <v>2.13.3</v>
      </c>
      <c r="F91" s="5570" t="s">
        <v>606</v>
      </c>
      <c r="G91" s="7599" t="s">
        <v>574</v>
      </c>
      <c r="H91" s="6588"/>
      <c r="I91" s="6588">
        <v>8089.60554</v>
      </c>
      <c r="J91" s="6588">
        <v>4583.24129</v>
      </c>
      <c r="K91" s="6588">
        <v>0</v>
      </c>
      <c r="L91" s="6588">
        <v>249.08129</v>
      </c>
      <c r="M91" s="6588">
        <v>32.7307</v>
      </c>
      <c r="N91" s="6588">
        <v>0</v>
      </c>
      <c r="O91" s="6593" t="s">
        <v>577</v>
      </c>
      <c r="P91" s="6661"/>
      <c r="Q91" s="6720"/>
      <c r="R91" s="6720"/>
      <c r="S91" s="7180"/>
      <c r="T91" s="7180"/>
      <c r="U91" s="7180"/>
      <c r="V91" s="7180"/>
      <c r="W91" s="6720"/>
      <c r="X91" s="7180"/>
      <c r="Y91" s="7180"/>
      <c r="Z91" s="6698"/>
      <c r="AA91" s="7180"/>
      <c r="AB91" s="7180"/>
      <c r="AC91" s="7180"/>
      <c r="AD91" s="7180"/>
      <c r="AE91" s="7180"/>
      <c r="AF91" s="7486"/>
      <c r="AG91" s="7486"/>
      <c r="AH91" s="7486"/>
      <c r="AI91" s="7486"/>
      <c r="AJ91" s="7486"/>
      <c r="AK91" s="7180">
        <v>0</v>
      </c>
    </row>
    <row s="7486" customFormat="1" customHeight="1" ht="25.5">
      <c r="A92" s="6697"/>
      <c r="B92" s="7180"/>
      <c r="C92" s="6720"/>
      <c r="D92" s="7143" t="s">
        <v>106</v>
      </c>
      <c r="E92" s="7599" t="str">
        <f>E87&amp;".4"</f>
        <v>2.13.4</v>
      </c>
      <c r="F92" s="5570" t="s">
        <v>607</v>
      </c>
      <c r="G92" s="7599" t="s">
        <v>574</v>
      </c>
      <c r="H92" s="6588"/>
      <c r="I92" s="6588">
        <v>21389.47976</v>
      </c>
      <c r="J92" s="6588">
        <v>195536.3124</v>
      </c>
      <c r="K92" s="6588">
        <v>1024.13792</v>
      </c>
      <c r="L92" s="6588">
        <v>38264.8678</v>
      </c>
      <c r="M92" s="6588">
        <v>21210.7870899999</v>
      </c>
      <c r="N92" s="6588">
        <v>1015.21639</v>
      </c>
      <c r="O92" s="6593" t="s">
        <v>577</v>
      </c>
      <c r="P92" s="6661"/>
      <c r="Q92" s="6720"/>
      <c r="R92" s="6720"/>
      <c r="S92" s="7180"/>
      <c r="T92" s="7180"/>
      <c r="U92" s="7180"/>
      <c r="V92" s="7180"/>
      <c r="W92" s="6720"/>
      <c r="X92" s="7180"/>
      <c r="Y92" s="7180"/>
      <c r="Z92" s="6698"/>
      <c r="AA92" s="7180"/>
      <c r="AB92" s="7180"/>
      <c r="AC92" s="7180"/>
      <c r="AD92" s="7180"/>
      <c r="AE92" s="7180"/>
      <c r="AF92" s="7486"/>
      <c r="AG92" s="7486"/>
      <c r="AH92" s="7486"/>
      <c r="AI92" s="7486"/>
      <c r="AJ92" s="7486"/>
      <c r="AK92" s="7180">
        <v>0</v>
      </c>
    </row>
    <row s="7486" customFormat="1" customHeight="1" ht="25.5">
      <c r="A93" s="6697"/>
      <c r="B93" s="7180"/>
      <c r="C93" s="6720"/>
      <c r="D93" s="7143" t="s">
        <v>106</v>
      </c>
      <c r="E93" s="7599" t="str">
        <f>E87&amp;".5"</f>
        <v>2.13.5</v>
      </c>
      <c r="F93" s="5570" t="s">
        <v>608</v>
      </c>
      <c r="G93" s="7599" t="s">
        <v>574</v>
      </c>
      <c r="H93" s="6588"/>
      <c r="I93" s="6588">
        <v>939.57832</v>
      </c>
      <c r="J93" s="6588">
        <v>18829.9781910865</v>
      </c>
      <c r="K93" s="6588">
        <v>37.40838</v>
      </c>
      <c r="L93" s="6588">
        <v>6459.47609444444</v>
      </c>
      <c r="M93" s="6588">
        <v>559.523593333333</v>
      </c>
      <c r="N93" s="6588">
        <v>24.8573233333333</v>
      </c>
      <c r="O93" s="6593" t="s">
        <v>577</v>
      </c>
      <c r="P93" s="6661"/>
      <c r="Q93" s="6720"/>
      <c r="R93" s="6720"/>
      <c r="S93" s="7180"/>
      <c r="T93" s="7180"/>
      <c r="U93" s="7180"/>
      <c r="V93" s="7180"/>
      <c r="W93" s="6720"/>
      <c r="X93" s="7180"/>
      <c r="Y93" s="7180"/>
      <c r="Z93" s="6698"/>
      <c r="AA93" s="7180"/>
      <c r="AB93" s="7180"/>
      <c r="AC93" s="7180"/>
      <c r="AD93" s="7180"/>
      <c r="AE93" s="7180"/>
      <c r="AF93" s="7486"/>
      <c r="AG93" s="7486"/>
      <c r="AH93" s="7486"/>
      <c r="AI93" s="7486"/>
      <c r="AJ93" s="7486"/>
      <c r="AK93" s="7180">
        <v>0</v>
      </c>
    </row>
    <row s="7486" customFormat="1" customHeight="1" ht="25.5">
      <c r="A94" s="6697"/>
      <c r="B94" s="7180"/>
      <c r="C94" s="6720"/>
      <c r="D94" s="7143" t="s">
        <v>106</v>
      </c>
      <c r="E94" s="7599" t="str">
        <f>E87&amp;".6"</f>
        <v>2.13.6</v>
      </c>
      <c r="F94" s="5570" t="s">
        <v>609</v>
      </c>
      <c r="G94" s="7599" t="s">
        <v>574</v>
      </c>
      <c r="H94" s="6588"/>
      <c r="I94" s="6588">
        <v>0.12617</v>
      </c>
      <c r="J94" s="6588">
        <v>38.07145</v>
      </c>
      <c r="K94" s="6588">
        <v>0.00638</v>
      </c>
      <c r="L94" s="6588">
        <v>10.3528</v>
      </c>
      <c r="M94" s="6588">
        <v>7.77871</v>
      </c>
      <c r="N94" s="6588">
        <v>0.3437</v>
      </c>
      <c r="O94" s="6593" t="s">
        <v>577</v>
      </c>
      <c r="P94" s="6661"/>
      <c r="Q94" s="6720"/>
      <c r="R94" s="6720"/>
      <c r="S94" s="7180"/>
      <c r="T94" s="7180"/>
      <c r="U94" s="7180"/>
      <c r="V94" s="7180"/>
      <c r="W94" s="6720"/>
      <c r="X94" s="7180"/>
      <c r="Y94" s="7180"/>
      <c r="Z94" s="6698"/>
      <c r="AA94" s="7180"/>
      <c r="AB94" s="7180"/>
      <c r="AC94" s="7180"/>
      <c r="AD94" s="7180"/>
      <c r="AE94" s="7180"/>
      <c r="AF94" s="7486"/>
      <c r="AG94" s="7486"/>
      <c r="AH94" s="7486"/>
      <c r="AI94" s="7486"/>
      <c r="AJ94" s="7486"/>
      <c r="AK94" s="7180">
        <v>0</v>
      </c>
    </row>
    <row s="7486" customFormat="1" customHeight="1" ht="25.5">
      <c r="A95" s="6697"/>
      <c r="B95" s="7180"/>
      <c r="C95" s="6720"/>
      <c r="D95" s="7143" t="s">
        <v>106</v>
      </c>
      <c r="E95" s="7599" t="str">
        <f>E87&amp;".7"</f>
        <v>2.13.7</v>
      </c>
      <c r="F95" s="5570" t="s">
        <v>610</v>
      </c>
      <c r="G95" s="7599" t="s">
        <v>574</v>
      </c>
      <c r="H95" s="6588"/>
      <c r="I95" s="6588">
        <v>0</v>
      </c>
      <c r="J95" s="6588">
        <v>0</v>
      </c>
      <c r="K95" s="6588">
        <v>0</v>
      </c>
      <c r="L95" s="6588">
        <v>0</v>
      </c>
      <c r="M95" s="6588">
        <v>0</v>
      </c>
      <c r="N95" s="6588">
        <v>0</v>
      </c>
      <c r="O95" s="6593" t="s">
        <v>577</v>
      </c>
      <c r="P95" s="6661"/>
      <c r="Q95" s="6720"/>
      <c r="R95" s="6720"/>
      <c r="S95" s="7180"/>
      <c r="T95" s="7180"/>
      <c r="U95" s="7180"/>
      <c r="V95" s="7180"/>
      <c r="W95" s="6720"/>
      <c r="X95" s="7180"/>
      <c r="Y95" s="7180"/>
      <c r="Z95" s="6698"/>
      <c r="AA95" s="7180"/>
      <c r="AB95" s="7180"/>
      <c r="AC95" s="7180"/>
      <c r="AD95" s="7180"/>
      <c r="AE95" s="7180"/>
      <c r="AF95" s="7486"/>
      <c r="AG95" s="7486"/>
      <c r="AH95" s="7486"/>
      <c r="AI95" s="7486"/>
      <c r="AJ95" s="7486"/>
      <c r="AK95" s="7180">
        <v>0</v>
      </c>
    </row>
    <row s="7486" customFormat="1" customHeight="1" ht="25.5">
      <c r="A96" s="6697"/>
      <c r="B96" s="7180"/>
      <c r="C96" s="6720"/>
      <c r="D96" s="7143" t="s">
        <v>106</v>
      </c>
      <c r="E96" s="7599" t="str">
        <f>E87&amp;".8"</f>
        <v>2.13.8</v>
      </c>
      <c r="F96" s="5570" t="s">
        <v>611</v>
      </c>
      <c r="G96" s="7599" t="s">
        <v>574</v>
      </c>
      <c r="H96" s="6588"/>
      <c r="I96" s="6588">
        <v>0</v>
      </c>
      <c r="J96" s="6588">
        <v>0</v>
      </c>
      <c r="K96" s="6588">
        <v>0</v>
      </c>
      <c r="L96" s="6588">
        <v>0</v>
      </c>
      <c r="M96" s="6588">
        <v>0</v>
      </c>
      <c r="N96" s="6588">
        <v>0</v>
      </c>
      <c r="O96" s="6593" t="s">
        <v>577</v>
      </c>
      <c r="P96" s="6661"/>
      <c r="Q96" s="6720"/>
      <c r="R96" s="6720"/>
      <c r="S96" s="7180"/>
      <c r="T96" s="7180"/>
      <c r="U96" s="7180"/>
      <c r="V96" s="7180"/>
      <c r="W96" s="6720"/>
      <c r="X96" s="7180"/>
      <c r="Y96" s="7180"/>
      <c r="Z96" s="6698"/>
      <c r="AA96" s="7180"/>
      <c r="AB96" s="7180"/>
      <c r="AC96" s="7180"/>
      <c r="AD96" s="7180"/>
      <c r="AE96" s="7180"/>
      <c r="AF96" s="7486"/>
      <c r="AG96" s="7486"/>
      <c r="AH96" s="7486"/>
      <c r="AI96" s="7486"/>
      <c r="AJ96" s="7486"/>
      <c r="AK96" s="7180">
        <v>0</v>
      </c>
    </row>
    <row s="7486" customFormat="1" customHeight="1" ht="25.5">
      <c r="A97" s="6697"/>
      <c r="B97" s="7180"/>
      <c r="C97" s="6720"/>
      <c r="D97" s="7143" t="s">
        <v>106</v>
      </c>
      <c r="E97" s="7599" t="str">
        <f>E87&amp;".9"</f>
        <v>2.13.9</v>
      </c>
      <c r="F97" s="5570" t="s">
        <v>612</v>
      </c>
      <c r="G97" s="7599" t="s">
        <v>574</v>
      </c>
      <c r="H97" s="6588"/>
      <c r="I97" s="6588">
        <v>314.78311343926</v>
      </c>
      <c r="J97" s="6588">
        <v>6096.31127</v>
      </c>
      <c r="K97" s="6588">
        <v>75.78869</v>
      </c>
      <c r="L97" s="6588">
        <v>1995.77868</v>
      </c>
      <c r="M97" s="6588">
        <v>587.684969458506</v>
      </c>
      <c r="N97" s="6588">
        <v>73.03024</v>
      </c>
      <c r="O97" s="6593" t="s">
        <v>577</v>
      </c>
      <c r="P97" s="6661"/>
      <c r="Q97" s="6720"/>
      <c r="R97" s="6720"/>
      <c r="S97" s="7180"/>
      <c r="T97" s="7180"/>
      <c r="U97" s="7180"/>
      <c r="V97" s="7180"/>
      <c r="W97" s="6720"/>
      <c r="X97" s="7180"/>
      <c r="Y97" s="7180"/>
      <c r="Z97" s="6698"/>
      <c r="AA97" s="7180"/>
      <c r="AB97" s="7180"/>
      <c r="AC97" s="7180"/>
      <c r="AD97" s="7180"/>
      <c r="AE97" s="7180"/>
      <c r="AF97" s="7486"/>
      <c r="AG97" s="7486"/>
      <c r="AH97" s="7486"/>
      <c r="AI97" s="7486"/>
      <c r="AJ97" s="7486"/>
      <c r="AK97" s="7180">
        <v>0</v>
      </c>
    </row>
    <row s="7180" customFormat="1" customHeight="1" ht="14.699999999999998">
      <c r="A98" s="1133"/>
      <c r="C98" s="1782"/>
      <c r="D98" s="1779"/>
      <c r="E98" s="716"/>
      <c r="F98" s="717" t="s">
        <v>613</v>
      </c>
      <c r="G98" s="718"/>
      <c r="H98" s="719"/>
      <c r="I98" s="719"/>
      <c r="J98" s="7992"/>
      <c r="K98" s="7993"/>
      <c r="L98" s="7994"/>
      <c r="M98" s="7995"/>
      <c r="N98" s="7996"/>
      <c r="O98" s="447"/>
      <c r="P98" s="1782"/>
      <c r="Q98" s="1782"/>
      <c r="R98" s="1782"/>
      <c r="W98" s="1782"/>
      <c r="Z98" s="690"/>
      <c r="AF98" s="1778"/>
      <c r="AG98" s="1778"/>
      <c r="AH98" s="1778"/>
      <c r="AI98" s="1778"/>
      <c r="AJ98" s="1778"/>
      <c r="AK98" s="1306">
        <v>14</v>
      </c>
    </row>
    <row s="7180" customFormat="1" customHeight="1" ht="25.5">
      <c r="A99" s="1135" t="s">
        <v>614</v>
      </c>
      <c r="C99" s="1782"/>
      <c r="D99" s="1784"/>
      <c r="E99" s="692" t="str">
        <f>FHD_NUM_P_34</f>
        <v>3</v>
      </c>
      <c r="F99" s="2023" t="str">
        <f>FHD_P_34</f>
        <v>Валовая прибыль (убытки) от реализации товаров и оказания услуг по регулируемому виду деятельности</v>
      </c>
      <c r="G99" s="2021" t="s">
        <v>574</v>
      </c>
      <c r="H99" s="703"/>
      <c r="I99" s="703">
        <f>I30-I31+I87</f>
        <v>35969.7526530103</v>
      </c>
      <c r="J99" s="6612">
        <f>J30-J31+J87</f>
        <v>1400292.01699964</v>
      </c>
      <c r="K99" s="6612">
        <f>K30-K31+K87</f>
        <v>-22216.8968559766</v>
      </c>
      <c r="L99" s="6612">
        <f>L30-L31+L87</f>
        <v>266016.498170739</v>
      </c>
      <c r="M99" s="6612">
        <f>M30-M31+M87</f>
        <v>82037.3930189657</v>
      </c>
      <c r="N99" s="6612">
        <f>N30-N31+N87</f>
        <v>-11528.8817739613</v>
      </c>
      <c r="O99" s="435" t="str">
        <f>FHD_NOTE_P_34</f>
        <v/>
      </c>
      <c r="P99" s="689"/>
      <c r="Q99" s="1782"/>
      <c r="R99" s="1782"/>
      <c r="W99" s="1782"/>
      <c r="Z99" s="690"/>
      <c r="AF99" s="1778"/>
      <c r="AG99" s="1778"/>
      <c r="AH99" s="1778"/>
      <c r="AI99" s="1778"/>
      <c r="AJ99" s="1778"/>
      <c r="AK99" s="1306">
        <v>0</v>
      </c>
    </row>
    <row s="7180" customFormat="1" customHeight="1" ht="20.25">
      <c r="A100" s="1133"/>
      <c r="C100" s="1782"/>
      <c r="D100" s="721"/>
      <c r="E100" s="692" t="str">
        <f>FHD_NUM_P_35</f>
        <v>4</v>
      </c>
      <c r="F100" s="2023" t="str">
        <f>FHD_P_35</f>
        <v>Чистая прибыль, полученная от регулируемого вида деятельности, в том числе:</v>
      </c>
      <c r="G100" s="2021" t="s">
        <v>574</v>
      </c>
      <c r="H100" s="703"/>
      <c r="I100" s="703">
        <f>I30-I31</f>
        <v>2659.10569957102</v>
      </c>
      <c r="J100" s="6612">
        <f>J30-J31</f>
        <v>1160067.00735855</v>
      </c>
      <c r="K100" s="6612">
        <f>K30-K31</f>
        <v>-23458.1624459766</v>
      </c>
      <c r="L100" s="6612">
        <f>L30-L31</f>
        <v>216343.669066295</v>
      </c>
      <c r="M100" s="6612">
        <f>M30-M31</f>
        <v>58100.363976174</v>
      </c>
      <c r="N100" s="6612">
        <f>N30-N31</f>
        <v>-12711.9191672946</v>
      </c>
      <c r="O100" s="435" t="str">
        <f>FHD_NOTE_P_35</f>
        <v>Указывается общая сумма чистой прибыли, полученной от регулируемого вида деятельности.</v>
      </c>
      <c r="P100" s="689"/>
      <c r="Q100" s="1782"/>
      <c r="R100" s="1782"/>
      <c r="W100" s="1782"/>
      <c r="Z100" s="690"/>
      <c r="AF100" s="1778"/>
      <c r="AG100" s="1778"/>
      <c r="AH100" s="1778"/>
      <c r="AI100" s="1778"/>
      <c r="AJ100" s="1778"/>
      <c r="AK100" s="1306">
        <v>19</v>
      </c>
    </row>
    <row s="7180" customFormat="1" customHeight="1" ht="48.75">
      <c r="A101" s="1133"/>
      <c r="C101" s="1782"/>
      <c r="D101" s="1784"/>
      <c r="E101" s="692" t="str">
        <f>FHD_NUM_P_36</f>
        <v>4.1</v>
      </c>
      <c r="F101" s="1670" t="str">
        <f>FHD_P_36</f>
        <v>Размер расходования чистой прибыли на финансирование мероприятий, предусмотренных инвестиционной программой регулируемой организации</v>
      </c>
      <c r="G101" s="2021" t="s">
        <v>574</v>
      </c>
      <c r="H101" s="703"/>
      <c r="I101" s="703">
        <v>0</v>
      </c>
      <c r="J101" s="6612">
        <f>'ИП. Детализация'!AE522</f>
        <v>15039</v>
      </c>
      <c r="K101" s="6612">
        <v>0</v>
      </c>
      <c r="L101" s="6612">
        <f>'ИП. Детализация'!AE153</f>
        <v>10205</v>
      </c>
      <c r="M101" s="6612">
        <v>0</v>
      </c>
      <c r="N101" s="6612">
        <v>0</v>
      </c>
      <c r="O101" s="435" t="str">
        <f>FHD_NOTE_P_36</f>
        <v/>
      </c>
      <c r="P101" s="689"/>
      <c r="Q101" s="1782"/>
      <c r="R101" s="1782"/>
      <c r="W101" s="1782"/>
      <c r="Z101" s="690"/>
      <c r="AF101" s="1778"/>
      <c r="AG101" s="1778"/>
      <c r="AH101" s="1778"/>
      <c r="AI101" s="1778"/>
      <c r="AJ101" s="1778"/>
      <c r="AK101" s="1306">
        <v>19</v>
      </c>
    </row>
    <row s="7180" customFormat="1" customHeight="1" ht="20.25">
      <c r="A102" s="1133"/>
      <c r="C102" s="1782"/>
      <c r="D102" s="1784"/>
      <c r="E102" s="692" t="str">
        <f>FHD_NUM_P_37</f>
        <v>5</v>
      </c>
      <c r="F102" s="2023" t="str">
        <f>FHD_P_37</f>
        <v>Изменение стоимости основных фондов, в том числе:</v>
      </c>
      <c r="G102" s="2021" t="s">
        <v>574</v>
      </c>
      <c r="H102" s="703"/>
      <c r="I102" s="703">
        <v>49336.8897685718</v>
      </c>
      <c r="J102" s="6612">
        <v>633176.57788162</v>
      </c>
      <c r="K102" s="6612">
        <v>0</v>
      </c>
      <c r="L102" s="6612">
        <v>510288.748318005</v>
      </c>
      <c r="M102" s="6612">
        <v>38621.9895195454</v>
      </c>
      <c r="N102" s="6612">
        <v>0</v>
      </c>
      <c r="O102" s="435" t="str">
        <f>FHD_NOTE_P_37</f>
        <v>Указывается общее изменение стоимости основных фондов.</v>
      </c>
      <c r="P102" s="689"/>
      <c r="Q102" s="1782"/>
      <c r="R102" s="1782"/>
      <c r="W102" s="1782"/>
      <c r="Z102" s="690"/>
      <c r="AF102" s="1778"/>
      <c r="AG102" s="1778"/>
      <c r="AH102" s="1778"/>
      <c r="AI102" s="1778"/>
      <c r="AJ102" s="1778"/>
      <c r="AK102" s="1306">
        <v>19</v>
      </c>
    </row>
    <row s="7180" customFormat="1" customHeight="1" ht="20.25">
      <c r="A103" s="1133"/>
      <c r="C103" s="1782"/>
      <c r="D103" s="1784"/>
      <c r="E103" s="692" t="str">
        <f>FHD_NUM_P_38</f>
        <v>5.1</v>
      </c>
      <c r="F103" s="1670" t="str">
        <f>FHD_P_38</f>
        <v>Изменение стоимости основных фондов за счет:</v>
      </c>
      <c r="G103" s="2021" t="s">
        <v>574</v>
      </c>
      <c r="H103" s="703"/>
      <c r="I103" s="703">
        <v>49336.8897685718</v>
      </c>
      <c r="J103" s="6612">
        <v>633176.57788162</v>
      </c>
      <c r="K103" s="6612">
        <v>0</v>
      </c>
      <c r="L103" s="6612">
        <v>510288.748318005</v>
      </c>
      <c r="M103" s="6612">
        <v>38621.9895195454</v>
      </c>
      <c r="N103" s="6612">
        <v>0</v>
      </c>
      <c r="O103" s="435" t="str">
        <f>FHD_NOTE_P_38</f>
        <v>Указываются общее изменение стоимости основных фондов за счет их ввода в эксплуатацию и вывода из эксплуатации.</v>
      </c>
      <c r="P103" s="689"/>
      <c r="Q103" s="1782"/>
      <c r="R103" s="1782"/>
      <c r="W103" s="1782"/>
      <c r="Z103" s="690"/>
      <c r="AF103" s="1778"/>
      <c r="AG103" s="1778"/>
      <c r="AH103" s="1778"/>
      <c r="AI103" s="1778"/>
      <c r="AJ103" s="1778"/>
      <c r="AK103" s="1306">
        <v>19</v>
      </c>
    </row>
    <row s="7180" customFormat="1" customHeight="1" ht="20.25">
      <c r="A104" s="1133"/>
      <c r="C104" s="1782"/>
      <c r="D104" s="1784"/>
      <c r="E104" s="692" t="str">
        <f>FHD_NUM_P_39</f>
        <v>5.1.1</v>
      </c>
      <c r="F104" s="1796" t="str">
        <f>FHD_P_39</f>
        <v>Изменения стоимости основных фондов за счет их ввода в эксплуатацию</v>
      </c>
      <c r="G104" s="2215" t="s">
        <v>574</v>
      </c>
      <c r="H104" s="703"/>
      <c r="I104" s="703">
        <v>49354.78</v>
      </c>
      <c r="J104" s="6612">
        <v>635093.64</v>
      </c>
      <c r="K104" s="6612">
        <v>0</v>
      </c>
      <c r="L104" s="6612">
        <v>510703.74</v>
      </c>
      <c r="M104" s="6612">
        <v>38639.73</v>
      </c>
      <c r="N104" s="6612">
        <v>0</v>
      </c>
      <c r="O104" s="435" t="str">
        <f>FHD_NOTE_P_39</f>
        <v>Указываются изменение стоимости основных фондов за счет их ввода в эксплуатацию.</v>
      </c>
      <c r="P104" s="689"/>
      <c r="Q104" s="1782"/>
      <c r="R104" s="1782"/>
      <c r="W104" s="1782"/>
      <c r="Z104" s="690"/>
      <c r="AF104" s="1778"/>
      <c r="AG104" s="1778"/>
      <c r="AH104" s="1778"/>
      <c r="AI104" s="1778"/>
      <c r="AJ104" s="1778"/>
      <c r="AK104" s="1306">
        <v>19</v>
      </c>
    </row>
    <row s="7180" customFormat="1" customHeight="1" ht="20.25">
      <c r="A105" s="1133"/>
      <c r="C105" s="1782"/>
      <c r="D105" s="1784"/>
      <c r="E105" s="692" t="str">
        <f>FHD_NUM_P_40</f>
        <v>5.1.2</v>
      </c>
      <c r="F105" s="2219" t="str">
        <f>FHD_P_40</f>
        <v>Изменения стоимости основных фондов за счет их вывода в эксплуатацию</v>
      </c>
      <c r="G105" s="2214" t="s">
        <v>574</v>
      </c>
      <c r="H105" s="1122"/>
      <c r="I105" s="703">
        <v>-17.8902314282</v>
      </c>
      <c r="J105" s="6651">
        <v>-1917.0621183798</v>
      </c>
      <c r="K105" s="6651">
        <v>0</v>
      </c>
      <c r="L105" s="6651">
        <v>-414.9916819954</v>
      </c>
      <c r="M105" s="6651">
        <v>-17.7404804546</v>
      </c>
      <c r="N105" s="6651">
        <v>0</v>
      </c>
      <c r="O105" s="435" t="str">
        <f>FHD_NOTE_P_40</f>
        <v>Указываются изменение стоимости основных фондов за счет их вывода из эксплуатации.</v>
      </c>
      <c r="P105" s="689"/>
      <c r="Q105" s="1782"/>
      <c r="R105" s="1782"/>
      <c r="W105" s="1782"/>
      <c r="Z105" s="690"/>
      <c r="AF105" s="1778"/>
      <c r="AG105" s="1778"/>
      <c r="AH105" s="1778"/>
      <c r="AI105" s="1778"/>
      <c r="AJ105" s="1778"/>
      <c r="AK105" s="1306">
        <v>19</v>
      </c>
    </row>
    <row s="7180" customFormat="1" customHeight="1" ht="19.95">
      <c r="A106" s="1133"/>
      <c r="C106" s="1782"/>
      <c r="D106" s="1784"/>
      <c r="E106" s="692" t="str">
        <f>FHD_NUM_P_41</f>
        <v>5.2</v>
      </c>
      <c r="F106" s="2218" t="str">
        <f>FHD_P_41</f>
        <v>Изменение стоимости основных фондов за счет их переоценки</v>
      </c>
      <c r="G106" s="2214" t="s">
        <v>574</v>
      </c>
      <c r="H106" s="1122"/>
      <c r="I106" s="703">
        <v>0</v>
      </c>
      <c r="J106" s="6651">
        <v>0</v>
      </c>
      <c r="K106" s="6651">
        <v>0</v>
      </c>
      <c r="L106" s="6651">
        <v>0</v>
      </c>
      <c r="M106" s="6651">
        <v>0</v>
      </c>
      <c r="N106" s="6651">
        <v>0</v>
      </c>
      <c r="O106" s="435" t="str">
        <f>FHD_NOTE_P_41</f>
        <v/>
      </c>
      <c r="P106" s="689"/>
      <c r="Q106" s="1782"/>
      <c r="R106" s="1782"/>
      <c r="W106" s="1782"/>
      <c r="Z106" s="690"/>
      <c r="AF106" s="1778"/>
      <c r="AG106" s="1778"/>
      <c r="AH106" s="1778"/>
      <c r="AI106" s="1778"/>
      <c r="AJ106" s="1778"/>
      <c r="AK106" s="1306">
        <v>19</v>
      </c>
    </row>
    <row s="7180" customFormat="1" customHeight="1" ht="14.25" hidden="1">
      <c r="A107" s="1135" t="s">
        <v>615</v>
      </c>
      <c r="C107" s="1782" t="s">
        <v>22</v>
      </c>
      <c r="D107" s="1784"/>
      <c r="E107" s="692" t="str">
        <f>FHD_NUM_P_42</f>
        <v/>
      </c>
      <c r="F107" s="2216" t="str">
        <f>FHD_P_42</f>
        <v/>
      </c>
      <c r="G107" s="2214" t="s">
        <v>574</v>
      </c>
      <c r="H107" s="1122"/>
      <c r="I107" s="703"/>
      <c r="J107" s="6651"/>
      <c r="K107" s="6651"/>
      <c r="L107" s="6651"/>
      <c r="M107" s="6651"/>
      <c r="N107" s="6651"/>
      <c r="O107" s="435" t="str">
        <f>FHD_NOTE_P_42</f>
        <v/>
      </c>
      <c r="P107" s="689"/>
      <c r="Q107" s="1782"/>
      <c r="R107" s="1782"/>
      <c r="W107" s="1782"/>
      <c r="Z107" s="690"/>
      <c r="AF107" s="1778"/>
      <c r="AG107" s="1778"/>
      <c r="AH107" s="1778"/>
      <c r="AI107" s="1778"/>
      <c r="AJ107" s="1778"/>
      <c r="AK107" s="1306">
        <v>19</v>
      </c>
    </row>
    <row s="7180" customFormat="1" customHeight="1" ht="36">
      <c r="A108" s="1133"/>
      <c r="C108" s="1782" t="s">
        <v>616</v>
      </c>
      <c r="D108" s="1784"/>
      <c r="E108" s="692" t="str">
        <f>FHD_NUM_P_43</f>
        <v>6</v>
      </c>
      <c r="F108" s="2023" t="str">
        <f>FHD_P_43</f>
        <v>Годовая бухгалтерская (финансовая) отчетность, включая бухгалтерский баланс и приложения к нему</v>
      </c>
      <c r="G108" s="2217" t="s">
        <v>328</v>
      </c>
      <c r="H108" s="7997"/>
      <c r="I108" s="8660" t="s">
        <v>617</v>
      </c>
      <c r="J108" s="8661" t="s">
        <v>617</v>
      </c>
      <c r="K108" s="8661" t="s">
        <v>617</v>
      </c>
      <c r="L108" s="8661" t="s">
        <v>617</v>
      </c>
      <c r="M108" s="8661" t="s">
        <v>617</v>
      </c>
      <c r="N108" s="8661" t="s">
        <v>617</v>
      </c>
      <c r="O108" s="435"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108" s="689"/>
      <c r="Q108" s="1782"/>
      <c r="R108" s="1782"/>
      <c r="W108" s="1782"/>
      <c r="Z108" s="690"/>
      <c r="AF108" s="1778"/>
      <c r="AG108" s="1778"/>
      <c r="AH108" s="1778"/>
      <c r="AI108" s="1778"/>
      <c r="AJ108" s="1778"/>
      <c r="AK108" s="1306">
        <v>19</v>
      </c>
    </row>
    <row s="7180" customFormat="1" customHeight="1" ht="14.25" hidden="1">
      <c r="A109" s="2530" t="s">
        <v>618</v>
      </c>
      <c r="C109" s="881"/>
      <c r="D109" s="879"/>
      <c r="E109" s="692" t="str">
        <f>FHD_NUM_P_44</f>
        <v/>
      </c>
      <c r="F109" s="2023" t="str">
        <f>FHD_P_44</f>
        <v/>
      </c>
      <c r="G109" s="2024" t="s">
        <v>619</v>
      </c>
      <c r="H109" s="1123"/>
      <c r="I109" s="723"/>
      <c r="J109" s="6660"/>
      <c r="K109" s="6660"/>
      <c r="L109" s="6660"/>
      <c r="M109" s="6660"/>
      <c r="N109" s="6660"/>
      <c r="O109" s="435" t="str">
        <f>FHD_NOTE_P_44</f>
        <v/>
      </c>
      <c r="P109" s="880"/>
      <c r="Q109" s="881"/>
      <c r="R109" s="881"/>
      <c r="W109" s="881"/>
      <c r="Z109" s="882"/>
      <c r="AF109" s="883"/>
      <c r="AG109" s="883"/>
      <c r="AH109" s="883"/>
      <c r="AI109" s="883"/>
      <c r="AJ109" s="883"/>
      <c r="AK109" s="1056">
        <v>0</v>
      </c>
    </row>
    <row s="7180" customFormat="1" customHeight="1" ht="14.25" hidden="1">
      <c r="A110" s="2530"/>
      <c r="C110" s="881"/>
      <c r="D110" s="879"/>
      <c r="E110" s="692" t="str">
        <f>FHD_NUM_P_45</f>
        <v/>
      </c>
      <c r="F110" s="2023" t="str">
        <f>FHD_P_45</f>
        <v/>
      </c>
      <c r="G110" s="2024" t="s">
        <v>619</v>
      </c>
      <c r="H110" s="1123"/>
      <c r="I110" s="723"/>
      <c r="J110" s="6660"/>
      <c r="K110" s="6660"/>
      <c r="L110" s="6660"/>
      <c r="M110" s="6660"/>
      <c r="N110" s="6660"/>
      <c r="O110" s="435" t="str">
        <f>FHD_NOTE_P_45</f>
        <v/>
      </c>
      <c r="P110" s="880"/>
      <c r="Q110" s="881"/>
      <c r="R110" s="881"/>
      <c r="W110" s="881"/>
      <c r="Z110" s="882"/>
      <c r="AF110" s="883"/>
      <c r="AG110" s="883"/>
      <c r="AH110" s="883"/>
      <c r="AI110" s="883"/>
      <c r="AJ110" s="883"/>
      <c r="AK110" s="1056">
        <v>0</v>
      </c>
    </row>
    <row s="7180" customFormat="1" customHeight="1" ht="14.25" hidden="1">
      <c r="A111" s="2530"/>
      <c r="C111" s="881"/>
      <c r="D111" s="884"/>
      <c r="E111" s="692" t="str">
        <f>FHD_NUM_P_46</f>
        <v/>
      </c>
      <c r="F111" s="2023" t="str">
        <f>FHD_P_46</f>
        <v/>
      </c>
      <c r="G111" s="2024" t="s">
        <v>619</v>
      </c>
      <c r="H111" s="1123"/>
      <c r="I111" s="723"/>
      <c r="J111" s="6660"/>
      <c r="K111" s="6660"/>
      <c r="L111" s="6660"/>
      <c r="M111" s="6660"/>
      <c r="N111" s="6660"/>
      <c r="O111" s="435" t="str">
        <f>FHD_NOTE_P_46</f>
        <v/>
      </c>
      <c r="P111" s="880"/>
      <c r="Q111" s="881"/>
      <c r="R111" s="881"/>
      <c r="W111" s="881"/>
      <c r="Z111" s="882"/>
      <c r="AF111" s="883"/>
      <c r="AG111" s="883"/>
      <c r="AH111" s="883"/>
      <c r="AI111" s="883"/>
      <c r="AJ111" s="883"/>
      <c r="AK111" s="1056">
        <v>0</v>
      </c>
    </row>
    <row s="7180" customFormat="1" customHeight="1" ht="14.25" hidden="1">
      <c r="A112" s="2530"/>
      <c r="C112" s="881"/>
      <c r="D112" s="879"/>
      <c r="E112" s="692" t="str">
        <f>FHD_NUM_P_47</f>
        <v/>
      </c>
      <c r="F112" s="2023" t="str">
        <f>FHD_P_47</f>
        <v/>
      </c>
      <c r="G112" s="2024" t="s">
        <v>619</v>
      </c>
      <c r="H112" s="1123"/>
      <c r="I112" s="723"/>
      <c r="J112" s="6660"/>
      <c r="K112" s="6660"/>
      <c r="L112" s="6660"/>
      <c r="M112" s="6660"/>
      <c r="N112" s="6660"/>
      <c r="O112" s="435" t="str">
        <f>FHD_NOTE_P_47</f>
        <v/>
      </c>
      <c r="P112" s="880"/>
      <c r="Q112" s="881"/>
      <c r="R112" s="881"/>
      <c r="W112" s="881"/>
      <c r="Z112" s="882"/>
      <c r="AF112" s="883"/>
      <c r="AG112" s="883"/>
      <c r="AH112" s="883"/>
      <c r="AI112" s="883"/>
      <c r="AJ112" s="883"/>
      <c r="AK112" s="1056">
        <v>0</v>
      </c>
    </row>
    <row s="7235" customFormat="1" customHeight="1" ht="14.25" hidden="1">
      <c r="A113" s="2530"/>
      <c r="B113" s="1056"/>
      <c r="C113" s="881"/>
      <c r="D113" s="879"/>
      <c r="E113" s="692" t="str">
        <f>FHD_NUM_P_48</f>
        <v/>
      </c>
      <c r="F113" s="2023" t="str">
        <f>FHD_P_48</f>
        <v/>
      </c>
      <c r="G113" s="2024" t="s">
        <v>619</v>
      </c>
      <c r="H113" s="1123"/>
      <c r="I113" s="723"/>
      <c r="J113" s="6660"/>
      <c r="K113" s="6660"/>
      <c r="L113" s="6660"/>
      <c r="M113" s="6660"/>
      <c r="N113" s="6660"/>
      <c r="O113" s="435" t="str">
        <f>FHD_NOTE_P_48</f>
        <v/>
      </c>
      <c r="P113" s="880"/>
      <c r="Q113" s="881"/>
      <c r="R113" s="881"/>
      <c r="S113" s="1056"/>
      <c r="T113" s="1056"/>
      <c r="U113" s="1056"/>
      <c r="V113" s="1056"/>
      <c r="W113" s="881"/>
      <c r="X113" s="1056"/>
      <c r="Y113" s="1056"/>
      <c r="Z113" s="882"/>
      <c r="AA113" s="1056"/>
      <c r="AB113" s="1056"/>
      <c r="AC113" s="1056"/>
      <c r="AD113" s="1056"/>
      <c r="AE113" s="1056"/>
      <c r="AF113" s="883"/>
      <c r="AG113" s="883"/>
      <c r="AH113" s="883"/>
      <c r="AI113" s="883"/>
      <c r="AJ113" s="883"/>
      <c r="AK113" s="885">
        <v>0</v>
      </c>
    </row>
    <row s="7235" customFormat="1" customHeight="1" ht="14.25" hidden="1">
      <c r="A114" s="2530"/>
      <c r="B114" s="1056"/>
      <c r="C114" s="881"/>
      <c r="D114" s="879"/>
      <c r="E114" s="692" t="str">
        <f>FHD_NUM_P_49</f>
        <v/>
      </c>
      <c r="F114" s="2023" t="str">
        <f>FHD_P_49</f>
        <v/>
      </c>
      <c r="G114" s="2024" t="s">
        <v>619</v>
      </c>
      <c r="H114" s="1124">
        <f>SUM(H115:H116)</f>
        <v>0</v>
      </c>
      <c r="I114" s="895">
        <f>SUM(I115:I116)</f>
        <v>0</v>
      </c>
      <c r="J114" s="6667">
        <f>SUM(J115:J116)</f>
        <v>0</v>
      </c>
      <c r="K114" s="6667">
        <f>SUM(K115:K116)</f>
        <v>0</v>
      </c>
      <c r="L114" s="6667">
        <f>SUM(L115:L116)</f>
        <v>0</v>
      </c>
      <c r="M114" s="6667">
        <f>SUM(M115:M116)</f>
        <v>0</v>
      </c>
      <c r="N114" s="6667">
        <f>SUM(N115:N116)</f>
        <v>0</v>
      </c>
      <c r="O114" s="435" t="str">
        <f>FHD_NOTE_P_49</f>
        <v/>
      </c>
      <c r="P114" s="880"/>
      <c r="Q114" s="881"/>
      <c r="R114" s="881"/>
      <c r="S114" s="1056"/>
      <c r="T114" s="1056"/>
      <c r="U114" s="1056"/>
      <c r="V114" s="1056"/>
      <c r="W114" s="881"/>
      <c r="X114" s="1056"/>
      <c r="Y114" s="1056"/>
      <c r="Z114" s="882"/>
      <c r="AA114" s="1056"/>
      <c r="AB114" s="1056"/>
      <c r="AC114" s="1056"/>
      <c r="AD114" s="1056"/>
      <c r="AE114" s="1056"/>
      <c r="AF114" s="883"/>
      <c r="AG114" s="883"/>
      <c r="AH114" s="883"/>
      <c r="AI114" s="883"/>
      <c r="AJ114" s="883"/>
      <c r="AK114" s="885">
        <v>0</v>
      </c>
    </row>
    <row s="7235" customFormat="1" customHeight="1" ht="14.25" hidden="1">
      <c r="A115" s="2530"/>
      <c r="B115" s="1056"/>
      <c r="C115" s="881"/>
      <c r="D115" s="879"/>
      <c r="E115" s="692" t="str">
        <f>FHD_NUM_P_50</f>
        <v/>
      </c>
      <c r="F115" s="2023" t="str">
        <f>FHD_P_50</f>
        <v/>
      </c>
      <c r="G115" s="2024" t="s">
        <v>619</v>
      </c>
      <c r="H115" s="1123"/>
      <c r="I115" s="723"/>
      <c r="J115" s="6660"/>
      <c r="K115" s="6660"/>
      <c r="L115" s="6660"/>
      <c r="M115" s="6660"/>
      <c r="N115" s="6660"/>
      <c r="O115" s="435" t="str">
        <f>FHD_NOTE_P_50</f>
        <v/>
      </c>
      <c r="P115" s="880"/>
      <c r="Q115" s="881"/>
      <c r="R115" s="881"/>
      <c r="S115" s="1056"/>
      <c r="T115" s="1056"/>
      <c r="U115" s="1056"/>
      <c r="V115" s="1056"/>
      <c r="W115" s="881"/>
      <c r="X115" s="1056"/>
      <c r="Y115" s="1056"/>
      <c r="Z115" s="882"/>
      <c r="AA115" s="1056"/>
      <c r="AB115" s="1056"/>
      <c r="AC115" s="1056"/>
      <c r="AD115" s="1056"/>
      <c r="AE115" s="1056"/>
      <c r="AF115" s="883"/>
      <c r="AG115" s="883"/>
      <c r="AH115" s="883"/>
      <c r="AI115" s="883"/>
      <c r="AJ115" s="883"/>
      <c r="AK115" s="885">
        <v>0</v>
      </c>
    </row>
    <row s="7235" customFormat="1" customHeight="1" ht="14.25" hidden="1">
      <c r="A116" s="2530"/>
      <c r="B116" s="1056"/>
      <c r="C116" s="881"/>
      <c r="D116" s="879"/>
      <c r="E116" s="692" t="str">
        <f>FHD_NUM_P_51</f>
        <v/>
      </c>
      <c r="F116" s="2023" t="str">
        <f>FHD_P_51</f>
        <v/>
      </c>
      <c r="G116" s="2024" t="s">
        <v>619</v>
      </c>
      <c r="H116" s="1123"/>
      <c r="I116" s="723"/>
      <c r="J116" s="6660"/>
      <c r="K116" s="6660"/>
      <c r="L116" s="6660"/>
      <c r="M116" s="6660"/>
      <c r="N116" s="6660"/>
      <c r="O116" s="435" t="str">
        <f>FHD_NOTE_P_51</f>
        <v/>
      </c>
      <c r="P116" s="880"/>
      <c r="Q116" s="881"/>
      <c r="R116" s="881"/>
      <c r="S116" s="1056"/>
      <c r="T116" s="1056"/>
      <c r="U116" s="1056"/>
      <c r="V116" s="1056"/>
      <c r="W116" s="881"/>
      <c r="X116" s="1056"/>
      <c r="Y116" s="1056"/>
      <c r="Z116" s="882"/>
      <c r="AA116" s="1056"/>
      <c r="AB116" s="1056"/>
      <c r="AC116" s="1056"/>
      <c r="AD116" s="1056"/>
      <c r="AE116" s="1056"/>
      <c r="AF116" s="883"/>
      <c r="AG116" s="883"/>
      <c r="AH116" s="883"/>
      <c r="AI116" s="883"/>
      <c r="AJ116" s="883"/>
      <c r="AK116" s="885">
        <v>0</v>
      </c>
    </row>
    <row s="7235" customFormat="1" customHeight="1" ht="14.25" hidden="1">
      <c r="A117" s="2530"/>
      <c r="B117" s="1056"/>
      <c r="C117" s="881"/>
      <c r="D117" s="879"/>
      <c r="E117" s="692" t="str">
        <f>FHD_NUM_P_52</f>
        <v/>
      </c>
      <c r="F117" s="2023" t="str">
        <f>FHD_P_52</f>
        <v/>
      </c>
      <c r="G117" s="2024" t="s">
        <v>580</v>
      </c>
      <c r="H117" s="1122"/>
      <c r="I117" s="703"/>
      <c r="J117" s="6651"/>
      <c r="K117" s="6651"/>
      <c r="L117" s="6651"/>
      <c r="M117" s="6651"/>
      <c r="N117" s="6651"/>
      <c r="O117" s="435" t="str">
        <f>FHD_NOTE_P_52</f>
        <v/>
      </c>
      <c r="P117" s="880"/>
      <c r="Q117" s="881"/>
      <c r="R117" s="881"/>
      <c r="S117" s="1056"/>
      <c r="T117" s="1056"/>
      <c r="U117" s="1056"/>
      <c r="V117" s="1056"/>
      <c r="W117" s="881"/>
      <c r="X117" s="1056"/>
      <c r="Y117" s="1056"/>
      <c r="Z117" s="882"/>
      <c r="AA117" s="1056"/>
      <c r="AB117" s="1056"/>
      <c r="AC117" s="1056"/>
      <c r="AD117" s="1056"/>
      <c r="AE117" s="1056"/>
      <c r="AF117" s="883"/>
      <c r="AG117" s="883"/>
      <c r="AH117" s="883"/>
      <c r="AI117" s="883"/>
      <c r="AJ117" s="883"/>
      <c r="AK117" s="885">
        <v>0</v>
      </c>
    </row>
    <row s="7180" customFormat="1" customHeight="1" ht="14.25" hidden="1">
      <c r="A118" s="2532" t="s">
        <v>620</v>
      </c>
      <c r="C118" s="881"/>
      <c r="D118" s="879"/>
      <c r="E118" s="692" t="str">
        <f>FHD_NUM_P_53</f>
        <v/>
      </c>
      <c r="F118" s="2023" t="str">
        <f>FHD_P_53</f>
        <v/>
      </c>
      <c r="G118" s="2024" t="s">
        <v>619</v>
      </c>
      <c r="H118" s="1123"/>
      <c r="I118" s="723"/>
      <c r="J118" s="6660"/>
      <c r="K118" s="6660"/>
      <c r="L118" s="6660"/>
      <c r="M118" s="6660"/>
      <c r="N118" s="6660"/>
      <c r="O118" s="435" t="str">
        <f>FHD_NOTE_P_53</f>
        <v/>
      </c>
      <c r="P118" s="880"/>
      <c r="Q118" s="881"/>
      <c r="R118" s="881"/>
      <c r="W118" s="881"/>
      <c r="Z118" s="882"/>
      <c r="AF118" s="883"/>
      <c r="AG118" s="883"/>
      <c r="AH118" s="883"/>
      <c r="AI118" s="883"/>
      <c r="AJ118" s="883"/>
      <c r="AK118" s="1056">
        <v>0</v>
      </c>
    </row>
    <row s="7180" customFormat="1" customHeight="1" ht="14.25" hidden="1">
      <c r="A119" s="2532"/>
      <c r="C119" s="881"/>
      <c r="D119" s="879"/>
      <c r="E119" s="692" t="str">
        <f>FHD_NUM_P_54</f>
        <v/>
      </c>
      <c r="F119" s="2023" t="str">
        <f>FHD_P_54</f>
        <v/>
      </c>
      <c r="G119" s="2024" t="s">
        <v>619</v>
      </c>
      <c r="H119" s="1123"/>
      <c r="I119" s="723"/>
      <c r="J119" s="6660"/>
      <c r="K119" s="6660"/>
      <c r="L119" s="6660"/>
      <c r="M119" s="6660"/>
      <c r="N119" s="6660"/>
      <c r="O119" s="435" t="str">
        <f>FHD_NOTE_P_54</f>
        <v/>
      </c>
      <c r="P119" s="880"/>
      <c r="Q119" s="881"/>
      <c r="R119" s="881"/>
      <c r="W119" s="881"/>
      <c r="Z119" s="882"/>
      <c r="AF119" s="883"/>
      <c r="AG119" s="883"/>
      <c r="AH119" s="883"/>
      <c r="AI119" s="883"/>
      <c r="AJ119" s="883"/>
      <c r="AK119" s="1056">
        <v>0</v>
      </c>
    </row>
    <row s="7180" customFormat="1" customHeight="1" ht="11.25" hidden="1">
      <c r="A120" s="2532"/>
      <c r="C120" s="881"/>
      <c r="D120" s="884"/>
      <c r="E120" s="692" t="str">
        <f>FHD_NUM_P_55</f>
        <v/>
      </c>
      <c r="F120" s="2023" t="str">
        <f>FHD_P_55</f>
        <v/>
      </c>
      <c r="G120" s="2027"/>
      <c r="H120" s="1123"/>
      <c r="I120" s="723"/>
      <c r="J120" s="6660"/>
      <c r="K120" s="6660"/>
      <c r="L120" s="6660"/>
      <c r="M120" s="6660"/>
      <c r="N120" s="6660"/>
      <c r="O120" s="435" t="str">
        <f>FHD_NOTE_P_55</f>
        <v/>
      </c>
      <c r="P120" s="880"/>
      <c r="Q120" s="881"/>
      <c r="R120" s="881"/>
      <c r="W120" s="881"/>
      <c r="Z120" s="882"/>
      <c r="AF120" s="883"/>
      <c r="AG120" s="883"/>
      <c r="AH120" s="883"/>
      <c r="AI120" s="883"/>
      <c r="AJ120" s="883"/>
      <c r="AK120" s="1056">
        <v>0</v>
      </c>
    </row>
    <row s="7180" customFormat="1" customHeight="1" ht="14.25" hidden="1">
      <c r="A121" s="2532"/>
      <c r="C121" s="881"/>
      <c r="D121" s="879"/>
      <c r="E121" s="692" t="str">
        <f>FHD_NUM_P_56</f>
        <v/>
      </c>
      <c r="F121" s="2023" t="str">
        <f>FHD_P_56</f>
        <v/>
      </c>
      <c r="G121" s="2024" t="s">
        <v>621</v>
      </c>
      <c r="H121" s="1123"/>
      <c r="I121" s="723"/>
      <c r="J121" s="6660"/>
      <c r="K121" s="6660"/>
      <c r="L121" s="6660"/>
      <c r="M121" s="6660"/>
      <c r="N121" s="6660"/>
      <c r="O121" s="435" t="str">
        <f>FHD_NOTE_P_56</f>
        <v/>
      </c>
      <c r="P121" s="880"/>
      <c r="Q121" s="881"/>
      <c r="R121" s="881"/>
      <c r="W121" s="881"/>
      <c r="Z121" s="882"/>
      <c r="AF121" s="883"/>
      <c r="AG121" s="883"/>
      <c r="AH121" s="883"/>
      <c r="AI121" s="883"/>
      <c r="AJ121" s="883"/>
      <c r="AK121" s="1056">
        <v>0</v>
      </c>
    </row>
    <row s="7235" customFormat="1" customHeight="1" ht="14.25" hidden="1">
      <c r="A122" s="2532"/>
      <c r="B122" s="1056"/>
      <c r="C122" s="881"/>
      <c r="D122" s="879"/>
      <c r="E122" s="692" t="str">
        <f>FHD_NUM_P_57</f>
        <v/>
      </c>
      <c r="F122" s="2023" t="str">
        <f>FHD_P_57</f>
        <v/>
      </c>
      <c r="G122" s="2024" t="s">
        <v>580</v>
      </c>
      <c r="H122" s="1122"/>
      <c r="I122" s="703"/>
      <c r="J122" s="6651"/>
      <c r="K122" s="6651"/>
      <c r="L122" s="6651"/>
      <c r="M122" s="6651"/>
      <c r="N122" s="6651"/>
      <c r="O122" s="435" t="str">
        <f>FHD_NOTE_P_57</f>
        <v/>
      </c>
      <c r="P122" s="880"/>
      <c r="Q122" s="881"/>
      <c r="R122" s="881"/>
      <c r="S122" s="1056"/>
      <c r="T122" s="1056"/>
      <c r="U122" s="1056"/>
      <c r="V122" s="1056"/>
      <c r="W122" s="881"/>
      <c r="X122" s="1056"/>
      <c r="Y122" s="1056"/>
      <c r="Z122" s="882"/>
      <c r="AA122" s="1056"/>
      <c r="AB122" s="1056"/>
      <c r="AC122" s="1056"/>
      <c r="AD122" s="1056"/>
      <c r="AE122" s="1056"/>
      <c r="AF122" s="883"/>
      <c r="AG122" s="883"/>
      <c r="AH122" s="883"/>
      <c r="AI122" s="883"/>
      <c r="AJ122" s="883"/>
      <c r="AK122" s="885">
        <v>0</v>
      </c>
    </row>
    <row customHeight="1" ht="14.25" hidden="1">
      <c r="A123" s="2530" t="s">
        <v>622</v>
      </c>
      <c r="D123" s="1784"/>
      <c r="E123" s="692" t="str">
        <f>FHD_NUM_P_58</f>
        <v/>
      </c>
      <c r="F123" s="2023" t="str">
        <f>FHD_P_58</f>
        <v/>
      </c>
      <c r="G123" s="2024" t="s">
        <v>619</v>
      </c>
      <c r="H123" s="1123"/>
      <c r="I123" s="723"/>
      <c r="J123" s="6660"/>
      <c r="K123" s="6660"/>
      <c r="L123" s="6660"/>
      <c r="M123" s="6660"/>
      <c r="N123" s="6660"/>
      <c r="O123" s="435" t="str">
        <f>FHD_NOTE_P_58</f>
        <v/>
      </c>
      <c r="P123" s="689"/>
      <c r="AK123" s="1777">
        <v>0</v>
      </c>
    </row>
    <row customHeight="1" ht="14.25" hidden="1">
      <c r="A124" s="2530"/>
      <c r="D124" s="1784"/>
      <c r="E124" s="692" t="str">
        <f>FHD_NUM_P_59</f>
        <v/>
      </c>
      <c r="F124" s="2023" t="str">
        <f>FHD_P_59</f>
        <v/>
      </c>
      <c r="G124" s="2024" t="s">
        <v>619</v>
      </c>
      <c r="H124" s="1123"/>
      <c r="I124" s="723"/>
      <c r="J124" s="6660"/>
      <c r="K124" s="6660"/>
      <c r="L124" s="6660"/>
      <c r="M124" s="6660"/>
      <c r="N124" s="6660"/>
      <c r="O124" s="435" t="str">
        <f>FHD_NOTE_P_59</f>
        <v/>
      </c>
      <c r="P124" s="689"/>
      <c r="AK124" s="1777">
        <v>0</v>
      </c>
    </row>
    <row customHeight="1" ht="14.25" hidden="1">
      <c r="A125" s="2530"/>
      <c r="D125" s="1784"/>
      <c r="E125" s="692" t="str">
        <f>FHD_NUM_P_60</f>
        <v/>
      </c>
      <c r="F125" s="2023" t="str">
        <f>FHD_P_60</f>
        <v/>
      </c>
      <c r="G125" s="2024" t="s">
        <v>619</v>
      </c>
      <c r="H125" s="1123"/>
      <c r="I125" s="723"/>
      <c r="J125" s="6660"/>
      <c r="K125" s="6660"/>
      <c r="L125" s="6660"/>
      <c r="M125" s="6660"/>
      <c r="N125" s="6660"/>
      <c r="O125" s="435" t="str">
        <f>FHD_NOTE_P_60</f>
        <v/>
      </c>
      <c r="P125" s="689"/>
      <c r="AK125" s="1777">
        <v>0</v>
      </c>
    </row>
    <row s="7180" customFormat="1" customHeight="1" ht="48.75">
      <c r="A126" s="2530" t="s">
        <v>623</v>
      </c>
      <c r="C126" s="1782"/>
      <c r="D126" s="1784"/>
      <c r="E126" s="692" t="str">
        <f>FHD_NUM_P_61</f>
        <v>7</v>
      </c>
      <c r="F126" s="202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6" s="2021" t="s">
        <v>578</v>
      </c>
      <c r="H126" s="1125"/>
      <c r="I126" s="888">
        <v>99</v>
      </c>
      <c r="J126" s="6671">
        <v>1305.4</v>
      </c>
      <c r="K126" s="6671">
        <f>I126</f>
        <v>99</v>
      </c>
      <c r="L126" s="6671">
        <v>120.138</v>
      </c>
      <c r="M126" s="6671">
        <v>110</v>
      </c>
      <c r="N126" s="6671">
        <f>M126</f>
        <v>110</v>
      </c>
      <c r="O126" s="435"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P126" s="689"/>
      <c r="Q126" s="1782"/>
      <c r="R126" s="1782"/>
      <c r="W126" s="1782"/>
      <c r="Z126" s="690"/>
      <c r="AF126" s="1778"/>
      <c r="AG126" s="1778"/>
      <c r="AH126" s="1778"/>
      <c r="AI126" s="1778"/>
      <c r="AJ126" s="1778"/>
      <c r="AK126" s="1306">
        <v>0</v>
      </c>
    </row>
    <row s="6720" customFormat="1" customHeight="1" ht="3.75">
      <c r="A127" s="2530"/>
      <c r="D127" s="694"/>
      <c r="E127" s="1159" t="str">
        <f>E126&amp;".0"</f>
        <v>7.0</v>
      </c>
      <c r="F127" s="1140"/>
      <c r="G127" s="1141"/>
      <c r="H127" s="1138"/>
      <c r="I127" s="1138"/>
      <c r="J127" s="6646"/>
      <c r="K127" s="6646"/>
      <c r="L127" s="6646"/>
      <c r="M127" s="6646"/>
      <c r="N127" s="6646"/>
      <c r="O127" s="1142"/>
      <c r="AK127" s="1782">
        <v>0</v>
      </c>
    </row>
    <row customHeight="1" ht="25.5">
      <c r="A128" s="2530"/>
      <c r="D128" s="1779"/>
      <c r="E128" s="1117"/>
      <c r="F128" s="1118" t="s">
        <v>624</v>
      </c>
      <c r="G128" s="718"/>
      <c r="H128" s="719"/>
      <c r="I128" s="719"/>
      <c r="J128" s="7999"/>
      <c r="K128" s="8000"/>
      <c r="L128" s="8001"/>
      <c r="M128" s="8002"/>
      <c r="N128" s="8003"/>
      <c r="O128" s="1150" t="s">
        <v>625</v>
      </c>
      <c r="P128" s="689"/>
      <c r="AK128" s="1777">
        <v>0</v>
      </c>
    </row>
    <row s="7180" customFormat="1" customHeight="1" ht="25.5">
      <c r="A129" s="2530"/>
      <c r="C129" s="1782"/>
      <c r="D129" s="1784"/>
      <c r="E129" s="692" t="str">
        <f>FHD_NUM_P_62</f>
        <v>8</v>
      </c>
      <c r="F129" s="2023" t="str">
        <f>FHD_P_62</f>
        <v>Тепловая нагрузка по договорам, заключенным в рамках осуществления регулируемых видов деятельности</v>
      </c>
      <c r="G129" s="2020" t="s">
        <v>578</v>
      </c>
      <c r="H129" s="703"/>
      <c r="I129" s="703">
        <v>35.137615</v>
      </c>
      <c r="J129" s="6612">
        <v>1395.464762</v>
      </c>
      <c r="K129" s="6612">
        <v>0</v>
      </c>
      <c r="L129" s="6612">
        <v>70.219011</v>
      </c>
      <c r="M129" s="6612">
        <v>37.043448</v>
      </c>
      <c r="N129" s="6612">
        <v>0</v>
      </c>
      <c r="O129" s="435"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29" s="689"/>
      <c r="Q129" s="1782"/>
      <c r="R129" s="1782"/>
      <c r="W129" s="1782"/>
      <c r="Z129" s="690"/>
      <c r="AF129" s="1778"/>
      <c r="AG129" s="1778"/>
      <c r="AH129" s="1778"/>
      <c r="AI129" s="1778"/>
      <c r="AJ129" s="1778"/>
      <c r="AK129" s="1306">
        <v>0</v>
      </c>
    </row>
    <row s="7180" customFormat="1" customHeight="1" ht="37.5">
      <c r="A130" s="2530"/>
      <c r="C130" s="1782"/>
      <c r="D130" s="1784"/>
      <c r="E130" s="692" t="str">
        <f>FHD_NUM_P_63</f>
        <v>9</v>
      </c>
      <c r="F130" s="2023" t="str">
        <f>FHD_P_63</f>
        <v>Объем вырабатываемой регулируемой организацией тепловой энергии в рамках осуществления регулируемых видов деятельности</v>
      </c>
      <c r="G130" s="2020" t="s">
        <v>621</v>
      </c>
      <c r="H130" s="723"/>
      <c r="I130" s="723">
        <v>143.889</v>
      </c>
      <c r="J130" s="6635">
        <v>2921.097</v>
      </c>
      <c r="K130" s="6635">
        <v>228.988196742</v>
      </c>
      <c r="L130" s="6635">
        <v>164.82787163619</v>
      </c>
      <c r="M130" s="6635">
        <v>125.43</v>
      </c>
      <c r="N130" s="6635">
        <v>220.244338211643</v>
      </c>
      <c r="O130" s="43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30" s="689"/>
      <c r="Q130" s="1782"/>
      <c r="R130" s="1782"/>
      <c r="W130" s="1782"/>
      <c r="Z130" s="690"/>
      <c r="AF130" s="1778"/>
      <c r="AG130" s="1778"/>
      <c r="AH130" s="1778"/>
      <c r="AI130" s="1778"/>
      <c r="AJ130" s="1778"/>
      <c r="AK130" s="1306">
        <v>0</v>
      </c>
    </row>
    <row s="7180" customFormat="1" customHeight="1" ht="37.5">
      <c r="A131" s="2530"/>
      <c r="C131" s="1782"/>
      <c r="D131" s="1784"/>
      <c r="E131" s="692" t="str">
        <f>FHD_NUM_P_64</f>
        <v>9.1</v>
      </c>
      <c r="F131" s="2023" t="str">
        <f>FHD_P_64</f>
        <v>Объем приобретаемой регулируемой организацией тепловой энергии в рамках осуществления регулируемых видов деятельности</v>
      </c>
      <c r="G131" s="2020" t="s">
        <v>621</v>
      </c>
      <c r="H131" s="1553"/>
      <c r="I131" s="897"/>
      <c r="J131" s="6368"/>
      <c r="K131" s="6368"/>
      <c r="L131" s="6368"/>
      <c r="M131" s="6368"/>
      <c r="N131" s="6368"/>
      <c r="O131" s="435" t="str">
        <f>FHD_NOTE_P_64</f>
        <v>Информация указывается только едиными теплоснабжающими организациями.</v>
      </c>
      <c r="P131" s="689"/>
      <c r="Q131" s="1782"/>
      <c r="R131" s="1782"/>
      <c r="W131" s="1782"/>
      <c r="Z131" s="690"/>
      <c r="AF131" s="1778"/>
      <c r="AG131" s="1778"/>
      <c r="AH131" s="1778"/>
      <c r="AI131" s="1778"/>
      <c r="AJ131" s="1778"/>
      <c r="AK131" s="1306">
        <v>0</v>
      </c>
    </row>
    <row s="7180" customFormat="1" customHeight="1" ht="48.75">
      <c r="A132" s="2530"/>
      <c r="C132" s="1782"/>
      <c r="D132" s="1784"/>
      <c r="E132" s="692" t="str">
        <f>FHD_NUM_P_65</f>
        <v>10</v>
      </c>
      <c r="F132" s="202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2" s="2020" t="s">
        <v>621</v>
      </c>
      <c r="H132" s="723"/>
      <c r="I132" s="723">
        <v>90.5220477666158</v>
      </c>
      <c r="J132" s="6635">
        <v>2559.37084805563</v>
      </c>
      <c r="K132" s="6635">
        <v>198.221700034</v>
      </c>
      <c r="L132" s="6635">
        <v>140.016067891553</v>
      </c>
      <c r="M132" s="6635">
        <v>97.5200443656925</v>
      </c>
      <c r="N132" s="6635">
        <v>191.306123653678</v>
      </c>
      <c r="O132" s="435"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32" s="689"/>
      <c r="Q132" s="1782"/>
      <c r="R132" s="1782"/>
      <c r="W132" s="1782"/>
      <c r="Z132" s="690"/>
      <c r="AF132" s="1778"/>
      <c r="AG132" s="1778"/>
      <c r="AH132" s="1778"/>
      <c r="AI132" s="1778"/>
      <c r="AJ132" s="1778"/>
      <c r="AK132" s="1306">
        <v>0</v>
      </c>
    </row>
    <row s="7180" customFormat="1" customHeight="1" ht="14.25">
      <c r="A133" s="2530"/>
      <c r="C133" s="1782"/>
      <c r="D133" s="1784"/>
      <c r="E133" s="692" t="str">
        <f>FHD_NUM_P_66</f>
        <v>10.1</v>
      </c>
      <c r="F133" s="1670" t="str">
        <f>FHD_P_66</f>
        <v>По приборам учёта </v>
      </c>
      <c r="G133" s="2020" t="s">
        <v>621</v>
      </c>
      <c r="H133" s="723"/>
      <c r="I133" s="723">
        <v>3.246156556102</v>
      </c>
      <c r="J133" s="6635">
        <v>1139.803683874</v>
      </c>
      <c r="K133" s="6635">
        <v>0</v>
      </c>
      <c r="L133" s="6635">
        <v>40.8025441577746</v>
      </c>
      <c r="M133" s="6635">
        <v>15.323385247</v>
      </c>
      <c r="N133" s="6635">
        <v>0</v>
      </c>
      <c r="O133" s="435" t="str">
        <f>FHD_NOTE_P_66</f>
        <v/>
      </c>
      <c r="P133" s="689"/>
      <c r="Q133" s="1782"/>
      <c r="R133" s="1782"/>
      <c r="W133" s="1782"/>
      <c r="Z133" s="690"/>
      <c r="AF133" s="1778"/>
      <c r="AG133" s="1778"/>
      <c r="AH133" s="1778"/>
      <c r="AI133" s="1778"/>
      <c r="AJ133" s="1778"/>
      <c r="AK133" s="1306">
        <v>0</v>
      </c>
    </row>
    <row s="7180" customFormat="1" customHeight="1" ht="48.75">
      <c r="A134" s="2530"/>
      <c r="C134" s="1782"/>
      <c r="D134" s="1784"/>
      <c r="E134" s="692" t="str">
        <f>FHD_NUM_P_67</f>
        <v>10.1.1</v>
      </c>
      <c r="F134" s="179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4" s="2020" t="s">
        <v>621</v>
      </c>
      <c r="H134" s="723"/>
      <c r="I134" s="723">
        <v>1.905096855</v>
      </c>
      <c r="J134" s="6635">
        <v>315.72</v>
      </c>
      <c r="K134" s="6635">
        <v>0</v>
      </c>
      <c r="L134" s="6635">
        <v>13.224529005</v>
      </c>
      <c r="M134" s="6635">
        <v>5.703506274</v>
      </c>
      <c r="N134" s="6635">
        <v>0</v>
      </c>
      <c r="O134" s="435" t="str">
        <f>FHD_NOTE_P_67</f>
        <v/>
      </c>
      <c r="P134" s="689"/>
      <c r="Q134" s="1782"/>
      <c r="R134" s="1782"/>
      <c r="W134" s="1782"/>
      <c r="Z134" s="690"/>
      <c r="AF134" s="1778"/>
      <c r="AG134" s="1778"/>
      <c r="AH134" s="1778"/>
      <c r="AI134" s="1778"/>
      <c r="AJ134" s="1778"/>
      <c r="AK134" s="1306">
        <v>0</v>
      </c>
    </row>
    <row s="7180" customFormat="1" customHeight="1" ht="14.25">
      <c r="A135" s="2530"/>
      <c r="C135" s="1782"/>
      <c r="D135" s="1784"/>
      <c r="E135" s="692" t="str">
        <f>FHD_NUM_P_68</f>
        <v>10.2</v>
      </c>
      <c r="F135" s="1670" t="str">
        <f>FHD_P_68</f>
        <v>Расчётным путём</v>
      </c>
      <c r="G135" s="2020" t="s">
        <v>621</v>
      </c>
      <c r="H135" s="723"/>
      <c r="I135" s="723">
        <v>87.2758912105138</v>
      </c>
      <c r="J135" s="6635">
        <v>1419.56716418163</v>
      </c>
      <c r="K135" s="6635">
        <v>0</v>
      </c>
      <c r="L135" s="6635">
        <v>99.213523733778</v>
      </c>
      <c r="M135" s="6635">
        <v>82.1966591186925</v>
      </c>
      <c r="N135" s="6635">
        <v>0</v>
      </c>
      <c r="O135" s="435" t="str">
        <f>FHD_NOTE_P_68</f>
        <v/>
      </c>
      <c r="P135" s="689"/>
      <c r="Q135" s="1782"/>
      <c r="R135" s="1782"/>
      <c r="W135" s="1782"/>
      <c r="Z135" s="690"/>
      <c r="AF135" s="1778"/>
      <c r="AG135" s="1778"/>
      <c r="AH135" s="1778"/>
      <c r="AI135" s="1778"/>
      <c r="AJ135" s="1778"/>
      <c r="AK135" s="1306">
        <v>0</v>
      </c>
    </row>
    <row s="7180" customFormat="1" customHeight="1" ht="25.5">
      <c r="A136" s="2530"/>
      <c r="C136" s="1782"/>
      <c r="D136" s="1784"/>
      <c r="E136" s="692" t="str">
        <f>FHD_NUM_P_69</f>
        <v>10.3</v>
      </c>
      <c r="F136" s="1670" t="str">
        <f>FHD_P_69</f>
        <v>По нормативам потребления коммунальных услуг и нормативам потребления коммунальных ресурсов</v>
      </c>
      <c r="G136" s="2020" t="s">
        <v>621</v>
      </c>
      <c r="H136" s="723"/>
      <c r="I136" s="723">
        <v>74.3609347075138</v>
      </c>
      <c r="J136" s="6635">
        <v>1117.25388934663</v>
      </c>
      <c r="K136" s="6635">
        <v>0</v>
      </c>
      <c r="L136" s="6635">
        <v>85.223964532778</v>
      </c>
      <c r="M136" s="6635">
        <v>61.3728603356925</v>
      </c>
      <c r="N136" s="6635">
        <v>0</v>
      </c>
      <c r="O136" s="435" t="str">
        <f>FHD_NOTE_P_69</f>
        <v/>
      </c>
      <c r="P136" s="689"/>
      <c r="Q136" s="1782"/>
      <c r="R136" s="1782"/>
      <c r="W136" s="1782"/>
      <c r="Z136" s="690"/>
      <c r="AF136" s="1778"/>
      <c r="AG136" s="1778"/>
      <c r="AH136" s="1778"/>
      <c r="AI136" s="1778"/>
      <c r="AJ136" s="1778"/>
      <c r="AK136" s="1306">
        <v>0</v>
      </c>
    </row>
    <row s="7180" customFormat="1" customHeight="1" ht="37.5">
      <c r="A137" s="2530"/>
      <c r="C137" s="1782"/>
      <c r="D137" s="1784"/>
      <c r="E137" s="692" t="str">
        <f>FHD_NUM_P_70</f>
        <v>11</v>
      </c>
      <c r="F137" s="2023" t="str">
        <f>FHD_P_70</f>
        <v>Нормативы технологических потерь при передаче тепловой энергии, теплоносителя по тепловым сетям, утвержденные уполномоченным органом</v>
      </c>
      <c r="G137" s="2020" t="s">
        <v>626</v>
      </c>
      <c r="H137" s="703"/>
      <c r="I137" s="703">
        <v>0</v>
      </c>
      <c r="J137" s="6612">
        <v>0</v>
      </c>
      <c r="K137" s="6612">
        <v>0</v>
      </c>
      <c r="L137" s="6612">
        <v>0</v>
      </c>
      <c r="M137" s="6612">
        <v>0</v>
      </c>
      <c r="N137" s="6612">
        <v>0</v>
      </c>
      <c r="O137" s="435" t="str">
        <f>FHD_NOTE_P_70</f>
        <v/>
      </c>
      <c r="P137" s="689"/>
      <c r="Q137" s="1782"/>
      <c r="R137" s="1782"/>
      <c r="W137" s="1782"/>
      <c r="Z137" s="690"/>
      <c r="AF137" s="1778"/>
      <c r="AG137" s="1778"/>
      <c r="AH137" s="1778"/>
      <c r="AI137" s="1778"/>
      <c r="AJ137" s="1778"/>
      <c r="AK137" s="1306">
        <v>0</v>
      </c>
    </row>
    <row s="7180" customFormat="1" customHeight="1" ht="25.5">
      <c r="A138" s="2530"/>
      <c r="C138" s="1782"/>
      <c r="D138" s="1784"/>
      <c r="E138" s="692" t="str">
        <f>FHD_NUM_P_71</f>
        <v>12</v>
      </c>
      <c r="F138" s="2023" t="str">
        <f>FHD_P_71</f>
        <v>Фактический объем потерь при передаче тепловой энергии</v>
      </c>
      <c r="G138" s="2020" t="s">
        <v>626</v>
      </c>
      <c r="H138" s="703"/>
      <c r="I138" s="703">
        <v>49.846</v>
      </c>
      <c r="J138" s="6612">
        <v>233.814</v>
      </c>
      <c r="K138" s="6612">
        <v>30.7665</v>
      </c>
      <c r="L138" s="6612">
        <v>18.676</v>
      </c>
      <c r="M138" s="6612">
        <v>23.221</v>
      </c>
      <c r="N138" s="6612">
        <v>28.938244987605</v>
      </c>
      <c r="O138" s="435" t="str">
        <f>FHD_NOTE_P_71</f>
        <v/>
      </c>
      <c r="P138" s="689"/>
      <c r="Q138" s="1782"/>
      <c r="R138" s="1782"/>
      <c r="W138" s="1782"/>
      <c r="Z138" s="690"/>
      <c r="AF138" s="1778"/>
      <c r="AG138" s="1778"/>
      <c r="AH138" s="1778"/>
      <c r="AI138" s="1778"/>
      <c r="AJ138" s="1778"/>
      <c r="AK138" s="1306">
        <v>0</v>
      </c>
    </row>
    <row customHeight="1" ht="20.25">
      <c r="D139" s="1784"/>
      <c r="E139" s="692" t="str">
        <f>FHD_NUM_P_72</f>
        <v>13</v>
      </c>
      <c r="F139" s="2023" t="str">
        <f>FHD_P_72</f>
        <v>Среднесписочная численность основного производственного персонала</v>
      </c>
      <c r="G139" s="2019" t="s">
        <v>627</v>
      </c>
      <c r="H139" s="723"/>
      <c r="I139" s="723">
        <v>112.72904264874</v>
      </c>
      <c r="J139" s="6635">
        <v>799.854698082978</v>
      </c>
      <c r="K139" s="6635">
        <v>26.09</v>
      </c>
      <c r="L139" s="6635">
        <v>242.165252350868</v>
      </c>
      <c r="M139" s="6635">
        <v>87.2096126143056</v>
      </c>
      <c r="N139" s="6635">
        <v>18.58</v>
      </c>
      <c r="O139" s="435" t="str">
        <f>FHD_NOTE_P_72</f>
        <v/>
      </c>
      <c r="P139" s="689"/>
      <c r="AK139" s="1777">
        <v>19</v>
      </c>
    </row>
    <row customHeight="1" ht="25.5">
      <c r="A140" s="1135" t="s">
        <v>628</v>
      </c>
      <c r="D140" s="1784"/>
      <c r="E140" s="692" t="str">
        <f>FHD_NUM_P_73</f>
        <v>14</v>
      </c>
      <c r="F140" s="2023" t="str">
        <f>FHD_P_73</f>
        <v>Среднесписочная численность административно-управленческого персонала</v>
      </c>
      <c r="G140" s="1116" t="s">
        <v>627</v>
      </c>
      <c r="H140" s="1114"/>
      <c r="I140" s="1114">
        <v>3.12744984466667</v>
      </c>
      <c r="J140" s="6682">
        <v>28.5902236619333</v>
      </c>
      <c r="K140" s="6682">
        <v>0.149743706866667</v>
      </c>
      <c r="L140" s="6682">
        <v>5.59487447006667</v>
      </c>
      <c r="M140" s="6682">
        <v>3.10132240886667</v>
      </c>
      <c r="N140" s="6682">
        <v>0.148439249066667</v>
      </c>
      <c r="O140" s="435" t="str">
        <f>FHD_NOTE_P_73</f>
        <v/>
      </c>
      <c r="P140" s="689"/>
      <c r="AK140" s="1777">
        <v>0</v>
      </c>
    </row>
    <row customHeight="1" ht="37.5" hidden="1">
      <c r="A141" s="1135" t="s">
        <v>629</v>
      </c>
      <c r="D141" s="1784"/>
      <c r="E141" s="692" t="str">
        <f>FHD_NUM_P_74</f>
        <v/>
      </c>
      <c r="F141" s="2023" t="str">
        <f>FHD_P_74</f>
        <v/>
      </c>
      <c r="G141" s="2019" t="s">
        <v>630</v>
      </c>
      <c r="H141" s="723"/>
      <c r="I141" s="723"/>
      <c r="J141" s="6635"/>
      <c r="K141" s="6635"/>
      <c r="L141" s="6635"/>
      <c r="M141" s="6635"/>
      <c r="N141" s="6635"/>
      <c r="O141" s="435" t="str">
        <f>FHD_NOTE_P_74</f>
        <v/>
      </c>
      <c r="P141" s="689"/>
      <c r="AK141" s="1777">
        <v>0</v>
      </c>
    </row>
    <row s="7235" customFormat="1" customHeight="1" ht="14.25" hidden="1">
      <c r="A142" s="2532" t="s">
        <v>631</v>
      </c>
      <c r="B142" s="1056"/>
      <c r="C142" s="881"/>
      <c r="D142" s="879"/>
      <c r="E142" s="692" t="str">
        <f>FHD_NUM_P_75</f>
        <v/>
      </c>
      <c r="F142" s="2023" t="str">
        <f>FHD_P_75</f>
        <v/>
      </c>
      <c r="G142" s="2019" t="s">
        <v>580</v>
      </c>
      <c r="H142" s="703"/>
      <c r="I142" s="703"/>
      <c r="J142" s="6612"/>
      <c r="K142" s="6612"/>
      <c r="L142" s="6612"/>
      <c r="M142" s="6612"/>
      <c r="N142" s="6612"/>
      <c r="O142" s="435" t="str">
        <f>FHD_NOTE_P_75</f>
        <v/>
      </c>
      <c r="P142" s="880"/>
      <c r="Q142" s="881"/>
      <c r="R142" s="881"/>
      <c r="S142" s="1056"/>
      <c r="T142" s="1056"/>
      <c r="U142" s="1056"/>
      <c r="V142" s="1056"/>
      <c r="W142" s="881"/>
      <c r="X142" s="1056"/>
      <c r="Y142" s="1056"/>
      <c r="Z142" s="882"/>
      <c r="AA142" s="1056"/>
      <c r="AB142" s="1056"/>
      <c r="AC142" s="1056"/>
      <c r="AD142" s="1056"/>
      <c r="AE142" s="1056"/>
      <c r="AF142" s="883"/>
      <c r="AG142" s="883"/>
      <c r="AH142" s="883"/>
      <c r="AI142" s="883"/>
      <c r="AJ142" s="883"/>
      <c r="AK142" s="885">
        <v>0</v>
      </c>
    </row>
    <row s="7235" customFormat="1" customHeight="1" ht="14.25" hidden="1">
      <c r="A143" s="2532"/>
      <c r="B143" s="1056"/>
      <c r="C143" s="881"/>
      <c r="D143" s="879"/>
      <c r="E143" s="692" t="str">
        <f>FHD_NUM_P_76</f>
        <v/>
      </c>
      <c r="F143" s="2023" t="str">
        <f>FHD_P_76</f>
        <v/>
      </c>
      <c r="G143" s="2019" t="s">
        <v>580</v>
      </c>
      <c r="H143" s="703"/>
      <c r="I143" s="703"/>
      <c r="J143" s="6612"/>
      <c r="K143" s="6612"/>
      <c r="L143" s="6612"/>
      <c r="M143" s="6612"/>
      <c r="N143" s="6612"/>
      <c r="O143" s="435" t="str">
        <f>FHD_NOTE_P_76</f>
        <v/>
      </c>
      <c r="P143" s="880"/>
      <c r="Q143" s="881"/>
      <c r="R143" s="881"/>
      <c r="S143" s="1056"/>
      <c r="T143" s="1056"/>
      <c r="U143" s="1056"/>
      <c r="V143" s="1056"/>
      <c r="W143" s="881"/>
      <c r="X143" s="1056"/>
      <c r="Y143" s="1056"/>
      <c r="Z143" s="882"/>
      <c r="AA143" s="1056"/>
      <c r="AB143" s="1056"/>
      <c r="AC143" s="1056"/>
      <c r="AD143" s="1056"/>
      <c r="AE143" s="1056"/>
      <c r="AF143" s="883"/>
      <c r="AG143" s="883"/>
      <c r="AH143" s="883"/>
      <c r="AI143" s="883"/>
      <c r="AJ143" s="883"/>
      <c r="AK143" s="885">
        <v>0</v>
      </c>
    </row>
    <row s="7235" customFormat="1" customHeight="1" ht="14.25" hidden="1">
      <c r="A144" s="2532"/>
      <c r="B144" s="1056"/>
      <c r="C144" s="881"/>
      <c r="D144" s="879"/>
      <c r="E144" s="692" t="str">
        <f>FHD_NUM_P_77</f>
        <v/>
      </c>
      <c r="F144" s="2023" t="str">
        <f>FHD_P_77</f>
        <v/>
      </c>
      <c r="G144" s="2019" t="s">
        <v>580</v>
      </c>
      <c r="H144" s="703"/>
      <c r="I144" s="703"/>
      <c r="J144" s="6612"/>
      <c r="K144" s="6612"/>
      <c r="L144" s="6612"/>
      <c r="M144" s="6612"/>
      <c r="N144" s="6612"/>
      <c r="O144" s="435" t="str">
        <f>FHD_NOTE_P_77</f>
        <v/>
      </c>
      <c r="P144" s="880"/>
      <c r="Q144" s="881"/>
      <c r="R144" s="881"/>
      <c r="S144" s="1056"/>
      <c r="T144" s="1056"/>
      <c r="U144" s="1056"/>
      <c r="V144" s="1056"/>
      <c r="W144" s="881"/>
      <c r="X144" s="1056"/>
      <c r="Y144" s="1056"/>
      <c r="Z144" s="882"/>
      <c r="AA144" s="1056"/>
      <c r="AB144" s="1056"/>
      <c r="AC144" s="1056"/>
      <c r="AD144" s="1056"/>
      <c r="AE144" s="1056"/>
      <c r="AF144" s="883"/>
      <c r="AG144" s="883"/>
      <c r="AH144" s="883"/>
      <c r="AI144" s="883"/>
      <c r="AJ144" s="883"/>
      <c r="AK144" s="885">
        <v>0</v>
      </c>
    </row>
    <row s="6720" customFormat="1" customHeight="1" ht="3.75" hidden="1">
      <c r="A145" s="2532"/>
      <c r="D145" s="694"/>
      <c r="E145" s="1159" t="str">
        <f>E144&amp;".0"</f>
        <v>.0</v>
      </c>
      <c r="F145" s="1143"/>
      <c r="G145" s="1797"/>
      <c r="H145" s="1138"/>
      <c r="I145" s="1138"/>
      <c r="J145" s="6646"/>
      <c r="K145" s="6646"/>
      <c r="L145" s="6646"/>
      <c r="M145" s="6646"/>
      <c r="N145" s="6646"/>
      <c r="O145" s="1142"/>
      <c r="AK145" s="1782">
        <v>0</v>
      </c>
    </row>
    <row s="7235" customFormat="1" customHeight="1" ht="14.25" hidden="1">
      <c r="A146" s="2532"/>
      <c r="B146" s="1056"/>
      <c r="C146" s="881"/>
      <c r="D146" s="892"/>
      <c r="E146" s="1119"/>
      <c r="F146" s="1120" t="s">
        <v>632</v>
      </c>
      <c r="G146" s="893"/>
      <c r="H146" s="894"/>
      <c r="I146" s="894"/>
      <c r="J146" s="8004"/>
      <c r="K146" s="8005"/>
      <c r="L146" s="8006"/>
      <c r="M146" s="8007"/>
      <c r="N146" s="8008"/>
      <c r="O146" s="1149" t="s">
        <v>633</v>
      </c>
      <c r="P146" s="880"/>
      <c r="Q146" s="881"/>
      <c r="R146" s="881"/>
      <c r="S146" s="1056"/>
      <c r="T146" s="1056"/>
      <c r="U146" s="1056"/>
      <c r="V146" s="1056"/>
      <c r="W146" s="881"/>
      <c r="X146" s="1056"/>
      <c r="Y146" s="1056"/>
      <c r="Z146" s="882"/>
      <c r="AA146" s="1056"/>
      <c r="AB146" s="1056"/>
      <c r="AC146" s="1056"/>
      <c r="AD146" s="1056"/>
      <c r="AE146" s="1056"/>
      <c r="AF146" s="883"/>
      <c r="AG146" s="883"/>
      <c r="AH146" s="883"/>
      <c r="AI146" s="883"/>
      <c r="AJ146" s="883"/>
      <c r="AK146" s="885">
        <v>0</v>
      </c>
    </row>
    <row customHeight="1" ht="72">
      <c r="A147" s="2530" t="s">
        <v>634</v>
      </c>
      <c r="D147" s="1784"/>
      <c r="E147" s="692" t="str">
        <f>FHD_NUM_P_78</f>
        <v>15</v>
      </c>
      <c r="F147" s="202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7" s="2020" t="s">
        <v>582</v>
      </c>
      <c r="H147" s="723"/>
      <c r="I147" s="723">
        <v>157.43</v>
      </c>
      <c r="J147" s="6635">
        <v>0</v>
      </c>
      <c r="K147" s="6635">
        <v>0</v>
      </c>
      <c r="L147" s="6635">
        <v>223.4</v>
      </c>
      <c r="M147" s="6635">
        <v>171.45</v>
      </c>
      <c r="N147" s="6635">
        <v>0</v>
      </c>
      <c r="O147" s="435" t="str">
        <f>FHD_NOTE_P_78</f>
        <v/>
      </c>
      <c r="P147" s="689"/>
      <c r="AK147" s="1777">
        <v>0</v>
      </c>
    </row>
    <row s="6720" customFormat="1" customHeight="1" ht="3.75">
      <c r="A148" s="2530"/>
      <c r="D148" s="694"/>
      <c r="E148" s="1159" t="str">
        <f>E147&amp;".0"</f>
        <v>15.0</v>
      </c>
      <c r="F148" s="1143"/>
      <c r="G148" s="1797"/>
      <c r="H148" s="1138"/>
      <c r="I148" s="1138"/>
      <c r="J148" s="6646"/>
      <c r="K148" s="6646"/>
      <c r="L148" s="6646"/>
      <c r="M148" s="6646"/>
      <c r="N148" s="6646"/>
      <c r="O148" s="1142"/>
      <c r="AK148" s="1782">
        <v>0</v>
      </c>
    </row>
    <row s="7976" customFormat="1" customHeight="1" ht="25.5">
      <c r="A149" s="6697"/>
      <c r="B149" s="7180"/>
      <c r="C149" s="6720"/>
      <c r="D149" s="7143" t="s">
        <v>106</v>
      </c>
      <c r="E149" s="6577" t="str">
        <f>E147&amp;".1"</f>
        <v>15.1</v>
      </c>
      <c r="F149" s="5570" t="s">
        <v>635</v>
      </c>
      <c r="G149" s="7599" t="s">
        <v>582</v>
      </c>
      <c r="H149" s="6596"/>
      <c r="I149" s="6596"/>
      <c r="J149" s="6596">
        <v>149.8</v>
      </c>
      <c r="K149" s="6596"/>
      <c r="L149" s="6596"/>
      <c r="M149" s="6596"/>
      <c r="N149" s="6596"/>
      <c r="O149" s="7197" t="s">
        <v>583</v>
      </c>
      <c r="P149" s="6661"/>
      <c r="Q149" s="6720"/>
      <c r="R149" s="6720"/>
      <c r="S149" s="7180"/>
      <c r="T149" s="7180"/>
      <c r="U149" s="7180"/>
      <c r="V149" s="7180"/>
      <c r="W149" s="6720"/>
      <c r="X149" s="7180"/>
      <c r="Y149" s="7180"/>
      <c r="Z149" s="6698"/>
      <c r="AA149" s="7180"/>
      <c r="AB149" s="7180"/>
      <c r="AC149" s="7180"/>
      <c r="AD149" s="7180"/>
      <c r="AE149" s="7180"/>
      <c r="AF149" s="7486"/>
      <c r="AG149" s="7486"/>
      <c r="AH149" s="7486"/>
      <c r="AI149" s="7486"/>
      <c r="AJ149" s="7486"/>
      <c r="AK149" s="7235">
        <v>0</v>
      </c>
    </row>
    <row s="7976" customFormat="1" customHeight="1" ht="25.5">
      <c r="A150" s="6697"/>
      <c r="B150" s="7180"/>
      <c r="C150" s="6720"/>
      <c r="D150" s="7143" t="s">
        <v>106</v>
      </c>
      <c r="E150" s="6577" t="str">
        <f>E147&amp;".2"</f>
        <v>15.2</v>
      </c>
      <c r="F150" s="5570" t="s">
        <v>636</v>
      </c>
      <c r="G150" s="7599" t="s">
        <v>582</v>
      </c>
      <c r="H150" s="6596"/>
      <c r="I150" s="6596"/>
      <c r="J150" s="6596">
        <v>168.41</v>
      </c>
      <c r="K150" s="6596"/>
      <c r="L150" s="6596"/>
      <c r="M150" s="6596"/>
      <c r="N150" s="6596"/>
      <c r="O150" s="7197" t="s">
        <v>583</v>
      </c>
      <c r="P150" s="6661"/>
      <c r="Q150" s="6720"/>
      <c r="R150" s="6720"/>
      <c r="S150" s="7180"/>
      <c r="T150" s="7180"/>
      <c r="U150" s="7180"/>
      <c r="V150" s="7180"/>
      <c r="W150" s="6720"/>
      <c r="X150" s="7180"/>
      <c r="Y150" s="7180"/>
      <c r="Z150" s="6698"/>
      <c r="AA150" s="7180"/>
      <c r="AB150" s="7180"/>
      <c r="AC150" s="7180"/>
      <c r="AD150" s="7180"/>
      <c r="AE150" s="7180"/>
      <c r="AF150" s="7486"/>
      <c r="AG150" s="7486"/>
      <c r="AH150" s="7486"/>
      <c r="AI150" s="7486"/>
      <c r="AJ150" s="7486"/>
      <c r="AK150" s="7235">
        <v>0</v>
      </c>
    </row>
    <row customHeight="1" ht="25.5">
      <c r="A151" s="2530"/>
      <c r="D151" s="1779"/>
      <c r="E151" s="716"/>
      <c r="F151" s="1314" t="s">
        <v>624</v>
      </c>
      <c r="G151" s="718"/>
      <c r="H151" s="719"/>
      <c r="I151" s="719"/>
      <c r="J151" s="8009"/>
      <c r="K151" s="8010"/>
      <c r="L151" s="8011"/>
      <c r="M151" s="8012"/>
      <c r="N151" s="8013"/>
      <c r="O151" s="1150" t="s">
        <v>637</v>
      </c>
      <c r="P151" s="689"/>
      <c r="AK151" s="1777">
        <v>0</v>
      </c>
    </row>
    <row customHeight="1" ht="84">
      <c r="A152" s="2530"/>
      <c r="D152" s="1784"/>
      <c r="E152" s="692" t="str">
        <f>FHD_NUM_P_79</f>
        <v>16</v>
      </c>
      <c r="F152" s="202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2" s="2021" t="s">
        <v>584</v>
      </c>
      <c r="H152" s="723"/>
      <c r="I152" s="723">
        <v>153.66</v>
      </c>
      <c r="J152" s="6635">
        <v>0</v>
      </c>
      <c r="K152" s="6635">
        <v>0</v>
      </c>
      <c r="L152" s="6635">
        <v>203.35</v>
      </c>
      <c r="M152" s="6635">
        <v>171.49</v>
      </c>
      <c r="N152" s="6635">
        <v>0</v>
      </c>
      <c r="O152" s="43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152" s="689"/>
      <c r="AK152" s="1777">
        <v>0</v>
      </c>
    </row>
    <row s="6720" customFormat="1" customHeight="1" ht="3.75">
      <c r="A153" s="2530"/>
      <c r="D153" s="694"/>
      <c r="E153" s="1159" t="str">
        <f>E152&amp;".0"</f>
        <v>16.0</v>
      </c>
      <c r="F153" s="1144"/>
      <c r="G153" s="1797"/>
      <c r="H153" s="1138"/>
      <c r="I153" s="1138"/>
      <c r="J153" s="6646"/>
      <c r="K153" s="6646"/>
      <c r="L153" s="6646"/>
      <c r="M153" s="6646"/>
      <c r="N153" s="6646"/>
      <c r="O153" s="1142"/>
      <c r="AK153" s="1782">
        <v>0</v>
      </c>
    </row>
    <row s="7976" customFormat="1" customHeight="1" ht="25.5">
      <c r="A154" s="6697"/>
      <c r="B154" s="7180"/>
      <c r="C154" s="6720"/>
      <c r="D154" s="7143" t="s">
        <v>106</v>
      </c>
      <c r="E154" s="6577" t="str">
        <f>E152&amp;".1"</f>
        <v>16.1</v>
      </c>
      <c r="F154" s="5570" t="s">
        <v>635</v>
      </c>
      <c r="G154" s="7599" t="s">
        <v>584</v>
      </c>
      <c r="H154" s="6596"/>
      <c r="I154" s="6596"/>
      <c r="J154" s="6596">
        <v>148.29</v>
      </c>
      <c r="K154" s="6596"/>
      <c r="L154" s="6596"/>
      <c r="M154" s="6596"/>
      <c r="N154" s="6596"/>
      <c r="O154" s="7197" t="s">
        <v>585</v>
      </c>
      <c r="P154" s="6661"/>
      <c r="Q154" s="6720"/>
      <c r="R154" s="6720"/>
      <c r="S154" s="7180"/>
      <c r="T154" s="7180"/>
      <c r="U154" s="7180"/>
      <c r="V154" s="7180"/>
      <c r="W154" s="6720"/>
      <c r="X154" s="7180"/>
      <c r="Y154" s="7180"/>
      <c r="Z154" s="6698"/>
      <c r="AA154" s="7180"/>
      <c r="AB154" s="7180"/>
      <c r="AC154" s="7180"/>
      <c r="AD154" s="7180"/>
      <c r="AE154" s="7180"/>
      <c r="AF154" s="7486"/>
      <c r="AG154" s="7486"/>
      <c r="AH154" s="7486"/>
      <c r="AI154" s="7486"/>
      <c r="AJ154" s="7486"/>
      <c r="AK154" s="7235">
        <v>0</v>
      </c>
    </row>
    <row s="7976" customFormat="1" customHeight="1" ht="25.5">
      <c r="A155" s="6697"/>
      <c r="B155" s="7180"/>
      <c r="C155" s="6720"/>
      <c r="D155" s="7143" t="s">
        <v>106</v>
      </c>
      <c r="E155" s="6577" t="str">
        <f>E152&amp;".2"</f>
        <v>16.2</v>
      </c>
      <c r="F155" s="5570" t="s">
        <v>636</v>
      </c>
      <c r="G155" s="7599" t="s">
        <v>584</v>
      </c>
      <c r="H155" s="6596"/>
      <c r="I155" s="6596"/>
      <c r="J155" s="6596">
        <v>177.53</v>
      </c>
      <c r="K155" s="6596"/>
      <c r="L155" s="6596"/>
      <c r="M155" s="6596"/>
      <c r="N155" s="6596"/>
      <c r="O155" s="7197" t="s">
        <v>585</v>
      </c>
      <c r="P155" s="6661"/>
      <c r="Q155" s="6720"/>
      <c r="R155" s="6720"/>
      <c r="S155" s="7180"/>
      <c r="T155" s="7180"/>
      <c r="U155" s="7180"/>
      <c r="V155" s="7180"/>
      <c r="W155" s="6720"/>
      <c r="X155" s="7180"/>
      <c r="Y155" s="7180"/>
      <c r="Z155" s="6698"/>
      <c r="AA155" s="7180"/>
      <c r="AB155" s="7180"/>
      <c r="AC155" s="7180"/>
      <c r="AD155" s="7180"/>
      <c r="AE155" s="7180"/>
      <c r="AF155" s="7486"/>
      <c r="AG155" s="7486"/>
      <c r="AH155" s="7486"/>
      <c r="AI155" s="7486"/>
      <c r="AJ155" s="7486"/>
      <c r="AK155" s="7235">
        <v>0</v>
      </c>
    </row>
    <row customHeight="1" ht="25.5">
      <c r="A156" s="2530"/>
      <c r="D156" s="1779"/>
      <c r="E156" s="716"/>
      <c r="F156" s="1314" t="s">
        <v>624</v>
      </c>
      <c r="G156" s="718"/>
      <c r="H156" s="719"/>
      <c r="I156" s="719"/>
      <c r="J156" s="8014"/>
      <c r="K156" s="8015"/>
      <c r="L156" s="8016"/>
      <c r="M156" s="8017"/>
      <c r="N156" s="8018"/>
      <c r="O156" s="1150" t="s">
        <v>638</v>
      </c>
      <c r="P156" s="689"/>
      <c r="AK156" s="1777">
        <v>0</v>
      </c>
    </row>
    <row customHeight="1" ht="48.75">
      <c r="A157" s="2530"/>
      <c r="D157" s="1784"/>
      <c r="E157" s="692" t="str">
        <f>FHD_NUM_P_80</f>
        <v>17</v>
      </c>
      <c r="F157" s="202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7" s="2021" t="s">
        <v>639</v>
      </c>
      <c r="H157" s="703"/>
      <c r="I157" s="703">
        <v>0.027117281394645</v>
      </c>
      <c r="J157" s="6612">
        <v>0.0171999874274614</v>
      </c>
      <c r="K157" s="6612">
        <v>0.0000590886822740969</v>
      </c>
      <c r="L157" s="6612">
        <v>0.0497605618780077</v>
      </c>
      <c r="M157" s="6612">
        <v>0.00339606200037545</v>
      </c>
      <c r="N157" s="6612">
        <v>0.0000133767331098834</v>
      </c>
      <c r="O157" s="435" t="str">
        <f>FHD_NOTE_P_80</f>
        <v>Регулируемыми организациями указывается информация с по договорам, заключенным в рамках осуществления регулируемой деятельности.</v>
      </c>
      <c r="P157" s="689"/>
      <c r="AK157" s="1777">
        <v>0</v>
      </c>
    </row>
    <row customHeight="1" ht="48.75">
      <c r="A158" s="2530"/>
      <c r="D158" s="1784"/>
      <c r="E158" s="692" t="str">
        <f>FHD_NUM_P_81</f>
        <v>18</v>
      </c>
      <c r="F158" s="202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8" s="2021" t="s">
        <v>640</v>
      </c>
      <c r="H158" s="703"/>
      <c r="I158" s="703">
        <v>5.05387235048067</v>
      </c>
      <c r="J158" s="6612">
        <v>0</v>
      </c>
      <c r="K158" s="6612">
        <v>1.15521255595489</v>
      </c>
      <c r="L158" s="6612">
        <v>0.262679188569069</v>
      </c>
      <c r="M158" s="6612">
        <v>3.51473322861506</v>
      </c>
      <c r="N158" s="6612">
        <v>1.15126653556763</v>
      </c>
      <c r="O158" s="435" t="str">
        <f>FHD_NOTE_P_81</f>
        <v>Регулируемыми организациями указывается информация с по договорам, заключенным в рамках осуществления регулируемой деятельности.</v>
      </c>
      <c r="P158" s="689"/>
      <c r="AK158" s="1777">
        <v>0</v>
      </c>
    </row>
    <row customHeight="1" ht="72">
      <c r="A159" s="2530"/>
      <c r="C159" s="1782" t="s">
        <v>616</v>
      </c>
      <c r="D159" s="1784"/>
      <c r="E159" s="692" t="str">
        <f>FHD_NUM_P_82</f>
        <v>19</v>
      </c>
      <c r="F159" s="202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9" s="2021" t="s">
        <v>328</v>
      </c>
      <c r="H159" s="547"/>
      <c r="I159" s="547"/>
      <c r="J159" s="6692"/>
      <c r="K159" s="6692"/>
      <c r="L159" s="6692"/>
      <c r="M159" s="6692"/>
      <c r="N159" s="6692"/>
      <c r="O159" s="435" t="str">
        <f>FHD_NOTE_P_82</f>
        <v>Указывается ссылка на документ, предварительно загруженный в хранилище файлов ФГИС ЕИАС.</v>
      </c>
      <c r="P159" s="689"/>
      <c r="AK159" s="1777">
        <v>0</v>
      </c>
    </row>
    <row customHeight="1" ht="25.5">
      <c r="A160" s="2530"/>
      <c r="C160" s="1782" t="s">
        <v>616</v>
      </c>
      <c r="D160" s="1784"/>
      <c r="E160" s="692" t="str">
        <f>FHD_NUM_P_83</f>
        <v>19.1</v>
      </c>
      <c r="F160" s="1670" t="str">
        <f>FHD_P_83</f>
        <v>Информация о показателях физического износа объектов теплоснабжения</v>
      </c>
      <c r="G160" s="2021" t="s">
        <v>328</v>
      </c>
      <c r="H160" s="547"/>
      <c r="I160" s="547"/>
      <c r="J160" s="6692"/>
      <c r="K160" s="6692"/>
      <c r="L160" s="6692"/>
      <c r="M160" s="6692"/>
      <c r="N160" s="6692"/>
      <c r="O160" s="435" t="str">
        <f>FHD_NOTE_P_83</f>
        <v>Указывается ссылка на документ, предварительно загруженный в хранилище файлов ФГИС ЕИАС.</v>
      </c>
      <c r="P160" s="689"/>
      <c r="AK160" s="1777">
        <v>0</v>
      </c>
    </row>
    <row customHeight="1" ht="25.5">
      <c r="A161" s="2530"/>
      <c r="C161" s="1782" t="s">
        <v>616</v>
      </c>
      <c r="D161" s="1784"/>
      <c r="E161" s="692" t="str">
        <f>FHD_NUM_P_84</f>
        <v>19.2</v>
      </c>
      <c r="F161" s="1670" t="str">
        <f>FHD_P_84</f>
        <v>Информация о показателях энергетической эффективности объектов теплоснабжения</v>
      </c>
      <c r="G161" s="2021" t="s">
        <v>328</v>
      </c>
      <c r="H161" s="547"/>
      <c r="I161" s="547"/>
      <c r="J161" s="6692"/>
      <c r="K161" s="6692"/>
      <c r="L161" s="6692"/>
      <c r="M161" s="6692"/>
      <c r="N161" s="6692"/>
      <c r="O161" s="435" t="str">
        <f>FHD_NOTE_P_84</f>
        <v>Указывается ссылка на документ, предварительно загруженный в хранилище файлов ФГИС ЕИАС.</v>
      </c>
      <c r="P161" s="689"/>
      <c r="AK161" s="1777">
        <v>0</v>
      </c>
    </row>
    <row customHeight="1" ht="11.549999999999999">
      <c r="D162" s="1784"/>
      <c r="J162" s="7235"/>
      <c r="K162" s="7235"/>
      <c r="L162" s="7235"/>
      <c r="M162" s="7235"/>
      <c r="N162" s="7235"/>
      <c r="AK162" s="1777">
        <v>11</v>
      </c>
    </row>
    <row customHeight="1" ht="13.5">
      <c r="D163" s="1784"/>
      <c r="E163" s="482"/>
      <c r="F163" s="515"/>
      <c r="G163" s="515"/>
      <c r="H163" s="515"/>
      <c r="I163" s="1793"/>
      <c r="J163" s="7263"/>
      <c r="K163" s="7263"/>
      <c r="L163" s="7263"/>
      <c r="M163" s="7263"/>
      <c r="N163" s="7263"/>
      <c r="O163" s="727"/>
      <c r="AK163" s="1777">
        <v>13</v>
      </c>
    </row>
    <row s="6314" customFormat="1" customHeight="1" ht="11.549999999999999">
      <c r="A164" s="1133"/>
      <c r="B164" s="1782"/>
      <c r="C164" s="1782"/>
      <c r="D164" s="497"/>
      <c r="F164" s="1786"/>
      <c r="G164" s="1777"/>
      <c r="H164" s="1777"/>
      <c r="I164" s="1777"/>
      <c r="J164" s="7235"/>
      <c r="K164" s="7235"/>
      <c r="L164" s="7235"/>
      <c r="M164" s="7235"/>
      <c r="N164" s="7235"/>
      <c r="P164" s="1306"/>
      <c r="Q164" s="1782"/>
      <c r="R164" s="1782"/>
      <c r="S164" s="1306"/>
      <c r="T164" s="1306"/>
      <c r="U164" s="1306"/>
      <c r="V164" s="1306"/>
      <c r="W164" s="1782"/>
      <c r="X164" s="1306"/>
      <c r="Y164" s="1306"/>
      <c r="Z164" s="690"/>
      <c r="AA164" s="1306"/>
      <c r="AB164" s="1306"/>
      <c r="AC164" s="1306"/>
      <c r="AD164" s="1306"/>
      <c r="AE164" s="1306"/>
      <c r="AF164" s="1778"/>
      <c r="AG164" s="712"/>
      <c r="AH164" s="712"/>
      <c r="AI164" s="712"/>
      <c r="AJ164" s="712"/>
      <c r="AK164" s="1787">
        <v>11</v>
      </c>
    </row>
    <row s="6314" customFormat="1" customHeight="1" ht="11.549999999999999">
      <c r="A165" s="1133"/>
      <c r="B165" s="1782"/>
      <c r="C165" s="1782"/>
      <c r="D165" s="497"/>
      <c r="J165" s="6314"/>
      <c r="K165" s="6314"/>
      <c r="L165" s="6314"/>
      <c r="M165" s="6314"/>
      <c r="N165" s="6314"/>
      <c r="P165" s="1306"/>
      <c r="Q165" s="1782"/>
      <c r="R165" s="1782"/>
      <c r="S165" s="1306"/>
      <c r="T165" s="1306"/>
      <c r="U165" s="1306"/>
      <c r="V165" s="1306"/>
      <c r="W165" s="1782"/>
      <c r="X165" s="1306"/>
      <c r="Y165" s="1306"/>
      <c r="Z165" s="690"/>
      <c r="AA165" s="1306"/>
      <c r="AB165" s="1306"/>
      <c r="AC165" s="1306"/>
      <c r="AD165" s="1306"/>
      <c r="AE165" s="1306"/>
      <c r="AF165" s="1778"/>
      <c r="AG165" s="712"/>
      <c r="AH165" s="712"/>
      <c r="AI165" s="712"/>
      <c r="AJ165" s="712"/>
      <c r="AK165" s="1787">
        <v>11</v>
      </c>
    </row>
    <row s="6314" customFormat="1" customHeight="1" ht="11.549999999999999">
      <c r="A166" s="1133"/>
      <c r="B166" s="1782"/>
      <c r="C166" s="1782"/>
      <c r="D166" s="497"/>
      <c r="J166" s="6314"/>
      <c r="K166" s="6314"/>
      <c r="L166" s="6314"/>
      <c r="M166" s="6314"/>
      <c r="N166" s="6314"/>
      <c r="P166" s="1306"/>
      <c r="Q166" s="1782"/>
      <c r="R166" s="1782"/>
      <c r="S166" s="1306"/>
      <c r="T166" s="1306"/>
      <c r="U166" s="1306"/>
      <c r="V166" s="1306"/>
      <c r="W166" s="1782"/>
      <c r="X166" s="1306"/>
      <c r="Y166" s="1306"/>
      <c r="Z166" s="690"/>
      <c r="AA166" s="1306"/>
      <c r="AB166" s="1306"/>
      <c r="AC166" s="1306"/>
      <c r="AD166" s="1306"/>
      <c r="AE166" s="1306"/>
      <c r="AF166" s="1778"/>
      <c r="AG166" s="712"/>
      <c r="AH166" s="712"/>
      <c r="AI166" s="712"/>
      <c r="AJ166" s="712"/>
      <c r="AK166" s="1787">
        <v>11</v>
      </c>
    </row>
    <row s="6314" customFormat="1" customHeight="1" ht="11.549999999999999">
      <c r="A167" s="1133"/>
      <c r="B167" s="1782"/>
      <c r="C167" s="1782"/>
      <c r="D167" s="497"/>
      <c r="H167" s="712" t="str">
        <f>IF(H30-H31&lt;&gt;H99,"WARNING","")</f>
        <v/>
      </c>
      <c r="I167" s="712" t="str">
        <f>IF(I30-I31&lt;&gt;I99,"WARNING","")</f>
        <v>WARNING</v>
      </c>
      <c r="J167" s="6710" t="str">
        <f>IF(J30-J31&lt;&gt;J99,"WARNING","")</f>
        <v>WARNING</v>
      </c>
      <c r="K167" s="6710" t="str">
        <f>IF(K30-K31&lt;&gt;K99,"WARNING","")</f>
        <v>WARNING</v>
      </c>
      <c r="L167" s="6710" t="str">
        <f>IF(L30-L31&lt;&gt;L99,"WARNING","")</f>
        <v>WARNING</v>
      </c>
      <c r="M167" s="6710" t="str">
        <f>IF(M30-M31&lt;&gt;M99,"WARNING","")</f>
        <v>WARNING</v>
      </c>
      <c r="N167" s="6710" t="str">
        <f>IF(N30-N31&lt;&gt;N99,"WARNING","")</f>
        <v>WARNING</v>
      </c>
      <c r="P167" s="1306"/>
      <c r="Q167" s="1782"/>
      <c r="R167" s="1782"/>
      <c r="S167" s="1306"/>
      <c r="T167" s="1306"/>
      <c r="U167" s="1306"/>
      <c r="V167" s="1306"/>
      <c r="W167" s="1782"/>
      <c r="X167" s="1306"/>
      <c r="Y167" s="1306"/>
      <c r="Z167" s="690"/>
      <c r="AA167" s="1306"/>
      <c r="AB167" s="1306"/>
      <c r="AC167" s="1306"/>
      <c r="AD167" s="1306"/>
      <c r="AE167" s="1306"/>
      <c r="AF167" s="1778"/>
      <c r="AG167" s="712"/>
      <c r="AH167" s="712"/>
      <c r="AI167" s="712"/>
      <c r="AJ167" s="712"/>
      <c r="AK167" s="1787">
        <v>11</v>
      </c>
    </row>
    <row s="6314" customFormat="1" customHeight="1" ht="11.549999999999999">
      <c r="A168" s="1133"/>
      <c r="B168" s="1782"/>
      <c r="C168" s="1782"/>
      <c r="D168" s="497"/>
      <c r="J168" s="6314"/>
      <c r="K168" s="6314"/>
      <c r="L168" s="6314"/>
      <c r="M168" s="6314"/>
      <c r="N168" s="6314"/>
      <c r="P168" s="1306"/>
      <c r="Q168" s="1782"/>
      <c r="R168" s="1782"/>
      <c r="S168" s="1306"/>
      <c r="T168" s="1306"/>
      <c r="U168" s="1306"/>
      <c r="V168" s="1306"/>
      <c r="W168" s="1782"/>
      <c r="X168" s="1306"/>
      <c r="Y168" s="1306"/>
      <c r="Z168" s="690"/>
      <c r="AA168" s="1306"/>
      <c r="AB168" s="1306"/>
      <c r="AC168" s="1306"/>
      <c r="AD168" s="1306"/>
      <c r="AE168" s="1306"/>
      <c r="AF168" s="1778"/>
      <c r="AG168" s="712"/>
      <c r="AH168" s="712"/>
      <c r="AI168" s="712"/>
      <c r="AJ168" s="712"/>
      <c r="AK168" s="1787">
        <v>11</v>
      </c>
    </row>
    <row s="6314" customFormat="1" customHeight="1" ht="11.549999999999999">
      <c r="A169" s="1133"/>
      <c r="B169" s="1782"/>
      <c r="C169" s="1782"/>
      <c r="D169" s="497"/>
      <c r="J169" s="6314"/>
      <c r="K169" s="6314"/>
      <c r="L169" s="6314"/>
      <c r="M169" s="6314"/>
      <c r="N169" s="6314"/>
      <c r="P169" s="1306"/>
      <c r="Q169" s="1782"/>
      <c r="R169" s="1782"/>
      <c r="S169" s="1306"/>
      <c r="T169" s="1306"/>
      <c r="U169" s="1306"/>
      <c r="V169" s="1306"/>
      <c r="W169" s="1782"/>
      <c r="X169" s="1306"/>
      <c r="Y169" s="1306"/>
      <c r="Z169" s="690"/>
      <c r="AA169" s="1306"/>
      <c r="AB169" s="1306"/>
      <c r="AC169" s="1306"/>
      <c r="AD169" s="1306"/>
      <c r="AE169" s="1306"/>
      <c r="AF169" s="1778"/>
      <c r="AG169" s="712"/>
      <c r="AH169" s="712"/>
      <c r="AI169" s="712"/>
      <c r="AJ169" s="712"/>
      <c r="AK169" s="1787">
        <v>11</v>
      </c>
    </row>
    <row s="6314" customFormat="1" customHeight="1" ht="11.549999999999999">
      <c r="A170" s="1133"/>
      <c r="B170" s="1782"/>
      <c r="C170" s="1782"/>
      <c r="D170" s="497"/>
      <c r="J170" s="6314"/>
      <c r="K170" s="6314"/>
      <c r="L170" s="6314"/>
      <c r="M170" s="6314"/>
      <c r="N170" s="6314"/>
      <c r="P170" s="1306"/>
      <c r="Q170" s="1782"/>
      <c r="R170" s="1782"/>
      <c r="S170" s="1306"/>
      <c r="T170" s="1306"/>
      <c r="U170" s="1306"/>
      <c r="V170" s="1306"/>
      <c r="W170" s="1782"/>
      <c r="X170" s="1306"/>
      <c r="Y170" s="1306"/>
      <c r="Z170" s="690"/>
      <c r="AA170" s="1306"/>
      <c r="AB170" s="1306"/>
      <c r="AC170" s="1306"/>
      <c r="AD170" s="1306"/>
      <c r="AE170" s="1306"/>
      <c r="AF170" s="1778"/>
      <c r="AG170" s="712"/>
      <c r="AH170" s="712"/>
      <c r="AI170" s="712"/>
      <c r="AJ170" s="712"/>
      <c r="AK170" s="1787">
        <v>11</v>
      </c>
    </row>
    <row s="6314" customFormat="1" customHeight="1" ht="11.549999999999999">
      <c r="A171" s="1133"/>
      <c r="B171" s="1782"/>
      <c r="C171" s="1782"/>
      <c r="D171" s="497"/>
      <c r="J171" s="6314"/>
      <c r="K171" s="6314"/>
      <c r="L171" s="6314"/>
      <c r="M171" s="6314"/>
      <c r="N171" s="6314"/>
      <c r="P171" s="1306"/>
      <c r="Q171" s="1782"/>
      <c r="R171" s="1782"/>
      <c r="S171" s="1306"/>
      <c r="T171" s="1306"/>
      <c r="U171" s="1306"/>
      <c r="V171" s="1306"/>
      <c r="W171" s="1782"/>
      <c r="X171" s="1306"/>
      <c r="Y171" s="1306"/>
      <c r="Z171" s="690"/>
      <c r="AA171" s="1306"/>
      <c r="AB171" s="1306"/>
      <c r="AC171" s="1306"/>
      <c r="AD171" s="1306"/>
      <c r="AE171" s="1306"/>
      <c r="AF171" s="1778"/>
      <c r="AG171" s="712"/>
      <c r="AH171" s="712"/>
      <c r="AI171" s="712"/>
      <c r="AJ171" s="712"/>
      <c r="AK171" s="1787">
        <v>11</v>
      </c>
    </row>
    <row s="6314" customFormat="1" customHeight="1" ht="11.549999999999999">
      <c r="A172" s="1133"/>
      <c r="B172" s="1782"/>
      <c r="C172" s="1782"/>
      <c r="D172" s="497"/>
      <c r="J172" s="6314"/>
      <c r="K172" s="6314"/>
      <c r="L172" s="6314"/>
      <c r="M172" s="6314"/>
      <c r="N172" s="6314"/>
      <c r="P172" s="1306"/>
      <c r="Q172" s="1782"/>
      <c r="R172" s="1782"/>
      <c r="S172" s="1306"/>
      <c r="T172" s="1306"/>
      <c r="U172" s="1306"/>
      <c r="V172" s="1306"/>
      <c r="W172" s="1782"/>
      <c r="X172" s="1306"/>
      <c r="Y172" s="1306"/>
      <c r="Z172" s="690"/>
      <c r="AA172" s="1306"/>
      <c r="AB172" s="1306"/>
      <c r="AC172" s="1306"/>
      <c r="AD172" s="1306"/>
      <c r="AE172" s="1306"/>
      <c r="AF172" s="1778"/>
      <c r="AG172" s="712"/>
      <c r="AH172" s="712"/>
      <c r="AI172" s="712"/>
      <c r="AJ172" s="712"/>
      <c r="AK172" s="1787">
        <v>11</v>
      </c>
    </row>
    <row s="6314" customFormat="1" customHeight="1" ht="11.549999999999999">
      <c r="A173" s="1133"/>
      <c r="B173" s="1782"/>
      <c r="C173" s="1782"/>
      <c r="D173" s="497"/>
      <c r="J173" s="6314"/>
      <c r="K173" s="6314"/>
      <c r="L173" s="6314"/>
      <c r="M173" s="6314"/>
      <c r="N173" s="6314"/>
      <c r="P173" s="1306"/>
      <c r="Q173" s="1782"/>
      <c r="R173" s="1782"/>
      <c r="S173" s="1306"/>
      <c r="T173" s="1306"/>
      <c r="U173" s="1306"/>
      <c r="V173" s="1306"/>
      <c r="W173" s="1782"/>
      <c r="X173" s="1306"/>
      <c r="Y173" s="1306"/>
      <c r="Z173" s="690"/>
      <c r="AA173" s="1306"/>
      <c r="AB173" s="1306"/>
      <c r="AC173" s="1306"/>
      <c r="AD173" s="1306"/>
      <c r="AE173" s="1306"/>
      <c r="AF173" s="1778"/>
      <c r="AG173" s="712"/>
      <c r="AH173" s="712"/>
      <c r="AI173" s="712"/>
      <c r="AJ173" s="712"/>
      <c r="AK173" s="1787">
        <v>11</v>
      </c>
    </row>
    <row s="6314" customFormat="1" customHeight="1" ht="11.549999999999999">
      <c r="A174" s="1133"/>
      <c r="B174" s="1782"/>
      <c r="C174" s="1782"/>
      <c r="D174" s="497"/>
      <c r="J174" s="6314"/>
      <c r="K174" s="6314"/>
      <c r="L174" s="6314"/>
      <c r="M174" s="6314"/>
      <c r="N174" s="6314"/>
      <c r="P174" s="1306"/>
      <c r="Q174" s="1782"/>
      <c r="R174" s="1782"/>
      <c r="S174" s="1306"/>
      <c r="T174" s="1306"/>
      <c r="U174" s="1306"/>
      <c r="V174" s="1306"/>
      <c r="W174" s="1782"/>
      <c r="X174" s="1306"/>
      <c r="Y174" s="1306"/>
      <c r="Z174" s="690"/>
      <c r="AA174" s="1306"/>
      <c r="AB174" s="1306"/>
      <c r="AC174" s="1306"/>
      <c r="AD174" s="1306"/>
      <c r="AE174" s="1306"/>
      <c r="AF174" s="1778"/>
      <c r="AG174" s="712"/>
      <c r="AH174" s="712"/>
      <c r="AI174" s="712"/>
      <c r="AJ174" s="712"/>
      <c r="AK174" s="1787">
        <v>11</v>
      </c>
    </row>
    <row s="6314" customFormat="1" customHeight="1" ht="11.549999999999999">
      <c r="A175" s="1133"/>
      <c r="B175" s="1782"/>
      <c r="C175" s="1782"/>
      <c r="D175" s="497"/>
      <c r="J175" s="6314"/>
      <c r="K175" s="6314"/>
      <c r="L175" s="6314"/>
      <c r="M175" s="6314"/>
      <c r="N175" s="6314"/>
      <c r="P175" s="1306"/>
      <c r="Q175" s="1782"/>
      <c r="R175" s="1782"/>
      <c r="S175" s="1306"/>
      <c r="T175" s="1306"/>
      <c r="U175" s="1306"/>
      <c r="V175" s="1306"/>
      <c r="W175" s="1782"/>
      <c r="X175" s="1306"/>
      <c r="Y175" s="1306"/>
      <c r="Z175" s="690"/>
      <c r="AA175" s="1306"/>
      <c r="AB175" s="1306"/>
      <c r="AC175" s="1306"/>
      <c r="AD175" s="1306"/>
      <c r="AE175" s="1306"/>
      <c r="AF175" s="1778"/>
      <c r="AG175" s="712"/>
      <c r="AH175" s="712"/>
      <c r="AI175" s="712"/>
      <c r="AJ175" s="712"/>
      <c r="AK175" s="1787">
        <v>11</v>
      </c>
    </row>
    <row s="6314" customFormat="1" customHeight="1" ht="11.549999999999999">
      <c r="A176" s="1133"/>
      <c r="B176" s="1782"/>
      <c r="C176" s="1782"/>
      <c r="D176" s="497"/>
      <c r="J176" s="6314"/>
      <c r="K176" s="6314"/>
      <c r="L176" s="6314"/>
      <c r="M176" s="6314"/>
      <c r="N176" s="6314"/>
      <c r="P176" s="1306"/>
      <c r="Q176" s="1782"/>
      <c r="R176" s="1782"/>
      <c r="S176" s="1306"/>
      <c r="T176" s="1306"/>
      <c r="U176" s="1306"/>
      <c r="V176" s="1306"/>
      <c r="W176" s="1782"/>
      <c r="X176" s="1306"/>
      <c r="Y176" s="1306"/>
      <c r="Z176" s="690"/>
      <c r="AA176" s="1306"/>
      <c r="AB176" s="1306"/>
      <c r="AC176" s="1306"/>
      <c r="AD176" s="1306"/>
      <c r="AE176" s="1306"/>
      <c r="AF176" s="1778"/>
      <c r="AG176" s="712"/>
      <c r="AH176" s="712"/>
      <c r="AI176" s="712"/>
      <c r="AJ176" s="712"/>
      <c r="AK176" s="1787">
        <v>11</v>
      </c>
    </row>
    <row s="6314" customFormat="1" customHeight="1" ht="11.549999999999999">
      <c r="A177" s="1133"/>
      <c r="B177" s="1782"/>
      <c r="C177" s="1782"/>
      <c r="D177" s="497"/>
      <c r="J177" s="6314"/>
      <c r="K177" s="6314"/>
      <c r="L177" s="6314"/>
      <c r="M177" s="6314"/>
      <c r="N177" s="6314"/>
      <c r="P177" s="1306"/>
      <c r="Q177" s="1782"/>
      <c r="R177" s="1782"/>
      <c r="S177" s="1306"/>
      <c r="T177" s="1306"/>
      <c r="U177" s="1306"/>
      <c r="V177" s="1306"/>
      <c r="W177" s="1782"/>
      <c r="X177" s="1306"/>
      <c r="Y177" s="1306"/>
      <c r="Z177" s="690"/>
      <c r="AA177" s="1306"/>
      <c r="AB177" s="1306"/>
      <c r="AC177" s="1306"/>
      <c r="AD177" s="1306"/>
      <c r="AE177" s="1306"/>
      <c r="AF177" s="1778"/>
      <c r="AG177" s="712"/>
      <c r="AH177" s="712"/>
      <c r="AI177" s="712"/>
      <c r="AJ177" s="712"/>
      <c r="AK177" s="1787">
        <v>11</v>
      </c>
    </row>
    <row s="6314" customFormat="1" customHeight="1" ht="11.549999999999999">
      <c r="A178" s="1133"/>
      <c r="B178" s="1782"/>
      <c r="C178" s="1782"/>
      <c r="D178" s="497"/>
      <c r="J178" s="6314"/>
      <c r="K178" s="6314"/>
      <c r="L178" s="6314"/>
      <c r="M178" s="6314"/>
      <c r="N178" s="6314"/>
      <c r="P178" s="1306"/>
      <c r="Q178" s="1782"/>
      <c r="R178" s="1782"/>
      <c r="S178" s="1306"/>
      <c r="T178" s="1306"/>
      <c r="U178" s="1306"/>
      <c r="V178" s="1306"/>
      <c r="W178" s="1782"/>
      <c r="X178" s="1306"/>
      <c r="Y178" s="1306"/>
      <c r="Z178" s="690"/>
      <c r="AA178" s="1306"/>
      <c r="AB178" s="1306"/>
      <c r="AC178" s="1306"/>
      <c r="AD178" s="1306"/>
      <c r="AE178" s="1306"/>
      <c r="AF178" s="1778"/>
      <c r="AG178" s="712"/>
      <c r="AH178" s="712"/>
      <c r="AI178" s="712"/>
      <c r="AJ178" s="712"/>
      <c r="AK178" s="1787">
        <v>11</v>
      </c>
    </row>
    <row s="6314" customFormat="1" customHeight="1" ht="11.549999999999999">
      <c r="A179" s="1133"/>
      <c r="B179" s="1782"/>
      <c r="C179" s="1782"/>
      <c r="D179" s="497"/>
      <c r="J179" s="6314"/>
      <c r="K179" s="6314"/>
      <c r="L179" s="6314"/>
      <c r="M179" s="6314"/>
      <c r="N179" s="6314"/>
      <c r="P179" s="1306"/>
      <c r="Q179" s="1782"/>
      <c r="R179" s="1782"/>
      <c r="S179" s="1306"/>
      <c r="T179" s="1306"/>
      <c r="U179" s="1306"/>
      <c r="V179" s="1306"/>
      <c r="W179" s="1782"/>
      <c r="X179" s="1306"/>
      <c r="Y179" s="1306"/>
      <c r="Z179" s="690"/>
      <c r="AA179" s="1306"/>
      <c r="AB179" s="1306"/>
      <c r="AC179" s="1306"/>
      <c r="AD179" s="1306"/>
      <c r="AE179" s="1306"/>
      <c r="AF179" s="1778"/>
      <c r="AG179" s="712"/>
      <c r="AH179" s="712"/>
      <c r="AI179" s="712"/>
      <c r="AJ179" s="712"/>
      <c r="AK179" s="1787">
        <v>11</v>
      </c>
    </row>
    <row s="6314" customFormat="1" customHeight="1" ht="11.549999999999999">
      <c r="A180" s="1133"/>
      <c r="B180" s="1782"/>
      <c r="C180" s="1782"/>
      <c r="D180" s="497"/>
      <c r="J180" s="6314"/>
      <c r="K180" s="6314"/>
      <c r="L180" s="6314"/>
      <c r="M180" s="6314"/>
      <c r="N180" s="6314"/>
      <c r="P180" s="1306"/>
      <c r="Q180" s="1782"/>
      <c r="R180" s="1782"/>
      <c r="S180" s="1306"/>
      <c r="T180" s="1306"/>
      <c r="U180" s="1306"/>
      <c r="V180" s="1306"/>
      <c r="W180" s="1782"/>
      <c r="X180" s="1306"/>
      <c r="Y180" s="1306"/>
      <c r="Z180" s="690"/>
      <c r="AA180" s="1306"/>
      <c r="AB180" s="1306"/>
      <c r="AC180" s="1306"/>
      <c r="AD180" s="1306"/>
      <c r="AE180" s="1306"/>
      <c r="AF180" s="1778"/>
      <c r="AG180" s="712"/>
      <c r="AH180" s="712"/>
      <c r="AI180" s="712"/>
      <c r="AJ180" s="712"/>
      <c r="AK180" s="1787">
        <v>11</v>
      </c>
    </row>
    <row s="6314" customFormat="1" customHeight="1" ht="11.549999999999999">
      <c r="A181" s="1133"/>
      <c r="B181" s="1782"/>
      <c r="C181" s="1782"/>
      <c r="D181" s="497"/>
      <c r="J181" s="6314"/>
      <c r="K181" s="6314"/>
      <c r="L181" s="6314"/>
      <c r="M181" s="6314"/>
      <c r="N181" s="6314"/>
      <c r="P181" s="1306"/>
      <c r="Q181" s="1782"/>
      <c r="R181" s="1782"/>
      <c r="S181" s="1306"/>
      <c r="T181" s="1306"/>
      <c r="U181" s="1306"/>
      <c r="V181" s="1306"/>
      <c r="W181" s="1782"/>
      <c r="X181" s="1306"/>
      <c r="Y181" s="1306"/>
      <c r="Z181" s="690"/>
      <c r="AA181" s="1306"/>
      <c r="AB181" s="1306"/>
      <c r="AC181" s="1306"/>
      <c r="AD181" s="1306"/>
      <c r="AE181" s="1306"/>
      <c r="AF181" s="1778"/>
      <c r="AG181" s="712"/>
      <c r="AH181" s="712"/>
      <c r="AI181" s="712"/>
      <c r="AJ181" s="712"/>
      <c r="AK181" s="1787">
        <v>11</v>
      </c>
    </row>
    <row s="6314" customFormat="1" customHeight="1" ht="11.549999999999999">
      <c r="A182" s="1133"/>
      <c r="B182" s="1782"/>
      <c r="C182" s="1782"/>
      <c r="D182" s="497"/>
      <c r="J182" s="6314"/>
      <c r="K182" s="6314"/>
      <c r="L182" s="6314"/>
      <c r="M182" s="6314"/>
      <c r="N182" s="6314"/>
      <c r="P182" s="1306"/>
      <c r="Q182" s="1782"/>
      <c r="R182" s="1782"/>
      <c r="S182" s="1306"/>
      <c r="T182" s="1306"/>
      <c r="U182" s="1306"/>
      <c r="V182" s="1306"/>
      <c r="W182" s="1782"/>
      <c r="X182" s="1306"/>
      <c r="Y182" s="1306"/>
      <c r="Z182" s="690"/>
      <c r="AA182" s="1306"/>
      <c r="AB182" s="1306"/>
      <c r="AC182" s="1306"/>
      <c r="AD182" s="1306"/>
      <c r="AE182" s="1306"/>
      <c r="AF182" s="1778"/>
      <c r="AG182" s="712"/>
      <c r="AH182" s="712"/>
      <c r="AI182" s="712"/>
      <c r="AJ182" s="712"/>
      <c r="AK182" s="1787">
        <v>11</v>
      </c>
    </row>
    <row s="6314" customFormat="1" customHeight="1" ht="11.549999999999999">
      <c r="A183" s="1133"/>
      <c r="B183" s="1782"/>
      <c r="C183" s="1782"/>
      <c r="D183" s="497"/>
      <c r="J183" s="6314"/>
      <c r="K183" s="6314"/>
      <c r="L183" s="6314"/>
      <c r="M183" s="6314"/>
      <c r="N183" s="6314"/>
      <c r="P183" s="1306"/>
      <c r="Q183" s="1782"/>
      <c r="R183" s="1782"/>
      <c r="S183" s="1306"/>
      <c r="T183" s="1306"/>
      <c r="U183" s="1306"/>
      <c r="V183" s="1306"/>
      <c r="W183" s="1782"/>
      <c r="X183" s="1306"/>
      <c r="Y183" s="1306"/>
      <c r="Z183" s="690"/>
      <c r="AA183" s="1306"/>
      <c r="AB183" s="1306"/>
      <c r="AC183" s="1306"/>
      <c r="AD183" s="1306"/>
      <c r="AE183" s="1306"/>
      <c r="AF183" s="1778"/>
      <c r="AG183" s="712"/>
      <c r="AH183" s="712"/>
      <c r="AI183" s="712"/>
      <c r="AJ183" s="712"/>
      <c r="AK183" s="1787">
        <v>11</v>
      </c>
    </row>
    <row s="6314" customFormat="1" customHeight="1" ht="11.549999999999999">
      <c r="A184" s="1133"/>
      <c r="B184" s="1782"/>
      <c r="C184" s="1782"/>
      <c r="D184" s="497"/>
      <c r="J184" s="6314"/>
      <c r="K184" s="6314"/>
      <c r="L184" s="6314"/>
      <c r="M184" s="6314"/>
      <c r="N184" s="6314"/>
      <c r="P184" s="1306"/>
      <c r="Q184" s="1782"/>
      <c r="R184" s="1782"/>
      <c r="S184" s="1306"/>
      <c r="T184" s="1306"/>
      <c r="U184" s="1306"/>
      <c r="V184" s="1306"/>
      <c r="W184" s="1782"/>
      <c r="X184" s="1306"/>
      <c r="Y184" s="1306"/>
      <c r="Z184" s="690"/>
      <c r="AA184" s="1306"/>
      <c r="AB184" s="1306"/>
      <c r="AC184" s="1306"/>
      <c r="AD184" s="1306"/>
      <c r="AE184" s="1306"/>
      <c r="AF184" s="1778"/>
      <c r="AG184" s="712"/>
      <c r="AH184" s="712"/>
      <c r="AI184" s="712"/>
      <c r="AJ184" s="712"/>
      <c r="AK184" s="1787">
        <v>11</v>
      </c>
    </row>
    <row s="6314" customFormat="1" customHeight="1" ht="11.549999999999999">
      <c r="A185" s="1133"/>
      <c r="B185" s="1782"/>
      <c r="C185" s="1782"/>
      <c r="D185" s="497"/>
      <c r="J185" s="6314"/>
      <c r="K185" s="6314"/>
      <c r="L185" s="6314"/>
      <c r="M185" s="6314"/>
      <c r="N185" s="6314"/>
      <c r="P185" s="1306"/>
      <c r="Q185" s="1782"/>
      <c r="R185" s="1782"/>
      <c r="S185" s="1306"/>
      <c r="T185" s="1306"/>
      <c r="U185" s="1306"/>
      <c r="V185" s="1306"/>
      <c r="W185" s="1782"/>
      <c r="X185" s="1306"/>
      <c r="Y185" s="1306"/>
      <c r="Z185" s="690"/>
      <c r="AA185" s="1306"/>
      <c r="AB185" s="1306"/>
      <c r="AC185" s="1306"/>
      <c r="AD185" s="1306"/>
      <c r="AE185" s="1306"/>
      <c r="AF185" s="1778"/>
      <c r="AG185" s="712"/>
      <c r="AH185" s="712"/>
      <c r="AI185" s="712"/>
      <c r="AJ185" s="712"/>
      <c r="AK185" s="1787">
        <v>11</v>
      </c>
    </row>
    <row s="6314" customFormat="1" customHeight="1" ht="11.549999999999999">
      <c r="A186" s="1133"/>
      <c r="B186" s="1782"/>
      <c r="C186" s="1782"/>
      <c r="D186" s="497"/>
      <c r="J186" s="6314"/>
      <c r="K186" s="6314"/>
      <c r="L186" s="6314"/>
      <c r="M186" s="6314"/>
      <c r="N186" s="6314"/>
      <c r="P186" s="1306"/>
      <c r="Q186" s="1782"/>
      <c r="R186" s="1782"/>
      <c r="S186" s="1306"/>
      <c r="T186" s="1306"/>
      <c r="U186" s="1306"/>
      <c r="V186" s="1306"/>
      <c r="W186" s="1782"/>
      <c r="X186" s="1306"/>
      <c r="Y186" s="1306"/>
      <c r="Z186" s="690"/>
      <c r="AA186" s="1306"/>
      <c r="AB186" s="1306"/>
      <c r="AC186" s="1306"/>
      <c r="AD186" s="1306"/>
      <c r="AE186" s="1306"/>
      <c r="AF186" s="1778"/>
      <c r="AG186" s="712"/>
      <c r="AH186" s="712"/>
      <c r="AI186" s="712"/>
      <c r="AJ186" s="712"/>
      <c r="AK186" s="1787">
        <v>11</v>
      </c>
    </row>
    <row s="6314" customFormat="1" customHeight="1" ht="11.549999999999999">
      <c r="A187" s="1133"/>
      <c r="B187" s="1782"/>
      <c r="C187" s="1782"/>
      <c r="D187" s="497"/>
      <c r="J187" s="6314"/>
      <c r="K187" s="6314"/>
      <c r="L187" s="6314"/>
      <c r="M187" s="6314"/>
      <c r="N187" s="6314"/>
      <c r="P187" s="1306"/>
      <c r="Q187" s="1782"/>
      <c r="R187" s="1782"/>
      <c r="S187" s="1306"/>
      <c r="T187" s="1306"/>
      <c r="U187" s="1306"/>
      <c r="V187" s="1306"/>
      <c r="W187" s="1782"/>
      <c r="X187" s="1306"/>
      <c r="Y187" s="1306"/>
      <c r="Z187" s="690"/>
      <c r="AA187" s="1306"/>
      <c r="AB187" s="1306"/>
      <c r="AC187" s="1306"/>
      <c r="AD187" s="1306"/>
      <c r="AE187" s="1306"/>
      <c r="AF187" s="1778"/>
      <c r="AG187" s="712"/>
      <c r="AH187" s="712"/>
      <c r="AI187" s="712"/>
      <c r="AJ187" s="712"/>
      <c r="AK187" s="1787">
        <v>11</v>
      </c>
    </row>
    <row s="6314" customFormat="1" customHeight="1" ht="11.549999999999999">
      <c r="A188" s="1133"/>
      <c r="B188" s="1782"/>
      <c r="C188" s="1782"/>
      <c r="D188" s="497"/>
      <c r="J188" s="6314"/>
      <c r="K188" s="6314"/>
      <c r="L188" s="6314"/>
      <c r="M188" s="6314"/>
      <c r="N188" s="6314"/>
      <c r="P188" s="1306"/>
      <c r="Q188" s="1782"/>
      <c r="R188" s="1782"/>
      <c r="S188" s="1306"/>
      <c r="T188" s="1306"/>
      <c r="U188" s="1306"/>
      <c r="V188" s="1306"/>
      <c r="W188" s="1782"/>
      <c r="X188" s="1306"/>
      <c r="Y188" s="1306"/>
      <c r="Z188" s="690"/>
      <c r="AA188" s="1306"/>
      <c r="AB188" s="1306"/>
      <c r="AC188" s="1306"/>
      <c r="AD188" s="1306"/>
      <c r="AE188" s="1306"/>
      <c r="AF188" s="1778"/>
      <c r="AG188" s="712"/>
      <c r="AH188" s="712"/>
      <c r="AI188" s="712"/>
      <c r="AJ188" s="712"/>
      <c r="AK188" s="1787">
        <v>11</v>
      </c>
    </row>
    <row s="6314" customFormat="1" customHeight="1" ht="11.549999999999999">
      <c r="A189" s="1133"/>
      <c r="B189" s="1782"/>
      <c r="C189" s="1782"/>
      <c r="D189" s="497"/>
      <c r="J189" s="6314"/>
      <c r="K189" s="6314"/>
      <c r="L189" s="6314"/>
      <c r="M189" s="6314"/>
      <c r="N189" s="6314"/>
      <c r="P189" s="1306"/>
      <c r="Q189" s="1782"/>
      <c r="R189" s="1782"/>
      <c r="S189" s="1306"/>
      <c r="T189" s="1306"/>
      <c r="U189" s="1306"/>
      <c r="V189" s="1306"/>
      <c r="W189" s="1782"/>
      <c r="X189" s="1306"/>
      <c r="Y189" s="1306"/>
      <c r="Z189" s="690"/>
      <c r="AA189" s="1306"/>
      <c r="AB189" s="1306"/>
      <c r="AC189" s="1306"/>
      <c r="AD189" s="1306"/>
      <c r="AE189" s="1306"/>
      <c r="AF189" s="1778"/>
      <c r="AG189" s="712"/>
      <c r="AH189" s="712"/>
      <c r="AI189" s="712"/>
      <c r="AJ189" s="712"/>
      <c r="AK189" s="1787">
        <v>11</v>
      </c>
    </row>
    <row s="6314" customFormat="1" customHeight="1" ht="11.549999999999999">
      <c r="A190" s="1133"/>
      <c r="B190" s="1782"/>
      <c r="C190" s="1782"/>
      <c r="D190" s="497"/>
      <c r="J190" s="6314"/>
      <c r="K190" s="6314"/>
      <c r="L190" s="6314"/>
      <c r="M190" s="6314"/>
      <c r="N190" s="6314"/>
      <c r="P190" s="1306"/>
      <c r="Q190" s="1782"/>
      <c r="R190" s="1782"/>
      <c r="S190" s="1306"/>
      <c r="T190" s="1306"/>
      <c r="U190" s="1306"/>
      <c r="V190" s="1306"/>
      <c r="W190" s="1782"/>
      <c r="X190" s="1306"/>
      <c r="Y190" s="1306"/>
      <c r="Z190" s="690"/>
      <c r="AA190" s="1306"/>
      <c r="AB190" s="1306"/>
      <c r="AC190" s="1306"/>
      <c r="AD190" s="1306"/>
      <c r="AE190" s="1306"/>
      <c r="AF190" s="1778"/>
      <c r="AG190" s="712"/>
      <c r="AH190" s="712"/>
      <c r="AI190" s="712"/>
      <c r="AJ190" s="712"/>
      <c r="AK190" s="1787">
        <v>11</v>
      </c>
    </row>
    <row s="6314" customFormat="1" customHeight="1" ht="11.549999999999999">
      <c r="A191" s="1133"/>
      <c r="B191" s="1782"/>
      <c r="C191" s="1782"/>
      <c r="D191" s="497"/>
      <c r="J191" s="6314"/>
      <c r="K191" s="6314"/>
      <c r="L191" s="6314"/>
      <c r="M191" s="6314"/>
      <c r="N191" s="6314"/>
      <c r="P191" s="1306"/>
      <c r="Q191" s="1782"/>
      <c r="R191" s="1782"/>
      <c r="S191" s="1306"/>
      <c r="T191" s="1306"/>
      <c r="U191" s="1306"/>
      <c r="V191" s="1306"/>
      <c r="W191" s="1782"/>
      <c r="X191" s="1306"/>
      <c r="Y191" s="1306"/>
      <c r="Z191" s="690"/>
      <c r="AA191" s="1306"/>
      <c r="AB191" s="1306"/>
      <c r="AC191" s="1306"/>
      <c r="AD191" s="1306"/>
      <c r="AE191" s="1306"/>
      <c r="AF191" s="1778"/>
      <c r="AG191" s="712"/>
      <c r="AH191" s="712"/>
      <c r="AI191" s="712"/>
      <c r="AJ191" s="712"/>
      <c r="AK191" s="1787">
        <v>11</v>
      </c>
    </row>
    <row s="6314" customFormat="1" customHeight="1" ht="11.549999999999999">
      <c r="A192" s="1133"/>
      <c r="B192" s="1782"/>
      <c r="C192" s="1782"/>
      <c r="D192" s="497"/>
      <c r="J192" s="6314"/>
      <c r="K192" s="6314"/>
      <c r="L192" s="6314"/>
      <c r="M192" s="6314"/>
      <c r="N192" s="6314"/>
      <c r="P192" s="1306"/>
      <c r="Q192" s="1782"/>
      <c r="R192" s="1782"/>
      <c r="S192" s="1306"/>
      <c r="T192" s="1306"/>
      <c r="U192" s="1306"/>
      <c r="V192" s="1306"/>
      <c r="W192" s="1782"/>
      <c r="X192" s="1306"/>
      <c r="Y192" s="1306"/>
      <c r="Z192" s="690"/>
      <c r="AA192" s="1306"/>
      <c r="AB192" s="1306"/>
      <c r="AC192" s="1306"/>
      <c r="AD192" s="1306"/>
      <c r="AE192" s="1306"/>
      <c r="AF192" s="1778"/>
      <c r="AG192" s="712"/>
      <c r="AH192" s="712"/>
      <c r="AI192" s="712"/>
      <c r="AJ192" s="712"/>
      <c r="AK192" s="1787">
        <v>11</v>
      </c>
    </row>
    <row s="6314" customFormat="1" customHeight="1" ht="11.549999999999999">
      <c r="A193" s="1133"/>
      <c r="B193" s="1782"/>
      <c r="C193" s="1782"/>
      <c r="D193" s="497"/>
      <c r="J193" s="6314"/>
      <c r="K193" s="6314"/>
      <c r="L193" s="6314"/>
      <c r="M193" s="6314"/>
      <c r="N193" s="6314"/>
      <c r="P193" s="1306"/>
      <c r="Q193" s="1782"/>
      <c r="R193" s="1782"/>
      <c r="S193" s="1306"/>
      <c r="T193" s="1306"/>
      <c r="U193" s="1306"/>
      <c r="V193" s="1306"/>
      <c r="W193" s="1782"/>
      <c r="X193" s="1306"/>
      <c r="Y193" s="1306"/>
      <c r="Z193" s="690"/>
      <c r="AA193" s="1306"/>
      <c r="AB193" s="1306"/>
      <c r="AC193" s="1306"/>
      <c r="AD193" s="1306"/>
      <c r="AE193" s="1306"/>
      <c r="AF193" s="1778"/>
      <c r="AG193" s="712"/>
      <c r="AH193" s="712"/>
      <c r="AI193" s="712"/>
      <c r="AJ193" s="712"/>
      <c r="AK193" s="1787">
        <v>11</v>
      </c>
    </row>
    <row s="6314" customFormat="1" customHeight="1" ht="11.549999999999999">
      <c r="A194" s="1133"/>
      <c r="B194" s="1782"/>
      <c r="C194" s="1782"/>
      <c r="D194" s="497"/>
      <c r="J194" s="6314"/>
      <c r="K194" s="6314"/>
      <c r="L194" s="6314"/>
      <c r="M194" s="6314"/>
      <c r="N194" s="6314"/>
      <c r="P194" s="1306"/>
      <c r="Q194" s="1782"/>
      <c r="R194" s="1782"/>
      <c r="S194" s="1306"/>
      <c r="T194" s="1306"/>
      <c r="U194" s="1306"/>
      <c r="V194" s="1306"/>
      <c r="W194" s="1782"/>
      <c r="X194" s="1306"/>
      <c r="Y194" s="1306"/>
      <c r="Z194" s="690"/>
      <c r="AA194" s="1306"/>
      <c r="AB194" s="1306"/>
      <c r="AC194" s="1306"/>
      <c r="AD194" s="1306"/>
      <c r="AE194" s="1306"/>
      <c r="AF194" s="1778"/>
      <c r="AG194" s="712"/>
      <c r="AH194" s="712"/>
      <c r="AI194" s="712"/>
      <c r="AJ194" s="712"/>
      <c r="AK194" s="1787">
        <v>11</v>
      </c>
    </row>
    <row s="6314" customFormat="1" customHeight="1" ht="11.549999999999999">
      <c r="A195" s="1133"/>
      <c r="B195" s="1782"/>
      <c r="C195" s="1782"/>
      <c r="D195" s="497"/>
      <c r="J195" s="6314"/>
      <c r="K195" s="6314"/>
      <c r="L195" s="6314"/>
      <c r="M195" s="6314"/>
      <c r="N195" s="6314"/>
      <c r="P195" s="1306"/>
      <c r="Q195" s="1782"/>
      <c r="R195" s="1782"/>
      <c r="S195" s="1306"/>
      <c r="T195" s="1306"/>
      <c r="U195" s="1306"/>
      <c r="V195" s="1306"/>
      <c r="W195" s="1782"/>
      <c r="X195" s="1306"/>
      <c r="Y195" s="1306"/>
      <c r="Z195" s="690"/>
      <c r="AA195" s="1306"/>
      <c r="AB195" s="1306"/>
      <c r="AC195" s="1306"/>
      <c r="AD195" s="1306"/>
      <c r="AE195" s="1306"/>
      <c r="AF195" s="1778"/>
      <c r="AG195" s="712"/>
      <c r="AH195" s="712"/>
      <c r="AI195" s="712"/>
      <c r="AJ195" s="712"/>
      <c r="AK195" s="1787">
        <v>11</v>
      </c>
    </row>
    <row s="6314" customFormat="1" customHeight="1" ht="11.549999999999999">
      <c r="A196" s="1133"/>
      <c r="B196" s="1782"/>
      <c r="C196" s="1782"/>
      <c r="D196" s="497"/>
      <c r="J196" s="6314"/>
      <c r="K196" s="6314"/>
      <c r="L196" s="6314"/>
      <c r="M196" s="6314"/>
      <c r="N196" s="6314"/>
      <c r="P196" s="1306"/>
      <c r="Q196" s="1782"/>
      <c r="R196" s="1782"/>
      <c r="S196" s="1306"/>
      <c r="T196" s="1306"/>
      <c r="U196" s="1306"/>
      <c r="V196" s="1306"/>
      <c r="W196" s="1782"/>
      <c r="X196" s="1306"/>
      <c r="Y196" s="1306"/>
      <c r="Z196" s="690"/>
      <c r="AA196" s="1306"/>
      <c r="AB196" s="1306"/>
      <c r="AC196" s="1306"/>
      <c r="AD196" s="1306"/>
      <c r="AE196" s="1306"/>
      <c r="AF196" s="1778"/>
      <c r="AG196" s="712"/>
      <c r="AH196" s="712"/>
      <c r="AI196" s="712"/>
      <c r="AJ196" s="712"/>
      <c r="AK196" s="1787">
        <v>11</v>
      </c>
    </row>
    <row s="6314" customFormat="1" customHeight="1" ht="11.549999999999999">
      <c r="A197" s="1133"/>
      <c r="B197" s="1782"/>
      <c r="C197" s="1782"/>
      <c r="D197" s="497"/>
      <c r="J197" s="6314"/>
      <c r="K197" s="6314"/>
      <c r="L197" s="6314"/>
      <c r="M197" s="6314"/>
      <c r="N197" s="6314"/>
      <c r="P197" s="1306"/>
      <c r="Q197" s="1782"/>
      <c r="R197" s="1782"/>
      <c r="S197" s="1306"/>
      <c r="T197" s="1306"/>
      <c r="U197" s="1306"/>
      <c r="V197" s="1306"/>
      <c r="W197" s="1782"/>
      <c r="X197" s="1306"/>
      <c r="Y197" s="1306"/>
      <c r="Z197" s="690"/>
      <c r="AA197" s="1306"/>
      <c r="AB197" s="1306"/>
      <c r="AC197" s="1306"/>
      <c r="AD197" s="1306"/>
      <c r="AE197" s="1306"/>
      <c r="AF197" s="1778"/>
      <c r="AG197" s="712"/>
      <c r="AH197" s="712"/>
      <c r="AI197" s="712"/>
      <c r="AJ197" s="712"/>
      <c r="AK197" s="1787">
        <v>11</v>
      </c>
    </row>
    <row s="6314" customFormat="1" customHeight="1" ht="11.549999999999999">
      <c r="A198" s="1133"/>
      <c r="B198" s="1782"/>
      <c r="C198" s="1782"/>
      <c r="D198" s="497"/>
      <c r="J198" s="6314"/>
      <c r="K198" s="6314"/>
      <c r="L198" s="6314"/>
      <c r="M198" s="6314"/>
      <c r="N198" s="6314"/>
      <c r="P198" s="1306"/>
      <c r="Q198" s="1782"/>
      <c r="R198" s="1782"/>
      <c r="S198" s="1306"/>
      <c r="T198" s="1306"/>
      <c r="U198" s="1306"/>
      <c r="V198" s="1306"/>
      <c r="W198" s="1782"/>
      <c r="X198" s="1306"/>
      <c r="Y198" s="1306"/>
      <c r="Z198" s="690"/>
      <c r="AA198" s="1306"/>
      <c r="AB198" s="1306"/>
      <c r="AC198" s="1306"/>
      <c r="AD198" s="1306"/>
      <c r="AE198" s="1306"/>
      <c r="AF198" s="1778"/>
      <c r="AG198" s="712"/>
      <c r="AH198" s="712"/>
      <c r="AI198" s="712"/>
      <c r="AJ198" s="712"/>
      <c r="AK198" s="1787">
        <v>11</v>
      </c>
    </row>
    <row s="6314" customFormat="1" customHeight="1" ht="11.549999999999999">
      <c r="A199" s="1133"/>
      <c r="B199" s="1782"/>
      <c r="C199" s="1782"/>
      <c r="D199" s="497"/>
      <c r="J199" s="6314"/>
      <c r="K199" s="6314"/>
      <c r="L199" s="6314"/>
      <c r="M199" s="6314"/>
      <c r="N199" s="6314"/>
      <c r="P199" s="1306"/>
      <c r="Q199" s="1782"/>
      <c r="R199" s="1782"/>
      <c r="S199" s="1306"/>
      <c r="T199" s="1306"/>
      <c r="U199" s="1306"/>
      <c r="V199" s="1306"/>
      <c r="W199" s="1782"/>
      <c r="X199" s="1306"/>
      <c r="Y199" s="1306"/>
      <c r="Z199" s="690"/>
      <c r="AA199" s="1306"/>
      <c r="AB199" s="1306"/>
      <c r="AC199" s="1306"/>
      <c r="AD199" s="1306"/>
      <c r="AE199" s="1306"/>
      <c r="AF199" s="1778"/>
      <c r="AG199" s="712"/>
      <c r="AH199" s="712"/>
      <c r="AI199" s="712"/>
      <c r="AJ199" s="712"/>
      <c r="AK199" s="1787">
        <v>11</v>
      </c>
    </row>
    <row s="6314" customFormat="1" customHeight="1" ht="11.549999999999999">
      <c r="A200" s="1133"/>
      <c r="B200" s="1782"/>
      <c r="C200" s="1782"/>
      <c r="D200" s="497"/>
      <c r="J200" s="6314"/>
      <c r="K200" s="6314"/>
      <c r="L200" s="6314"/>
      <c r="M200" s="6314"/>
      <c r="N200" s="6314"/>
      <c r="P200" s="1306"/>
      <c r="Q200" s="1782"/>
      <c r="R200" s="1782"/>
      <c r="S200" s="1306"/>
      <c r="T200" s="1306"/>
      <c r="U200" s="1306"/>
      <c r="V200" s="1306"/>
      <c r="W200" s="1782"/>
      <c r="X200" s="1306"/>
      <c r="Y200" s="1306"/>
      <c r="Z200" s="690"/>
      <c r="AA200" s="1306"/>
      <c r="AB200" s="1306"/>
      <c r="AC200" s="1306"/>
      <c r="AD200" s="1306"/>
      <c r="AE200" s="1306"/>
      <c r="AF200" s="1778"/>
      <c r="AG200" s="712"/>
      <c r="AH200" s="712"/>
      <c r="AI200" s="712"/>
      <c r="AJ200" s="712"/>
      <c r="AK200" s="1787">
        <v>11</v>
      </c>
    </row>
    <row s="6314" customFormat="1" customHeight="1" ht="11.549999999999999">
      <c r="A201" s="1133"/>
      <c r="B201" s="1782"/>
      <c r="C201" s="1782"/>
      <c r="D201" s="497"/>
      <c r="J201" s="6314"/>
      <c r="K201" s="6314"/>
      <c r="L201" s="6314"/>
      <c r="M201" s="6314"/>
      <c r="N201" s="6314"/>
      <c r="P201" s="1306"/>
      <c r="Q201" s="1782"/>
      <c r="R201" s="1782"/>
      <c r="S201" s="1306"/>
      <c r="T201" s="1306"/>
      <c r="U201" s="1306"/>
      <c r="V201" s="1306"/>
      <c r="W201" s="1782"/>
      <c r="X201" s="1306"/>
      <c r="Y201" s="1306"/>
      <c r="Z201" s="690"/>
      <c r="AA201" s="1306"/>
      <c r="AB201" s="1306"/>
      <c r="AC201" s="1306"/>
      <c r="AD201" s="1306"/>
      <c r="AE201" s="1306"/>
      <c r="AF201" s="1778"/>
      <c r="AG201" s="712"/>
      <c r="AH201" s="712"/>
      <c r="AI201" s="712"/>
      <c r="AJ201" s="712"/>
      <c r="AK201" s="1787">
        <v>11</v>
      </c>
    </row>
    <row s="6314" customFormat="1" customHeight="1" ht="11.549999999999999">
      <c r="A202" s="1133"/>
      <c r="B202" s="1782"/>
      <c r="C202" s="1782"/>
      <c r="D202" s="497"/>
      <c r="J202" s="6314"/>
      <c r="K202" s="6314"/>
      <c r="L202" s="6314"/>
      <c r="M202" s="6314"/>
      <c r="N202" s="6314"/>
      <c r="P202" s="1306"/>
      <c r="Q202" s="1782"/>
      <c r="R202" s="1782"/>
      <c r="S202" s="1306"/>
      <c r="T202" s="1306"/>
      <c r="U202" s="1306"/>
      <c r="V202" s="1306"/>
      <c r="W202" s="1782"/>
      <c r="X202" s="1306"/>
      <c r="Y202" s="1306"/>
      <c r="Z202" s="690"/>
      <c r="AA202" s="1306"/>
      <c r="AB202" s="1306"/>
      <c r="AC202" s="1306"/>
      <c r="AD202" s="1306"/>
      <c r="AE202" s="1306"/>
      <c r="AF202" s="1778"/>
      <c r="AG202" s="712"/>
      <c r="AH202" s="712"/>
      <c r="AI202" s="712"/>
      <c r="AJ202" s="712"/>
      <c r="AK202" s="1787">
        <v>11</v>
      </c>
    </row>
    <row s="6314" customFormat="1" customHeight="1" ht="11.549999999999999">
      <c r="A203" s="1133"/>
      <c r="B203" s="1782"/>
      <c r="C203" s="1782"/>
      <c r="D203" s="497"/>
      <c r="J203" s="6314"/>
      <c r="K203" s="6314"/>
      <c r="L203" s="6314"/>
      <c r="M203" s="6314"/>
      <c r="N203" s="6314"/>
      <c r="P203" s="1306"/>
      <c r="Q203" s="1782"/>
      <c r="R203" s="1782"/>
      <c r="S203" s="1306"/>
      <c r="T203" s="1306"/>
      <c r="U203" s="1306"/>
      <c r="V203" s="1306"/>
      <c r="W203" s="1782"/>
      <c r="X203" s="1306"/>
      <c r="Y203" s="1306"/>
      <c r="Z203" s="690"/>
      <c r="AA203" s="1306"/>
      <c r="AB203" s="1306"/>
      <c r="AC203" s="1306"/>
      <c r="AD203" s="1306"/>
      <c r="AE203" s="1306"/>
      <c r="AF203" s="1778"/>
      <c r="AG203" s="712"/>
      <c r="AH203" s="712"/>
      <c r="AI203" s="712"/>
      <c r="AJ203" s="712"/>
      <c r="AK203" s="1787">
        <v>11</v>
      </c>
    </row>
    <row s="6314" customFormat="1" customHeight="1" ht="11.549999999999999">
      <c r="A204" s="1133"/>
      <c r="B204" s="1782"/>
      <c r="C204" s="1782"/>
      <c r="D204" s="497"/>
      <c r="J204" s="6314"/>
      <c r="K204" s="6314"/>
      <c r="L204" s="6314"/>
      <c r="M204" s="6314"/>
      <c r="N204" s="6314"/>
      <c r="P204" s="1306"/>
      <c r="Q204" s="1782"/>
      <c r="R204" s="1782"/>
      <c r="S204" s="1306"/>
      <c r="T204" s="1306"/>
      <c r="U204" s="1306"/>
      <c r="V204" s="1306"/>
      <c r="W204" s="1782"/>
      <c r="X204" s="1306"/>
      <c r="Y204" s="1306"/>
      <c r="Z204" s="690"/>
      <c r="AA204" s="1306"/>
      <c r="AB204" s="1306"/>
      <c r="AC204" s="1306"/>
      <c r="AD204" s="1306"/>
      <c r="AE204" s="1306"/>
      <c r="AF204" s="1778"/>
      <c r="AG204" s="712"/>
      <c r="AH204" s="712"/>
      <c r="AI204" s="712"/>
      <c r="AJ204" s="712"/>
      <c r="AK204" s="1787">
        <v>11</v>
      </c>
    </row>
    <row s="6314" customFormat="1" customHeight="1" ht="11.549999999999999">
      <c r="A205" s="1133"/>
      <c r="B205" s="1782"/>
      <c r="C205" s="1782"/>
      <c r="D205" s="497"/>
      <c r="J205" s="6314"/>
      <c r="K205" s="6314"/>
      <c r="L205" s="6314"/>
      <c r="M205" s="6314"/>
      <c r="N205" s="6314"/>
      <c r="P205" s="1306"/>
      <c r="Q205" s="1782"/>
      <c r="R205" s="1782"/>
      <c r="S205" s="1306"/>
      <c r="T205" s="1306"/>
      <c r="U205" s="1306"/>
      <c r="V205" s="1306"/>
      <c r="W205" s="1782"/>
      <c r="X205" s="1306"/>
      <c r="Y205" s="1306"/>
      <c r="Z205" s="690"/>
      <c r="AA205" s="1306"/>
      <c r="AB205" s="1306"/>
      <c r="AC205" s="1306"/>
      <c r="AD205" s="1306"/>
      <c r="AE205" s="1306"/>
      <c r="AF205" s="1778"/>
      <c r="AG205" s="712"/>
      <c r="AH205" s="712"/>
      <c r="AI205" s="712"/>
      <c r="AJ205" s="712"/>
      <c r="AK205" s="1787">
        <v>11</v>
      </c>
    </row>
    <row s="6314" customFormat="1" customHeight="1" ht="11.549999999999999">
      <c r="A206" s="1133"/>
      <c r="B206" s="1782"/>
      <c r="C206" s="1782"/>
      <c r="D206" s="497"/>
      <c r="J206" s="6314"/>
      <c r="K206" s="6314"/>
      <c r="L206" s="6314"/>
      <c r="M206" s="6314"/>
      <c r="N206" s="6314"/>
      <c r="P206" s="1306"/>
      <c r="Q206" s="1782"/>
      <c r="R206" s="1782"/>
      <c r="S206" s="1306"/>
      <c r="T206" s="1306"/>
      <c r="U206" s="1306"/>
      <c r="V206" s="1306"/>
      <c r="W206" s="1782"/>
      <c r="X206" s="1306"/>
      <c r="Y206" s="1306"/>
      <c r="Z206" s="690"/>
      <c r="AA206" s="1306"/>
      <c r="AB206" s="1306"/>
      <c r="AC206" s="1306"/>
      <c r="AD206" s="1306"/>
      <c r="AE206" s="1306"/>
      <c r="AF206" s="1778"/>
      <c r="AG206" s="712"/>
      <c r="AH206" s="712"/>
      <c r="AI206" s="712"/>
      <c r="AJ206" s="712"/>
      <c r="AK206" s="1787">
        <v>11</v>
      </c>
    </row>
    <row s="6314" customFormat="1" customHeight="1" ht="11.549999999999999">
      <c r="A207" s="1133"/>
      <c r="B207" s="1782"/>
      <c r="C207" s="1782"/>
      <c r="D207" s="497"/>
      <c r="J207" s="6314"/>
      <c r="K207" s="6314"/>
      <c r="L207" s="6314"/>
      <c r="M207" s="6314"/>
      <c r="N207" s="6314"/>
      <c r="P207" s="1306"/>
      <c r="Q207" s="1782"/>
      <c r="R207" s="1782"/>
      <c r="S207" s="1306"/>
      <c r="T207" s="1306"/>
      <c r="U207" s="1306"/>
      <c r="V207" s="1306"/>
      <c r="W207" s="1782"/>
      <c r="X207" s="1306"/>
      <c r="Y207" s="1306"/>
      <c r="Z207" s="690"/>
      <c r="AA207" s="1306"/>
      <c r="AB207" s="1306"/>
      <c r="AC207" s="1306"/>
      <c r="AD207" s="1306"/>
      <c r="AE207" s="1306"/>
      <c r="AF207" s="1778"/>
      <c r="AG207" s="712"/>
      <c r="AH207" s="712"/>
      <c r="AI207" s="712"/>
      <c r="AJ207" s="712"/>
      <c r="AK207" s="1787">
        <v>11</v>
      </c>
    </row>
    <row s="6314" customFormat="1" customHeight="1" ht="11.549999999999999">
      <c r="A208" s="1133"/>
      <c r="B208" s="1782"/>
      <c r="C208" s="1782"/>
      <c r="D208" s="497"/>
      <c r="J208" s="6314"/>
      <c r="K208" s="6314"/>
      <c r="L208" s="6314"/>
      <c r="M208" s="6314"/>
      <c r="N208" s="6314"/>
      <c r="P208" s="1306"/>
      <c r="Q208" s="1782"/>
      <c r="R208" s="1782"/>
      <c r="S208" s="1306"/>
      <c r="T208" s="1306"/>
      <c r="U208" s="1306"/>
      <c r="V208" s="1306"/>
      <c r="W208" s="1782"/>
      <c r="X208" s="1306"/>
      <c r="Y208" s="1306"/>
      <c r="Z208" s="690"/>
      <c r="AA208" s="1306"/>
      <c r="AB208" s="1306"/>
      <c r="AC208" s="1306"/>
      <c r="AD208" s="1306"/>
      <c r="AE208" s="1306"/>
      <c r="AF208" s="1778"/>
      <c r="AG208" s="712"/>
      <c r="AH208" s="712"/>
      <c r="AI208" s="712"/>
      <c r="AJ208" s="712"/>
      <c r="AK208" s="1787">
        <v>11</v>
      </c>
    </row>
    <row s="6314" customFormat="1" customHeight="1" ht="11.549999999999999">
      <c r="A209" s="1133"/>
      <c r="B209" s="1782"/>
      <c r="C209" s="1782"/>
      <c r="D209" s="497"/>
      <c r="J209" s="6314"/>
      <c r="K209" s="6314"/>
      <c r="L209" s="6314"/>
      <c r="M209" s="6314"/>
      <c r="N209" s="6314"/>
      <c r="P209" s="1306"/>
      <c r="Q209" s="1782"/>
      <c r="R209" s="1782"/>
      <c r="S209" s="1306"/>
      <c r="T209" s="1306"/>
      <c r="U209" s="1306"/>
      <c r="V209" s="1306"/>
      <c r="W209" s="1782"/>
      <c r="X209" s="1306"/>
      <c r="Y209" s="1306"/>
      <c r="Z209" s="690"/>
      <c r="AA209" s="1306"/>
      <c r="AB209" s="1306"/>
      <c r="AC209" s="1306"/>
      <c r="AD209" s="1306"/>
      <c r="AE209" s="1306"/>
      <c r="AF209" s="1778"/>
      <c r="AG209" s="712"/>
      <c r="AH209" s="712"/>
      <c r="AI209" s="712"/>
      <c r="AJ209" s="712"/>
      <c r="AK209" s="1787">
        <v>11</v>
      </c>
    </row>
    <row s="6314" customFormat="1" customHeight="1" ht="11.549999999999999">
      <c r="A210" s="1133"/>
      <c r="B210" s="1782"/>
      <c r="C210" s="1782"/>
      <c r="D210" s="497"/>
      <c r="J210" s="6314"/>
      <c r="K210" s="6314"/>
      <c r="L210" s="6314"/>
      <c r="M210" s="6314"/>
      <c r="N210" s="6314"/>
      <c r="P210" s="1306"/>
      <c r="Q210" s="1782"/>
      <c r="R210" s="1782"/>
      <c r="S210" s="1306"/>
      <c r="T210" s="1306"/>
      <c r="U210" s="1306"/>
      <c r="V210" s="1306"/>
      <c r="W210" s="1782"/>
      <c r="X210" s="1306"/>
      <c r="Y210" s="1306"/>
      <c r="Z210" s="690"/>
      <c r="AA210" s="1306"/>
      <c r="AB210" s="1306"/>
      <c r="AC210" s="1306"/>
      <c r="AD210" s="1306"/>
      <c r="AE210" s="1306"/>
      <c r="AF210" s="1778"/>
      <c r="AG210" s="712"/>
      <c r="AH210" s="712"/>
      <c r="AI210" s="712"/>
      <c r="AJ210" s="712"/>
      <c r="AK210" s="1787">
        <v>11</v>
      </c>
    </row>
    <row s="6314" customFormat="1" customHeight="1" ht="11.549999999999999">
      <c r="A211" s="1133"/>
      <c r="B211" s="1782"/>
      <c r="C211" s="1782"/>
      <c r="D211" s="497"/>
      <c r="J211" s="6314"/>
      <c r="K211" s="6314"/>
      <c r="L211" s="6314"/>
      <c r="M211" s="6314"/>
      <c r="N211" s="6314"/>
      <c r="P211" s="1306"/>
      <c r="Q211" s="1782"/>
      <c r="R211" s="1782"/>
      <c r="S211" s="1306"/>
      <c r="T211" s="1306"/>
      <c r="U211" s="1306"/>
      <c r="V211" s="1306"/>
      <c r="W211" s="1782"/>
      <c r="X211" s="1306"/>
      <c r="Y211" s="1306"/>
      <c r="Z211" s="690"/>
      <c r="AA211" s="1306"/>
      <c r="AB211" s="1306"/>
      <c r="AC211" s="1306"/>
      <c r="AD211" s="1306"/>
      <c r="AE211" s="1306"/>
      <c r="AF211" s="1778"/>
      <c r="AG211" s="712"/>
      <c r="AH211" s="712"/>
      <c r="AI211" s="712"/>
      <c r="AJ211" s="712"/>
      <c r="AK211" s="1787">
        <v>11</v>
      </c>
    </row>
    <row s="6314" customFormat="1" customHeight="1" ht="11.549999999999999">
      <c r="A212" s="1133"/>
      <c r="B212" s="1782"/>
      <c r="C212" s="1782"/>
      <c r="D212" s="497"/>
      <c r="J212" s="6314"/>
      <c r="K212" s="6314"/>
      <c r="L212" s="6314"/>
      <c r="M212" s="6314"/>
      <c r="N212" s="6314"/>
      <c r="P212" s="1306"/>
      <c r="Q212" s="1782"/>
      <c r="R212" s="1782"/>
      <c r="S212" s="1306"/>
      <c r="T212" s="1306"/>
      <c r="U212" s="1306"/>
      <c r="V212" s="1306"/>
      <c r="W212" s="1782"/>
      <c r="X212" s="1306"/>
      <c r="Y212" s="1306"/>
      <c r="Z212" s="690"/>
      <c r="AA212" s="1306"/>
      <c r="AB212" s="1306"/>
      <c r="AC212" s="1306"/>
      <c r="AD212" s="1306"/>
      <c r="AE212" s="1306"/>
      <c r="AF212" s="1778"/>
      <c r="AG212" s="712"/>
      <c r="AH212" s="712"/>
      <c r="AI212" s="712"/>
      <c r="AJ212" s="712"/>
      <c r="AK212" s="1787">
        <v>11</v>
      </c>
    </row>
    <row s="6314" customFormat="1" customHeight="1" ht="11.549999999999999">
      <c r="A213" s="1133"/>
      <c r="B213" s="1782"/>
      <c r="C213" s="1782"/>
      <c r="D213" s="497"/>
      <c r="J213" s="6314"/>
      <c r="K213" s="6314"/>
      <c r="L213" s="6314"/>
      <c r="M213" s="6314"/>
      <c r="N213" s="6314"/>
      <c r="P213" s="1306"/>
      <c r="Q213" s="1782"/>
      <c r="R213" s="1782"/>
      <c r="S213" s="1306"/>
      <c r="T213" s="1306"/>
      <c r="U213" s="1306"/>
      <c r="V213" s="1306"/>
      <c r="W213" s="1782"/>
      <c r="X213" s="1306"/>
      <c r="Y213" s="1306"/>
      <c r="Z213" s="690"/>
      <c r="AA213" s="1306"/>
      <c r="AB213" s="1306"/>
      <c r="AC213" s="1306"/>
      <c r="AD213" s="1306"/>
      <c r="AE213" s="1306"/>
      <c r="AF213" s="1778"/>
      <c r="AG213" s="712"/>
      <c r="AH213" s="712"/>
      <c r="AI213" s="712"/>
      <c r="AJ213" s="712"/>
      <c r="AK213" s="1787">
        <v>11</v>
      </c>
    </row>
    <row s="6314" customFormat="1" customHeight="1" ht="11.549999999999999">
      <c r="A214" s="1133"/>
      <c r="B214" s="1782"/>
      <c r="C214" s="1782"/>
      <c r="D214" s="497"/>
      <c r="J214" s="6314"/>
      <c r="K214" s="6314"/>
      <c r="L214" s="6314"/>
      <c r="M214" s="6314"/>
      <c r="N214" s="6314"/>
      <c r="P214" s="1306"/>
      <c r="Q214" s="1782"/>
      <c r="R214" s="1782"/>
      <c r="S214" s="1306"/>
      <c r="T214" s="1306"/>
      <c r="U214" s="1306"/>
      <c r="V214" s="1306"/>
      <c r="W214" s="1782"/>
      <c r="X214" s="1306"/>
      <c r="Y214" s="1306"/>
      <c r="Z214" s="690"/>
      <c r="AA214" s="1306"/>
      <c r="AB214" s="1306"/>
      <c r="AC214" s="1306"/>
      <c r="AD214" s="1306"/>
      <c r="AE214" s="1306"/>
      <c r="AF214" s="1778"/>
      <c r="AG214" s="712"/>
      <c r="AH214" s="712"/>
      <c r="AI214" s="712"/>
      <c r="AJ214" s="712"/>
      <c r="AK214" s="1787">
        <v>11</v>
      </c>
    </row>
    <row s="6314" customFormat="1" customHeight="1" ht="11.549999999999999">
      <c r="A215" s="1133"/>
      <c r="B215" s="1782"/>
      <c r="C215" s="1782"/>
      <c r="D215" s="497"/>
      <c r="J215" s="6314"/>
      <c r="K215" s="6314"/>
      <c r="L215" s="6314"/>
      <c r="M215" s="6314"/>
      <c r="N215" s="6314"/>
      <c r="P215" s="1306"/>
      <c r="Q215" s="1782"/>
      <c r="R215" s="1782"/>
      <c r="S215" s="1306"/>
      <c r="T215" s="1306"/>
      <c r="U215" s="1306"/>
      <c r="V215" s="1306"/>
      <c r="W215" s="1782"/>
      <c r="X215" s="1306"/>
      <c r="Y215" s="1306"/>
      <c r="Z215" s="690"/>
      <c r="AA215" s="1306"/>
      <c r="AB215" s="1306"/>
      <c r="AC215" s="1306"/>
      <c r="AD215" s="1306"/>
      <c r="AE215" s="1306"/>
      <c r="AF215" s="1778"/>
      <c r="AG215" s="712"/>
      <c r="AH215" s="712"/>
      <c r="AI215" s="712"/>
      <c r="AJ215" s="712"/>
      <c r="AK215" s="1787">
        <v>11</v>
      </c>
    </row>
    <row s="6314" customFormat="1" customHeight="1" ht="11.549999999999999">
      <c r="A216" s="1133"/>
      <c r="B216" s="1782"/>
      <c r="C216" s="1782"/>
      <c r="D216" s="497"/>
      <c r="J216" s="6314"/>
      <c r="K216" s="6314"/>
      <c r="L216" s="6314"/>
      <c r="M216" s="6314"/>
      <c r="N216" s="6314"/>
      <c r="P216" s="1306"/>
      <c r="Q216" s="1782"/>
      <c r="R216" s="1782"/>
      <c r="S216" s="1306"/>
      <c r="T216" s="1306"/>
      <c r="U216" s="1306"/>
      <c r="V216" s="1306"/>
      <c r="W216" s="1782"/>
      <c r="X216" s="1306"/>
      <c r="Y216" s="1306"/>
      <c r="Z216" s="690"/>
      <c r="AA216" s="1306"/>
      <c r="AB216" s="1306"/>
      <c r="AC216" s="1306"/>
      <c r="AD216" s="1306"/>
      <c r="AE216" s="1306"/>
      <c r="AF216" s="1778"/>
      <c r="AG216" s="712"/>
      <c r="AH216" s="712"/>
      <c r="AI216" s="712"/>
      <c r="AJ216" s="712"/>
      <c r="AK216" s="1787">
        <v>11</v>
      </c>
    </row>
    <row s="6314" customFormat="1" customHeight="1" ht="11.549999999999999">
      <c r="A217" s="1133"/>
      <c r="B217" s="1782"/>
      <c r="C217" s="1782"/>
      <c r="D217" s="497"/>
      <c r="J217" s="6314"/>
      <c r="K217" s="6314"/>
      <c r="L217" s="6314"/>
      <c r="M217" s="6314"/>
      <c r="N217" s="6314"/>
      <c r="P217" s="1306"/>
      <c r="Q217" s="1782"/>
      <c r="R217" s="1782"/>
      <c r="S217" s="1306"/>
      <c r="T217" s="1306"/>
      <c r="U217" s="1306"/>
      <c r="V217" s="1306"/>
      <c r="W217" s="1782"/>
      <c r="X217" s="1306"/>
      <c r="Y217" s="1306"/>
      <c r="Z217" s="690"/>
      <c r="AA217" s="1306"/>
      <c r="AB217" s="1306"/>
      <c r="AC217" s="1306"/>
      <c r="AD217" s="1306"/>
      <c r="AE217" s="1306"/>
      <c r="AF217" s="1778"/>
      <c r="AG217" s="712"/>
      <c r="AH217" s="712"/>
      <c r="AI217" s="712"/>
      <c r="AJ217" s="712"/>
      <c r="AK217" s="1787">
        <v>11</v>
      </c>
    </row>
    <row s="6314" customFormat="1" customHeight="1" ht="11.549999999999999">
      <c r="A218" s="1133"/>
      <c r="B218" s="1782"/>
      <c r="C218" s="1782"/>
      <c r="D218" s="497"/>
      <c r="J218" s="6314"/>
      <c r="K218" s="6314"/>
      <c r="L218" s="6314"/>
      <c r="M218" s="6314"/>
      <c r="N218" s="6314"/>
      <c r="P218" s="1306"/>
      <c r="Q218" s="1782"/>
      <c r="R218" s="1782"/>
      <c r="S218" s="1306"/>
      <c r="T218" s="1306"/>
      <c r="U218" s="1306"/>
      <c r="V218" s="1306"/>
      <c r="W218" s="1782"/>
      <c r="X218" s="1306"/>
      <c r="Y218" s="1306"/>
      <c r="Z218" s="690"/>
      <c r="AA218" s="1306"/>
      <c r="AB218" s="1306"/>
      <c r="AC218" s="1306"/>
      <c r="AD218" s="1306"/>
      <c r="AE218" s="1306"/>
      <c r="AF218" s="1778"/>
      <c r="AG218" s="712"/>
      <c r="AH218" s="712"/>
      <c r="AI218" s="712"/>
      <c r="AJ218" s="712"/>
      <c r="AK218" s="1787">
        <v>11</v>
      </c>
    </row>
    <row s="6314" customFormat="1" customHeight="1" ht="11.549999999999999">
      <c r="A219" s="1133"/>
      <c r="B219" s="1782"/>
      <c r="C219" s="1782"/>
      <c r="D219" s="497"/>
      <c r="J219" s="6314"/>
      <c r="K219" s="6314"/>
      <c r="L219" s="6314"/>
      <c r="M219" s="6314"/>
      <c r="N219" s="6314"/>
      <c r="P219" s="1306"/>
      <c r="Q219" s="1782"/>
      <c r="R219" s="1782"/>
      <c r="S219" s="1306"/>
      <c r="T219" s="1306"/>
      <c r="U219" s="1306"/>
      <c r="V219" s="1306"/>
      <c r="W219" s="1782"/>
      <c r="X219" s="1306"/>
      <c r="Y219" s="1306"/>
      <c r="Z219" s="690"/>
      <c r="AA219" s="1306"/>
      <c r="AB219" s="1306"/>
      <c r="AC219" s="1306"/>
      <c r="AD219" s="1306"/>
      <c r="AE219" s="1306"/>
      <c r="AF219" s="1778"/>
      <c r="AG219" s="712"/>
      <c r="AH219" s="712"/>
      <c r="AI219" s="712"/>
      <c r="AJ219" s="712"/>
      <c r="AK219" s="1787">
        <v>11</v>
      </c>
    </row>
    <row s="6314" customFormat="1" customHeight="1" ht="11.549999999999999">
      <c r="A220" s="1133"/>
      <c r="B220" s="1782"/>
      <c r="C220" s="1782"/>
      <c r="D220" s="497"/>
      <c r="J220" s="6314"/>
      <c r="K220" s="6314"/>
      <c r="L220" s="6314"/>
      <c r="M220" s="6314"/>
      <c r="N220" s="6314"/>
      <c r="P220" s="1306"/>
      <c r="Q220" s="1782"/>
      <c r="R220" s="1782"/>
      <c r="S220" s="1306"/>
      <c r="T220" s="1306"/>
      <c r="U220" s="1306"/>
      <c r="V220" s="1306"/>
      <c r="W220" s="1782"/>
      <c r="X220" s="1306"/>
      <c r="Y220" s="1306"/>
      <c r="Z220" s="690"/>
      <c r="AA220" s="1306"/>
      <c r="AB220" s="1306"/>
      <c r="AC220" s="1306"/>
      <c r="AD220" s="1306"/>
      <c r="AE220" s="1306"/>
      <c r="AF220" s="1778"/>
      <c r="AG220" s="712"/>
      <c r="AH220" s="712"/>
      <c r="AI220" s="712"/>
      <c r="AJ220" s="712"/>
      <c r="AK220" s="1787">
        <v>11</v>
      </c>
    </row>
    <row s="6314" customFormat="1" customHeight="1" ht="11.549999999999999">
      <c r="A221" s="1133"/>
      <c r="B221" s="1782"/>
      <c r="C221" s="1782"/>
      <c r="D221" s="497"/>
      <c r="J221" s="6314"/>
      <c r="K221" s="6314"/>
      <c r="L221" s="6314"/>
      <c r="M221" s="6314"/>
      <c r="N221" s="6314"/>
      <c r="P221" s="1306"/>
      <c r="Q221" s="1782"/>
      <c r="R221" s="1782"/>
      <c r="S221" s="1306"/>
      <c r="T221" s="1306"/>
      <c r="U221" s="1306"/>
      <c r="V221" s="1306"/>
      <c r="W221" s="1782"/>
      <c r="X221" s="1306"/>
      <c r="Y221" s="1306"/>
      <c r="Z221" s="690"/>
      <c r="AA221" s="1306"/>
      <c r="AB221" s="1306"/>
      <c r="AC221" s="1306"/>
      <c r="AD221" s="1306"/>
      <c r="AE221" s="1306"/>
      <c r="AF221" s="1778"/>
      <c r="AG221" s="712"/>
      <c r="AH221" s="712"/>
      <c r="AI221" s="712"/>
      <c r="AJ221" s="712"/>
      <c r="AK221" s="1787">
        <v>11</v>
      </c>
    </row>
    <row s="6314" customFormat="1" customHeight="1" ht="11.549999999999999">
      <c r="A222" s="1133"/>
      <c r="B222" s="1782"/>
      <c r="C222" s="1782"/>
      <c r="D222" s="497"/>
      <c r="J222" s="6314"/>
      <c r="K222" s="6314"/>
      <c r="L222" s="6314"/>
      <c r="M222" s="6314"/>
      <c r="N222" s="6314"/>
      <c r="P222" s="1306"/>
      <c r="Q222" s="1782"/>
      <c r="R222" s="1782"/>
      <c r="S222" s="1306"/>
      <c r="T222" s="1306"/>
      <c r="U222" s="1306"/>
      <c r="V222" s="1306"/>
      <c r="W222" s="1782"/>
      <c r="X222" s="1306"/>
      <c r="Y222" s="1306"/>
      <c r="Z222" s="690"/>
      <c r="AA222" s="1306"/>
      <c r="AB222" s="1306"/>
      <c r="AC222" s="1306"/>
      <c r="AD222" s="1306"/>
      <c r="AE222" s="1306"/>
      <c r="AF222" s="1778"/>
      <c r="AG222" s="712"/>
      <c r="AH222" s="712"/>
      <c r="AI222" s="712"/>
      <c r="AJ222" s="712"/>
      <c r="AK222" s="1787">
        <v>11</v>
      </c>
    </row>
    <row s="6314" customFormat="1" customHeight="1" ht="11.549999999999999">
      <c r="A223" s="1133"/>
      <c r="B223" s="1782"/>
      <c r="C223" s="1782"/>
      <c r="D223" s="497"/>
      <c r="J223" s="6314"/>
      <c r="K223" s="6314"/>
      <c r="L223" s="6314"/>
      <c r="M223" s="6314"/>
      <c r="N223" s="6314"/>
      <c r="P223" s="1306"/>
      <c r="Q223" s="1782"/>
      <c r="R223" s="1782"/>
      <c r="S223" s="1306"/>
      <c r="T223" s="1306"/>
      <c r="U223" s="1306"/>
      <c r="V223" s="1306"/>
      <c r="W223" s="1782"/>
      <c r="X223" s="1306"/>
      <c r="Y223" s="1306"/>
      <c r="Z223" s="690"/>
      <c r="AA223" s="1306"/>
      <c r="AB223" s="1306"/>
      <c r="AC223" s="1306"/>
      <c r="AD223" s="1306"/>
      <c r="AE223" s="1306"/>
      <c r="AF223" s="1778"/>
      <c r="AG223" s="712"/>
      <c r="AH223" s="712"/>
      <c r="AI223" s="712"/>
      <c r="AJ223" s="712"/>
      <c r="AK223" s="1787">
        <v>11</v>
      </c>
    </row>
    <row s="6314" customFormat="1" customHeight="1" ht="11.549999999999999">
      <c r="A224" s="1133"/>
      <c r="B224" s="1782"/>
      <c r="C224" s="1782"/>
      <c r="D224" s="497"/>
      <c r="J224" s="6314"/>
      <c r="K224" s="6314"/>
      <c r="L224" s="6314"/>
      <c r="M224" s="6314"/>
      <c r="N224" s="6314"/>
      <c r="P224" s="1306"/>
      <c r="Q224" s="1782"/>
      <c r="R224" s="1782"/>
      <c r="S224" s="1306"/>
      <c r="T224" s="1306"/>
      <c r="U224" s="1306"/>
      <c r="V224" s="1306"/>
      <c r="W224" s="1782"/>
      <c r="X224" s="1306"/>
      <c r="Y224" s="1306"/>
      <c r="Z224" s="690"/>
      <c r="AA224" s="1306"/>
      <c r="AB224" s="1306"/>
      <c r="AC224" s="1306"/>
      <c r="AD224" s="1306"/>
      <c r="AE224" s="1306"/>
      <c r="AF224" s="1778"/>
      <c r="AG224" s="712"/>
      <c r="AH224" s="712"/>
      <c r="AI224" s="712"/>
      <c r="AJ224" s="712"/>
      <c r="AK224" s="1787">
        <v>11</v>
      </c>
    </row>
    <row s="6314" customFormat="1" customHeight="1" ht="11.549999999999999">
      <c r="A225" s="1133"/>
      <c r="B225" s="1782"/>
      <c r="C225" s="1782"/>
      <c r="D225" s="497"/>
      <c r="J225" s="6314"/>
      <c r="K225" s="6314"/>
      <c r="L225" s="6314"/>
      <c r="M225" s="6314"/>
      <c r="N225" s="6314"/>
      <c r="P225" s="1306"/>
      <c r="Q225" s="1782"/>
      <c r="R225" s="1782"/>
      <c r="S225" s="1306"/>
      <c r="T225" s="1306"/>
      <c r="U225" s="1306"/>
      <c r="V225" s="1306"/>
      <c r="W225" s="1782"/>
      <c r="X225" s="1306"/>
      <c r="Y225" s="1306"/>
      <c r="Z225" s="690"/>
      <c r="AA225" s="1306"/>
      <c r="AB225" s="1306"/>
      <c r="AC225" s="1306"/>
      <c r="AD225" s="1306"/>
      <c r="AE225" s="1306"/>
      <c r="AF225" s="1778"/>
      <c r="AG225" s="712"/>
      <c r="AH225" s="712"/>
      <c r="AI225" s="712"/>
      <c r="AJ225" s="712"/>
      <c r="AK225" s="1787">
        <v>11</v>
      </c>
    </row>
    <row s="6314" customFormat="1" customHeight="1" ht="11.549999999999999">
      <c r="A226" s="1133"/>
      <c r="B226" s="1782"/>
      <c r="C226" s="1782"/>
      <c r="D226" s="497"/>
      <c r="J226" s="6314"/>
      <c r="K226" s="6314"/>
      <c r="L226" s="6314"/>
      <c r="M226" s="6314"/>
      <c r="N226" s="6314"/>
      <c r="P226" s="1306"/>
      <c r="Q226" s="1782"/>
      <c r="R226" s="1782"/>
      <c r="S226" s="1306"/>
      <c r="T226" s="1306"/>
      <c r="U226" s="1306"/>
      <c r="V226" s="1306"/>
      <c r="W226" s="1782"/>
      <c r="X226" s="1306"/>
      <c r="Y226" s="1306"/>
      <c r="Z226" s="690"/>
      <c r="AA226" s="1306"/>
      <c r="AB226" s="1306"/>
      <c r="AC226" s="1306"/>
      <c r="AD226" s="1306"/>
      <c r="AE226" s="1306"/>
      <c r="AF226" s="1778"/>
      <c r="AG226" s="712"/>
      <c r="AH226" s="712"/>
      <c r="AI226" s="712"/>
      <c r="AJ226" s="712"/>
      <c r="AK226" s="1787">
        <v>11</v>
      </c>
    </row>
    <row s="6314" customFormat="1" customHeight="1" ht="11.549999999999999">
      <c r="A227" s="1133"/>
      <c r="B227" s="1782"/>
      <c r="C227" s="1782"/>
      <c r="D227" s="497"/>
      <c r="J227" s="6314"/>
      <c r="K227" s="6314"/>
      <c r="L227" s="6314"/>
      <c r="M227" s="6314"/>
      <c r="N227" s="6314"/>
      <c r="P227" s="1306"/>
      <c r="Q227" s="1782"/>
      <c r="R227" s="1782"/>
      <c r="S227" s="1306"/>
      <c r="T227" s="1306"/>
      <c r="U227" s="1306"/>
      <c r="V227" s="1306"/>
      <c r="W227" s="1782"/>
      <c r="X227" s="1306"/>
      <c r="Y227" s="1306"/>
      <c r="Z227" s="690"/>
      <c r="AA227" s="1306"/>
      <c r="AB227" s="1306"/>
      <c r="AC227" s="1306"/>
      <c r="AD227" s="1306"/>
      <c r="AE227" s="1306"/>
      <c r="AF227" s="1778"/>
      <c r="AG227" s="712"/>
      <c r="AH227" s="712"/>
      <c r="AI227" s="712"/>
      <c r="AJ227" s="712"/>
      <c r="AK227" s="1787">
        <v>11</v>
      </c>
    </row>
    <row s="6314" customFormat="1" customHeight="1" ht="11.549999999999999">
      <c r="A228" s="1133"/>
      <c r="B228" s="1782"/>
      <c r="C228" s="1782"/>
      <c r="D228" s="497"/>
      <c r="J228" s="6314"/>
      <c r="K228" s="6314"/>
      <c r="L228" s="6314"/>
      <c r="M228" s="6314"/>
      <c r="N228" s="6314"/>
      <c r="P228" s="1306"/>
      <c r="Q228" s="1782"/>
      <c r="R228" s="1782"/>
      <c r="S228" s="1306"/>
      <c r="T228" s="1306"/>
      <c r="U228" s="1306"/>
      <c r="V228" s="1306"/>
      <c r="W228" s="1782"/>
      <c r="X228" s="1306"/>
      <c r="Y228" s="1306"/>
      <c r="Z228" s="690"/>
      <c r="AA228" s="1306"/>
      <c r="AB228" s="1306"/>
      <c r="AC228" s="1306"/>
      <c r="AD228" s="1306"/>
      <c r="AE228" s="1306"/>
      <c r="AF228" s="1778"/>
      <c r="AG228" s="712"/>
      <c r="AH228" s="712"/>
      <c r="AI228" s="712"/>
      <c r="AJ228" s="712"/>
      <c r="AK228" s="1787">
        <v>11</v>
      </c>
    </row>
    <row s="6314" customFormat="1" customHeight="1" ht="11.549999999999999">
      <c r="A229" s="1133"/>
      <c r="B229" s="1782"/>
      <c r="C229" s="1782"/>
      <c r="D229" s="497"/>
      <c r="J229" s="6314"/>
      <c r="K229" s="6314"/>
      <c r="L229" s="6314"/>
      <c r="M229" s="6314"/>
      <c r="N229" s="6314"/>
      <c r="P229" s="1306"/>
      <c r="Q229" s="1782"/>
      <c r="R229" s="1782"/>
      <c r="S229" s="1306"/>
      <c r="T229" s="1306"/>
      <c r="U229" s="1306"/>
      <c r="V229" s="1306"/>
      <c r="W229" s="1782"/>
      <c r="X229" s="1306"/>
      <c r="Y229" s="1306"/>
      <c r="Z229" s="690"/>
      <c r="AA229" s="1306"/>
      <c r="AB229" s="1306"/>
      <c r="AC229" s="1306"/>
      <c r="AD229" s="1306"/>
      <c r="AE229" s="1306"/>
      <c r="AF229" s="1778"/>
      <c r="AG229" s="712"/>
      <c r="AH229" s="712"/>
      <c r="AI229" s="712"/>
      <c r="AJ229" s="712"/>
      <c r="AK229" s="1787">
        <v>11</v>
      </c>
    </row>
    <row s="6314" customFormat="1" customHeight="1" ht="11.549999999999999">
      <c r="A230" s="1133"/>
      <c r="B230" s="1782"/>
      <c r="C230" s="1782"/>
      <c r="D230" s="497"/>
      <c r="J230" s="6314"/>
      <c r="K230" s="6314"/>
      <c r="L230" s="6314"/>
      <c r="M230" s="6314"/>
      <c r="N230" s="6314"/>
      <c r="P230" s="1306"/>
      <c r="Q230" s="1782"/>
      <c r="R230" s="1782"/>
      <c r="S230" s="1306"/>
      <c r="T230" s="1306"/>
      <c r="U230" s="1306"/>
      <c r="V230" s="1306"/>
      <c r="W230" s="1782"/>
      <c r="X230" s="1306"/>
      <c r="Y230" s="1306"/>
      <c r="Z230" s="690"/>
      <c r="AA230" s="1306"/>
      <c r="AB230" s="1306"/>
      <c r="AC230" s="1306"/>
      <c r="AD230" s="1306"/>
      <c r="AE230" s="1306"/>
      <c r="AF230" s="1778"/>
      <c r="AG230" s="712"/>
      <c r="AH230" s="712"/>
      <c r="AI230" s="712"/>
      <c r="AJ230" s="712"/>
      <c r="AK230" s="1787">
        <v>11</v>
      </c>
    </row>
    <row s="6314" customFormat="1" customHeight="1" ht="11.549999999999999">
      <c r="A231" s="1133"/>
      <c r="B231" s="1782"/>
      <c r="C231" s="1782"/>
      <c r="D231" s="497"/>
      <c r="J231" s="6314"/>
      <c r="K231" s="6314"/>
      <c r="L231" s="6314"/>
      <c r="M231" s="6314"/>
      <c r="N231" s="6314"/>
      <c r="P231" s="1306"/>
      <c r="Q231" s="1782"/>
      <c r="R231" s="1782"/>
      <c r="S231" s="1306"/>
      <c r="T231" s="1306"/>
      <c r="U231" s="1306"/>
      <c r="V231" s="1306"/>
      <c r="W231" s="1782"/>
      <c r="X231" s="1306"/>
      <c r="Y231" s="1306"/>
      <c r="Z231" s="690"/>
      <c r="AA231" s="1306"/>
      <c r="AB231" s="1306"/>
      <c r="AC231" s="1306"/>
      <c r="AD231" s="1306"/>
      <c r="AE231" s="1306"/>
      <c r="AF231" s="1778"/>
      <c r="AG231" s="712"/>
      <c r="AH231" s="712"/>
      <c r="AI231" s="712"/>
      <c r="AJ231" s="712"/>
      <c r="AK231" s="1787">
        <v>11</v>
      </c>
    </row>
    <row s="6314" customFormat="1" customHeight="1" ht="11.549999999999999">
      <c r="A232" s="1133"/>
      <c r="B232" s="1782"/>
      <c r="C232" s="1782"/>
      <c r="D232" s="497"/>
      <c r="J232" s="6314"/>
      <c r="K232" s="6314"/>
      <c r="L232" s="6314"/>
      <c r="M232" s="6314"/>
      <c r="N232" s="6314"/>
      <c r="P232" s="1306"/>
      <c r="Q232" s="1782"/>
      <c r="R232" s="1782"/>
      <c r="S232" s="1306"/>
      <c r="T232" s="1306"/>
      <c r="U232" s="1306"/>
      <c r="V232" s="1306"/>
      <c r="W232" s="1782"/>
      <c r="X232" s="1306"/>
      <c r="Y232" s="1306"/>
      <c r="Z232" s="690"/>
      <c r="AA232" s="1306"/>
      <c r="AB232" s="1306"/>
      <c r="AC232" s="1306"/>
      <c r="AD232" s="1306"/>
      <c r="AE232" s="1306"/>
      <c r="AF232" s="1778"/>
      <c r="AG232" s="712"/>
      <c r="AH232" s="712"/>
      <c r="AI232" s="712"/>
      <c r="AJ232" s="712"/>
      <c r="AK232" s="1787">
        <v>11</v>
      </c>
    </row>
    <row s="6314" customFormat="1" customHeight="1" ht="11.549999999999999">
      <c r="A233" s="1133"/>
      <c r="B233" s="1782"/>
      <c r="C233" s="1782"/>
      <c r="D233" s="497"/>
      <c r="J233" s="6314"/>
      <c r="K233" s="6314"/>
      <c r="L233" s="6314"/>
      <c r="M233" s="6314"/>
      <c r="N233" s="6314"/>
      <c r="P233" s="1306"/>
      <c r="Q233" s="1782"/>
      <c r="R233" s="1782"/>
      <c r="S233" s="1306"/>
      <c r="T233" s="1306"/>
      <c r="U233" s="1306"/>
      <c r="V233" s="1306"/>
      <c r="W233" s="1782"/>
      <c r="X233" s="1306"/>
      <c r="Y233" s="1306"/>
      <c r="Z233" s="690"/>
      <c r="AA233" s="1306"/>
      <c r="AB233" s="1306"/>
      <c r="AC233" s="1306"/>
      <c r="AD233" s="1306"/>
      <c r="AE233" s="1306"/>
      <c r="AF233" s="1778"/>
      <c r="AG233" s="712"/>
      <c r="AH233" s="712"/>
      <c r="AI233" s="712"/>
      <c r="AJ233" s="712"/>
      <c r="AK233" s="1787">
        <v>11</v>
      </c>
    </row>
    <row s="6314" customFormat="1" customHeight="1" ht="11.549999999999999">
      <c r="A234" s="1133"/>
      <c r="B234" s="1782"/>
      <c r="C234" s="1782"/>
      <c r="D234" s="497"/>
      <c r="J234" s="6314"/>
      <c r="K234" s="6314"/>
      <c r="L234" s="6314"/>
      <c r="M234" s="6314"/>
      <c r="N234" s="6314"/>
      <c r="P234" s="1306"/>
      <c r="Q234" s="1782"/>
      <c r="R234" s="1782"/>
      <c r="S234" s="1306"/>
      <c r="T234" s="1306"/>
      <c r="U234" s="1306"/>
      <c r="V234" s="1306"/>
      <c r="W234" s="1782"/>
      <c r="X234" s="1306"/>
      <c r="Y234" s="1306"/>
      <c r="Z234" s="690"/>
      <c r="AA234" s="1306"/>
      <c r="AB234" s="1306"/>
      <c r="AC234" s="1306"/>
      <c r="AD234" s="1306"/>
      <c r="AE234" s="1306"/>
      <c r="AF234" s="1778"/>
      <c r="AG234" s="712"/>
      <c r="AH234" s="712"/>
      <c r="AI234" s="712"/>
      <c r="AJ234" s="712"/>
      <c r="AK234" s="1787">
        <v>11</v>
      </c>
    </row>
    <row s="6314" customFormat="1" customHeight="1" ht="11.549999999999999">
      <c r="A235" s="1133"/>
      <c r="B235" s="1782"/>
      <c r="C235" s="1782"/>
      <c r="D235" s="497"/>
      <c r="J235" s="6314"/>
      <c r="K235" s="6314"/>
      <c r="L235" s="6314"/>
      <c r="M235" s="6314"/>
      <c r="N235" s="6314"/>
      <c r="P235" s="1306"/>
      <c r="Q235" s="1782"/>
      <c r="R235" s="1782"/>
      <c r="S235" s="1306"/>
      <c r="T235" s="1306"/>
      <c r="U235" s="1306"/>
      <c r="V235" s="1306"/>
      <c r="W235" s="1782"/>
      <c r="X235" s="1306"/>
      <c r="Y235" s="1306"/>
      <c r="Z235" s="690"/>
      <c r="AA235" s="1306"/>
      <c r="AB235" s="1306"/>
      <c r="AC235" s="1306"/>
      <c r="AD235" s="1306"/>
      <c r="AE235" s="1306"/>
      <c r="AF235" s="1778"/>
      <c r="AG235" s="712"/>
      <c r="AH235" s="712"/>
      <c r="AI235" s="712"/>
      <c r="AJ235" s="712"/>
      <c r="AK235" s="1787">
        <v>11</v>
      </c>
    </row>
    <row s="6314" customFormat="1" customHeight="1" ht="11.549999999999999">
      <c r="A236" s="1133"/>
      <c r="B236" s="1782"/>
      <c r="C236" s="1782"/>
      <c r="D236" s="497"/>
      <c r="J236" s="6314"/>
      <c r="K236" s="6314"/>
      <c r="L236" s="6314"/>
      <c r="M236" s="6314"/>
      <c r="N236" s="6314"/>
      <c r="P236" s="1306"/>
      <c r="Q236" s="1782"/>
      <c r="R236" s="1782"/>
      <c r="S236" s="1306"/>
      <c r="T236" s="1306"/>
      <c r="U236" s="1306"/>
      <c r="V236" s="1306"/>
      <c r="W236" s="1782"/>
      <c r="X236" s="1306"/>
      <c r="Y236" s="1306"/>
      <c r="Z236" s="690"/>
      <c r="AA236" s="1306"/>
      <c r="AB236" s="1306"/>
      <c r="AC236" s="1306"/>
      <c r="AD236" s="1306"/>
      <c r="AE236" s="1306"/>
      <c r="AF236" s="1778"/>
      <c r="AG236" s="712"/>
      <c r="AH236" s="712"/>
      <c r="AI236" s="712"/>
      <c r="AJ236" s="712"/>
      <c r="AK236" s="1787">
        <v>11</v>
      </c>
    </row>
    <row s="6314" customFormat="1" customHeight="1" ht="11.549999999999999">
      <c r="A237" s="1133"/>
      <c r="B237" s="1782"/>
      <c r="C237" s="1782"/>
      <c r="D237" s="497"/>
      <c r="J237" s="6314"/>
      <c r="K237" s="6314"/>
      <c r="L237" s="6314"/>
      <c r="M237" s="6314"/>
      <c r="N237" s="6314"/>
      <c r="P237" s="1306"/>
      <c r="Q237" s="1782"/>
      <c r="R237" s="1782"/>
      <c r="S237" s="1306"/>
      <c r="T237" s="1306"/>
      <c r="U237" s="1306"/>
      <c r="V237" s="1306"/>
      <c r="W237" s="1782"/>
      <c r="X237" s="1306"/>
      <c r="Y237" s="1306"/>
      <c r="Z237" s="690"/>
      <c r="AA237" s="1306"/>
      <c r="AB237" s="1306"/>
      <c r="AC237" s="1306"/>
      <c r="AD237" s="1306"/>
      <c r="AE237" s="1306"/>
      <c r="AF237" s="1778"/>
      <c r="AG237" s="712"/>
      <c r="AH237" s="712"/>
      <c r="AI237" s="712"/>
      <c r="AJ237" s="712"/>
      <c r="AK237" s="1787">
        <v>11</v>
      </c>
    </row>
    <row s="6314" customFormat="1" customHeight="1" ht="11.549999999999999">
      <c r="A238" s="1133"/>
      <c r="B238" s="1782"/>
      <c r="C238" s="1782"/>
      <c r="D238" s="497"/>
      <c r="J238" s="6314"/>
      <c r="K238" s="6314"/>
      <c r="L238" s="6314"/>
      <c r="M238" s="6314"/>
      <c r="N238" s="6314"/>
      <c r="P238" s="1306"/>
      <c r="Q238" s="1782"/>
      <c r="R238" s="1782"/>
      <c r="S238" s="1306"/>
      <c r="T238" s="1306"/>
      <c r="U238" s="1306"/>
      <c r="V238" s="1306"/>
      <c r="W238" s="1782"/>
      <c r="X238" s="1306"/>
      <c r="Y238" s="1306"/>
      <c r="Z238" s="690"/>
      <c r="AA238" s="1306"/>
      <c r="AB238" s="1306"/>
      <c r="AC238" s="1306"/>
      <c r="AD238" s="1306"/>
      <c r="AE238" s="1306"/>
      <c r="AF238" s="1778"/>
      <c r="AG238" s="712"/>
      <c r="AH238" s="712"/>
      <c r="AI238" s="712"/>
      <c r="AJ238" s="712"/>
      <c r="AK238" s="1787">
        <v>11</v>
      </c>
    </row>
    <row s="6314" customFormat="1" customHeight="1" ht="11.549999999999999">
      <c r="A239" s="1133"/>
      <c r="B239" s="1782"/>
      <c r="C239" s="1782"/>
      <c r="D239" s="497"/>
      <c r="J239" s="6314"/>
      <c r="K239" s="6314"/>
      <c r="L239" s="6314"/>
      <c r="M239" s="6314"/>
      <c r="N239" s="6314"/>
      <c r="P239" s="1306"/>
      <c r="Q239" s="1782"/>
      <c r="R239" s="1782"/>
      <c r="S239" s="1306"/>
      <c r="T239" s="1306"/>
      <c r="U239" s="1306"/>
      <c r="V239" s="1306"/>
      <c r="W239" s="1782"/>
      <c r="X239" s="1306"/>
      <c r="Y239" s="1306"/>
      <c r="Z239" s="690"/>
      <c r="AA239" s="1306"/>
      <c r="AB239" s="1306"/>
      <c r="AC239" s="1306"/>
      <c r="AD239" s="1306"/>
      <c r="AE239" s="1306"/>
      <c r="AF239" s="1778"/>
      <c r="AG239" s="712"/>
      <c r="AH239" s="712"/>
      <c r="AI239" s="712"/>
      <c r="AJ239" s="712"/>
      <c r="AK239" s="1787">
        <v>11</v>
      </c>
    </row>
    <row s="6314" customFormat="1" customHeight="1" ht="11.549999999999999">
      <c r="A240" s="1133"/>
      <c r="B240" s="1782"/>
      <c r="C240" s="1782"/>
      <c r="D240" s="497"/>
      <c r="J240" s="6314"/>
      <c r="K240" s="6314"/>
      <c r="L240" s="6314"/>
      <c r="M240" s="6314"/>
      <c r="N240" s="6314"/>
      <c r="P240" s="1306"/>
      <c r="Q240" s="1782"/>
      <c r="R240" s="1782"/>
      <c r="S240" s="1306"/>
      <c r="T240" s="1306"/>
      <c r="U240" s="1306"/>
      <c r="V240" s="1306"/>
      <c r="W240" s="1782"/>
      <c r="X240" s="1306"/>
      <c r="Y240" s="1306"/>
      <c r="Z240" s="690"/>
      <c r="AA240" s="1306"/>
      <c r="AB240" s="1306"/>
      <c r="AC240" s="1306"/>
      <c r="AD240" s="1306"/>
      <c r="AE240" s="1306"/>
      <c r="AF240" s="1778"/>
      <c r="AG240" s="712"/>
      <c r="AH240" s="712"/>
      <c r="AI240" s="712"/>
      <c r="AJ240" s="712"/>
      <c r="AK240" s="1787">
        <v>11</v>
      </c>
    </row>
    <row s="6314" customFormat="1" customHeight="1" ht="11.549999999999999">
      <c r="A241" s="1133"/>
      <c r="B241" s="1782"/>
      <c r="C241" s="1782"/>
      <c r="D241" s="497"/>
      <c r="J241" s="6314"/>
      <c r="K241" s="6314"/>
      <c r="L241" s="6314"/>
      <c r="M241" s="6314"/>
      <c r="N241" s="6314"/>
      <c r="P241" s="1306"/>
      <c r="Q241" s="1782"/>
      <c r="R241" s="1782"/>
      <c r="S241" s="1306"/>
      <c r="T241" s="1306"/>
      <c r="U241" s="1306"/>
      <c r="V241" s="1306"/>
      <c r="W241" s="1782"/>
      <c r="X241" s="1306"/>
      <c r="Y241" s="1306"/>
      <c r="Z241" s="690"/>
      <c r="AA241" s="1306"/>
      <c r="AB241" s="1306"/>
      <c r="AC241" s="1306"/>
      <c r="AD241" s="1306"/>
      <c r="AE241" s="1306"/>
      <c r="AF241" s="1778"/>
      <c r="AG241" s="712"/>
      <c r="AH241" s="712"/>
      <c r="AI241" s="712"/>
      <c r="AJ241" s="712"/>
      <c r="AK241" s="1787">
        <v>11</v>
      </c>
    </row>
    <row s="6314" customFormat="1" customHeight="1" ht="11.549999999999999">
      <c r="A242" s="1133"/>
      <c r="B242" s="1782"/>
      <c r="C242" s="1782"/>
      <c r="D242" s="497"/>
      <c r="J242" s="6314"/>
      <c r="K242" s="6314"/>
      <c r="L242" s="6314"/>
      <c r="M242" s="6314"/>
      <c r="N242" s="6314"/>
      <c r="P242" s="1306"/>
      <c r="Q242" s="1782"/>
      <c r="R242" s="1782"/>
      <c r="S242" s="1306"/>
      <c r="T242" s="1306"/>
      <c r="U242" s="1306"/>
      <c r="V242" s="1306"/>
      <c r="W242" s="1782"/>
      <c r="X242" s="1306"/>
      <c r="Y242" s="1306"/>
      <c r="Z242" s="690"/>
      <c r="AA242" s="1306"/>
      <c r="AB242" s="1306"/>
      <c r="AC242" s="1306"/>
      <c r="AD242" s="1306"/>
      <c r="AE242" s="1306"/>
      <c r="AF242" s="1778"/>
      <c r="AG242" s="712"/>
      <c r="AH242" s="712"/>
      <c r="AI242" s="712"/>
      <c r="AJ242" s="712"/>
      <c r="AK242" s="1787">
        <v>11</v>
      </c>
    </row>
    <row s="6314" customFormat="1" customHeight="1" ht="11.549999999999999">
      <c r="A243" s="1133"/>
      <c r="B243" s="1782"/>
      <c r="C243" s="1782"/>
      <c r="D243" s="497"/>
      <c r="J243" s="6314"/>
      <c r="K243" s="6314"/>
      <c r="L243" s="6314"/>
      <c r="M243" s="6314"/>
      <c r="N243" s="6314"/>
      <c r="P243" s="1306"/>
      <c r="Q243" s="1782"/>
      <c r="R243" s="1782"/>
      <c r="S243" s="1306"/>
      <c r="T243" s="1306"/>
      <c r="U243" s="1306"/>
      <c r="V243" s="1306"/>
      <c r="W243" s="1782"/>
      <c r="X243" s="1306"/>
      <c r="Y243" s="1306"/>
      <c r="Z243" s="690"/>
      <c r="AA243" s="1306"/>
      <c r="AB243" s="1306"/>
      <c r="AC243" s="1306"/>
      <c r="AD243" s="1306"/>
      <c r="AE243" s="1306"/>
      <c r="AF243" s="1778"/>
      <c r="AG243" s="712"/>
      <c r="AH243" s="712"/>
      <c r="AI243" s="712"/>
      <c r="AJ243" s="712"/>
      <c r="AK243" s="1787">
        <v>11</v>
      </c>
    </row>
    <row s="6314" customFormat="1" customHeight="1" ht="11.549999999999999">
      <c r="A244" s="1133"/>
      <c r="B244" s="1782"/>
      <c r="C244" s="1782"/>
      <c r="D244" s="497"/>
      <c r="J244" s="6314"/>
      <c r="K244" s="6314"/>
      <c r="L244" s="6314"/>
      <c r="M244" s="6314"/>
      <c r="N244" s="6314"/>
      <c r="P244" s="1306"/>
      <c r="Q244" s="1782"/>
      <c r="R244" s="1782"/>
      <c r="S244" s="1306"/>
      <c r="T244" s="1306"/>
      <c r="U244" s="1306"/>
      <c r="V244" s="1306"/>
      <c r="W244" s="1782"/>
      <c r="X244" s="1306"/>
      <c r="Y244" s="1306"/>
      <c r="Z244" s="690"/>
      <c r="AA244" s="1306"/>
      <c r="AB244" s="1306"/>
      <c r="AC244" s="1306"/>
      <c r="AD244" s="1306"/>
      <c r="AE244" s="1306"/>
      <c r="AF244" s="1778"/>
      <c r="AG244" s="712"/>
      <c r="AH244" s="712"/>
      <c r="AI244" s="712"/>
      <c r="AJ244" s="712"/>
      <c r="AK244" s="1787">
        <v>11</v>
      </c>
    </row>
    <row s="6314" customFormat="1" customHeight="1" ht="11.549999999999999">
      <c r="A245" s="1133"/>
      <c r="B245" s="1782"/>
      <c r="C245" s="1782"/>
      <c r="D245" s="497"/>
      <c r="J245" s="6314"/>
      <c r="K245" s="6314"/>
      <c r="L245" s="6314"/>
      <c r="M245" s="6314"/>
      <c r="N245" s="6314"/>
      <c r="P245" s="1306"/>
      <c r="Q245" s="1782"/>
      <c r="R245" s="1782"/>
      <c r="S245" s="1306"/>
      <c r="T245" s="1306"/>
      <c r="U245" s="1306"/>
      <c r="V245" s="1306"/>
      <c r="W245" s="1782"/>
      <c r="X245" s="1306"/>
      <c r="Y245" s="1306"/>
      <c r="Z245" s="690"/>
      <c r="AA245" s="1306"/>
      <c r="AB245" s="1306"/>
      <c r="AC245" s="1306"/>
      <c r="AD245" s="1306"/>
      <c r="AE245" s="1306"/>
      <c r="AF245" s="1778"/>
      <c r="AG245" s="712"/>
      <c r="AH245" s="712"/>
      <c r="AI245" s="712"/>
      <c r="AJ245" s="712"/>
      <c r="AK245" s="1787">
        <v>11</v>
      </c>
    </row>
    <row s="6314" customFormat="1" customHeight="1" ht="11.549999999999999">
      <c r="A246" s="1133"/>
      <c r="B246" s="1782"/>
      <c r="C246" s="1782"/>
      <c r="D246" s="497"/>
      <c r="J246" s="6314"/>
      <c r="K246" s="6314"/>
      <c r="L246" s="6314"/>
      <c r="M246" s="6314"/>
      <c r="N246" s="6314"/>
      <c r="P246" s="1306"/>
      <c r="Q246" s="1782"/>
      <c r="R246" s="1782"/>
      <c r="S246" s="1306"/>
      <c r="T246" s="1306"/>
      <c r="U246" s="1306"/>
      <c r="V246" s="1306"/>
      <c r="W246" s="1782"/>
      <c r="X246" s="1306"/>
      <c r="Y246" s="1306"/>
      <c r="Z246" s="690"/>
      <c r="AA246" s="1306"/>
      <c r="AB246" s="1306"/>
      <c r="AC246" s="1306"/>
      <c r="AD246" s="1306"/>
      <c r="AE246" s="1306"/>
      <c r="AF246" s="1778"/>
      <c r="AG246" s="712"/>
      <c r="AH246" s="712"/>
      <c r="AI246" s="712"/>
      <c r="AJ246" s="712"/>
      <c r="AK246" s="1787">
        <v>11</v>
      </c>
    </row>
    <row s="6314" customFormat="1" customHeight="1" ht="11.549999999999999">
      <c r="A247" s="1133"/>
      <c r="B247" s="1782"/>
      <c r="C247" s="1782"/>
      <c r="D247" s="497"/>
      <c r="J247" s="6314"/>
      <c r="K247" s="6314"/>
      <c r="L247" s="6314"/>
      <c r="M247" s="6314"/>
      <c r="N247" s="6314"/>
      <c r="P247" s="1306"/>
      <c r="Q247" s="1782"/>
      <c r="R247" s="1782"/>
      <c r="S247" s="1306"/>
      <c r="T247" s="1306"/>
      <c r="U247" s="1306"/>
      <c r="V247" s="1306"/>
      <c r="W247" s="1782"/>
      <c r="X247" s="1306"/>
      <c r="Y247" s="1306"/>
      <c r="Z247" s="690"/>
      <c r="AA247" s="1306"/>
      <c r="AB247" s="1306"/>
      <c r="AC247" s="1306"/>
      <c r="AD247" s="1306"/>
      <c r="AE247" s="1306"/>
      <c r="AF247" s="1778"/>
      <c r="AG247" s="712"/>
      <c r="AH247" s="712"/>
      <c r="AI247" s="712"/>
      <c r="AJ247" s="712"/>
      <c r="AK247" s="1787">
        <v>11</v>
      </c>
    </row>
    <row s="6314" customFormat="1" customHeight="1" ht="11.549999999999999">
      <c r="A248" s="1133"/>
      <c r="B248" s="1782"/>
      <c r="C248" s="1782"/>
      <c r="D248" s="497"/>
      <c r="J248" s="6314"/>
      <c r="K248" s="6314"/>
      <c r="L248" s="6314"/>
      <c r="M248" s="6314"/>
      <c r="N248" s="6314"/>
      <c r="P248" s="1306"/>
      <c r="Q248" s="1782"/>
      <c r="R248" s="1782"/>
      <c r="S248" s="1306"/>
      <c r="T248" s="1306"/>
      <c r="U248" s="1306"/>
      <c r="V248" s="1306"/>
      <c r="W248" s="1782"/>
      <c r="X248" s="1306"/>
      <c r="Y248" s="1306"/>
      <c r="Z248" s="690"/>
      <c r="AA248" s="1306"/>
      <c r="AB248" s="1306"/>
      <c r="AC248" s="1306"/>
      <c r="AD248" s="1306"/>
      <c r="AE248" s="1306"/>
      <c r="AF248" s="1778"/>
      <c r="AG248" s="712"/>
      <c r="AH248" s="712"/>
      <c r="AI248" s="712"/>
      <c r="AJ248" s="712"/>
      <c r="AK248" s="1787">
        <v>11</v>
      </c>
    </row>
    <row s="6314" customFormat="1" customHeight="1" ht="11.549999999999999">
      <c r="A249" s="1133"/>
      <c r="B249" s="1782"/>
      <c r="C249" s="1782"/>
      <c r="D249" s="497"/>
      <c r="J249" s="6314"/>
      <c r="K249" s="6314"/>
      <c r="L249" s="6314"/>
      <c r="M249" s="6314"/>
      <c r="N249" s="6314"/>
      <c r="P249" s="1306"/>
      <c r="Q249" s="1782"/>
      <c r="R249" s="1782"/>
      <c r="S249" s="1306"/>
      <c r="T249" s="1306"/>
      <c r="U249" s="1306"/>
      <c r="V249" s="1306"/>
      <c r="W249" s="1782"/>
      <c r="X249" s="1306"/>
      <c r="Y249" s="1306"/>
      <c r="Z249" s="690"/>
      <c r="AA249" s="1306"/>
      <c r="AB249" s="1306"/>
      <c r="AC249" s="1306"/>
      <c r="AD249" s="1306"/>
      <c r="AE249" s="1306"/>
      <c r="AF249" s="1778"/>
      <c r="AG249" s="712"/>
      <c r="AH249" s="712"/>
      <c r="AI249" s="712"/>
      <c r="AJ249" s="712"/>
      <c r="AK249" s="1787">
        <v>11</v>
      </c>
    </row>
    <row s="6314" customFormat="1" customHeight="1" ht="11.549999999999999">
      <c r="A250" s="1133"/>
      <c r="B250" s="1782"/>
      <c r="C250" s="1782"/>
      <c r="D250" s="497"/>
      <c r="J250" s="6314"/>
      <c r="K250" s="6314"/>
      <c r="L250" s="6314"/>
      <c r="M250" s="6314"/>
      <c r="N250" s="6314"/>
      <c r="P250" s="1306"/>
      <c r="Q250" s="1782"/>
      <c r="R250" s="1782"/>
      <c r="S250" s="1306"/>
      <c r="T250" s="1306"/>
      <c r="U250" s="1306"/>
      <c r="V250" s="1306"/>
      <c r="W250" s="1782"/>
      <c r="X250" s="1306"/>
      <c r="Y250" s="1306"/>
      <c r="Z250" s="690"/>
      <c r="AA250" s="1306"/>
      <c r="AB250" s="1306"/>
      <c r="AC250" s="1306"/>
      <c r="AD250" s="1306"/>
      <c r="AE250" s="1306"/>
      <c r="AF250" s="1778"/>
      <c r="AG250" s="712"/>
      <c r="AH250" s="712"/>
      <c r="AI250" s="712"/>
      <c r="AJ250" s="712"/>
      <c r="AK250" s="1787">
        <v>11</v>
      </c>
    </row>
    <row s="6314" customFormat="1" customHeight="1" ht="11.549999999999999">
      <c r="A251" s="1133"/>
      <c r="B251" s="1782"/>
      <c r="C251" s="1782"/>
      <c r="D251" s="497"/>
      <c r="J251" s="6314"/>
      <c r="K251" s="6314"/>
      <c r="L251" s="6314"/>
      <c r="M251" s="6314"/>
      <c r="N251" s="6314"/>
      <c r="P251" s="1306"/>
      <c r="Q251" s="1782"/>
      <c r="R251" s="1782"/>
      <c r="S251" s="1306"/>
      <c r="T251" s="1306"/>
      <c r="U251" s="1306"/>
      <c r="V251" s="1306"/>
      <c r="W251" s="1782"/>
      <c r="X251" s="1306"/>
      <c r="Y251" s="1306"/>
      <c r="Z251" s="690"/>
      <c r="AA251" s="1306"/>
      <c r="AB251" s="1306"/>
      <c r="AC251" s="1306"/>
      <c r="AD251" s="1306"/>
      <c r="AE251" s="1306"/>
      <c r="AF251" s="1778"/>
      <c r="AG251" s="712"/>
      <c r="AH251" s="712"/>
      <c r="AI251" s="712"/>
      <c r="AJ251" s="712"/>
      <c r="AK251" s="1787">
        <v>11</v>
      </c>
    </row>
    <row s="6314" customFormat="1" customHeight="1" ht="11.549999999999999">
      <c r="A252" s="1133"/>
      <c r="B252" s="1782"/>
      <c r="C252" s="1782"/>
      <c r="D252" s="497"/>
      <c r="J252" s="6314"/>
      <c r="K252" s="6314"/>
      <c r="L252" s="6314"/>
      <c r="M252" s="6314"/>
      <c r="N252" s="6314"/>
      <c r="P252" s="1306"/>
      <c r="Q252" s="1782"/>
      <c r="R252" s="1782"/>
      <c r="S252" s="1306"/>
      <c r="T252" s="1306"/>
      <c r="U252" s="1306"/>
      <c r="V252" s="1306"/>
      <c r="W252" s="1782"/>
      <c r="X252" s="1306"/>
      <c r="Y252" s="1306"/>
      <c r="Z252" s="690"/>
      <c r="AA252" s="1306"/>
      <c r="AB252" s="1306"/>
      <c r="AC252" s="1306"/>
      <c r="AD252" s="1306"/>
      <c r="AE252" s="1306"/>
      <c r="AF252" s="1778"/>
      <c r="AG252" s="712"/>
      <c r="AH252" s="712"/>
      <c r="AI252" s="712"/>
      <c r="AJ252" s="712"/>
      <c r="AK252" s="1787">
        <v>11</v>
      </c>
    </row>
    <row s="6314" customFormat="1" customHeight="1" ht="11.549999999999999">
      <c r="A253" s="1133"/>
      <c r="B253" s="1782"/>
      <c r="C253" s="1782"/>
      <c r="D253" s="497"/>
      <c r="J253" s="6314"/>
      <c r="K253" s="6314"/>
      <c r="L253" s="6314"/>
      <c r="M253" s="6314"/>
      <c r="N253" s="6314"/>
      <c r="P253" s="1306"/>
      <c r="Q253" s="1782"/>
      <c r="R253" s="1782"/>
      <c r="S253" s="1306"/>
      <c r="T253" s="1306"/>
      <c r="U253" s="1306"/>
      <c r="V253" s="1306"/>
      <c r="W253" s="1782"/>
      <c r="X253" s="1306"/>
      <c r="Y253" s="1306"/>
      <c r="Z253" s="690"/>
      <c r="AA253" s="1306"/>
      <c r="AB253" s="1306"/>
      <c r="AC253" s="1306"/>
      <c r="AD253" s="1306"/>
      <c r="AE253" s="1306"/>
      <c r="AF253" s="1778"/>
      <c r="AG253" s="712"/>
      <c r="AH253" s="712"/>
      <c r="AI253" s="712"/>
      <c r="AJ253" s="712"/>
      <c r="AK253" s="1787">
        <v>11</v>
      </c>
    </row>
    <row s="6314" customFormat="1" customHeight="1" ht="11.549999999999999">
      <c r="A254" s="1133"/>
      <c r="B254" s="1782"/>
      <c r="C254" s="1782"/>
      <c r="D254" s="497"/>
      <c r="J254" s="6314"/>
      <c r="K254" s="6314"/>
      <c r="L254" s="6314"/>
      <c r="M254" s="6314"/>
      <c r="N254" s="6314"/>
      <c r="P254" s="1306"/>
      <c r="Q254" s="1782"/>
      <c r="R254" s="1782"/>
      <c r="S254" s="1306"/>
      <c r="T254" s="1306"/>
      <c r="U254" s="1306"/>
      <c r="V254" s="1306"/>
      <c r="W254" s="1782"/>
      <c r="X254" s="1306"/>
      <c r="Y254" s="1306"/>
      <c r="Z254" s="690"/>
      <c r="AA254" s="1306"/>
      <c r="AB254" s="1306"/>
      <c r="AC254" s="1306"/>
      <c r="AD254" s="1306"/>
      <c r="AE254" s="1306"/>
      <c r="AF254" s="1778"/>
      <c r="AG254" s="712"/>
      <c r="AH254" s="712"/>
      <c r="AI254" s="712"/>
      <c r="AJ254" s="712"/>
      <c r="AK254" s="1787">
        <v>11</v>
      </c>
    </row>
    <row s="6314" customFormat="1" customHeight="1" ht="11.549999999999999">
      <c r="A255" s="1133"/>
      <c r="B255" s="1782"/>
      <c r="C255" s="1782"/>
      <c r="D255" s="497"/>
      <c r="J255" s="6314"/>
      <c r="K255" s="6314"/>
      <c r="L255" s="6314"/>
      <c r="M255" s="6314"/>
      <c r="N255" s="6314"/>
      <c r="P255" s="1306"/>
      <c r="Q255" s="1782"/>
      <c r="R255" s="1782"/>
      <c r="S255" s="1306"/>
      <c r="T255" s="1306"/>
      <c r="U255" s="1306"/>
      <c r="V255" s="1306"/>
      <c r="W255" s="1782"/>
      <c r="X255" s="1306"/>
      <c r="Y255" s="1306"/>
      <c r="Z255" s="690"/>
      <c r="AA255" s="1306"/>
      <c r="AB255" s="1306"/>
      <c r="AC255" s="1306"/>
      <c r="AD255" s="1306"/>
      <c r="AE255" s="1306"/>
      <c r="AF255" s="1778"/>
      <c r="AG255" s="712"/>
      <c r="AH255" s="712"/>
      <c r="AI255" s="712"/>
      <c r="AJ255" s="712"/>
      <c r="AK255" s="1787">
        <v>11</v>
      </c>
    </row>
    <row s="6314" customFormat="1" customHeight="1" ht="11.549999999999999">
      <c r="A256" s="1133"/>
      <c r="B256" s="1782"/>
      <c r="C256" s="1782"/>
      <c r="D256" s="497"/>
      <c r="J256" s="6314"/>
      <c r="K256" s="6314"/>
      <c r="L256" s="6314"/>
      <c r="M256" s="6314"/>
      <c r="N256" s="6314"/>
      <c r="P256" s="1306"/>
      <c r="Q256" s="1782"/>
      <c r="R256" s="1782"/>
      <c r="S256" s="1306"/>
      <c r="T256" s="1306"/>
      <c r="U256" s="1306"/>
      <c r="V256" s="1306"/>
      <c r="W256" s="1782"/>
      <c r="X256" s="1306"/>
      <c r="Y256" s="1306"/>
      <c r="Z256" s="690"/>
      <c r="AA256" s="1306"/>
      <c r="AB256" s="1306"/>
      <c r="AC256" s="1306"/>
      <c r="AD256" s="1306"/>
      <c r="AE256" s="1306"/>
      <c r="AF256" s="1778"/>
      <c r="AG256" s="712"/>
      <c r="AH256" s="712"/>
      <c r="AI256" s="712"/>
      <c r="AJ256" s="712"/>
      <c r="AK256" s="1787">
        <v>11</v>
      </c>
    </row>
    <row s="6314" customFormat="1" customHeight="1" ht="11.549999999999999">
      <c r="A257" s="1133"/>
      <c r="B257" s="1782"/>
      <c r="C257" s="1782"/>
      <c r="D257" s="497"/>
      <c r="J257" s="6314"/>
      <c r="K257" s="6314"/>
      <c r="L257" s="6314"/>
      <c r="M257" s="6314"/>
      <c r="N257" s="6314"/>
      <c r="P257" s="1306"/>
      <c r="Q257" s="1782"/>
      <c r="R257" s="1782"/>
      <c r="S257" s="1306"/>
      <c r="T257" s="1306"/>
      <c r="U257" s="1306"/>
      <c r="V257" s="1306"/>
      <c r="W257" s="1782"/>
      <c r="X257" s="1306"/>
      <c r="Y257" s="1306"/>
      <c r="Z257" s="690"/>
      <c r="AA257" s="1306"/>
      <c r="AB257" s="1306"/>
      <c r="AC257" s="1306"/>
      <c r="AD257" s="1306"/>
      <c r="AE257" s="1306"/>
      <c r="AF257" s="1778"/>
      <c r="AG257" s="712"/>
      <c r="AH257" s="712"/>
      <c r="AI257" s="712"/>
      <c r="AJ257" s="712"/>
      <c r="AK257" s="1787">
        <v>11</v>
      </c>
    </row>
    <row s="6314" customFormat="1" customHeight="1" ht="11.549999999999999">
      <c r="A258" s="1133"/>
      <c r="B258" s="1782"/>
      <c r="C258" s="1782"/>
      <c r="D258" s="497"/>
      <c r="J258" s="6314"/>
      <c r="K258" s="6314"/>
      <c r="L258" s="6314"/>
      <c r="M258" s="6314"/>
      <c r="N258" s="6314"/>
      <c r="P258" s="1306"/>
      <c r="Q258" s="1782"/>
      <c r="R258" s="1782"/>
      <c r="S258" s="1306"/>
      <c r="T258" s="1306"/>
      <c r="U258" s="1306"/>
      <c r="V258" s="1306"/>
      <c r="W258" s="1782"/>
      <c r="X258" s="1306"/>
      <c r="Y258" s="1306"/>
      <c r="Z258" s="690"/>
      <c r="AA258" s="1306"/>
      <c r="AB258" s="1306"/>
      <c r="AC258" s="1306"/>
      <c r="AD258" s="1306"/>
      <c r="AE258" s="1306"/>
      <c r="AF258" s="1778"/>
      <c r="AG258" s="712"/>
      <c r="AH258" s="712"/>
      <c r="AI258" s="712"/>
      <c r="AJ258" s="712"/>
      <c r="AK258" s="1787">
        <v>11</v>
      </c>
    </row>
    <row s="6314" customFormat="1" customHeight="1" ht="11.549999999999999">
      <c r="A259" s="1133"/>
      <c r="B259" s="1782"/>
      <c r="C259" s="1782"/>
      <c r="D259" s="497"/>
      <c r="J259" s="6314"/>
      <c r="K259" s="6314"/>
      <c r="L259" s="6314"/>
      <c r="M259" s="6314"/>
      <c r="N259" s="6314"/>
      <c r="P259" s="1306"/>
      <c r="Q259" s="1782"/>
      <c r="R259" s="1782"/>
      <c r="S259" s="1306"/>
      <c r="T259" s="1306"/>
      <c r="U259" s="1306"/>
      <c r="V259" s="1306"/>
      <c r="W259" s="1782"/>
      <c r="X259" s="1306"/>
      <c r="Y259" s="1306"/>
      <c r="Z259" s="690"/>
      <c r="AA259" s="1306"/>
      <c r="AB259" s="1306"/>
      <c r="AC259" s="1306"/>
      <c r="AD259" s="1306"/>
      <c r="AE259" s="1306"/>
      <c r="AF259" s="1778"/>
      <c r="AG259" s="712"/>
      <c r="AH259" s="712"/>
      <c r="AI259" s="712"/>
      <c r="AJ259" s="712"/>
      <c r="AK259" s="1787">
        <v>11</v>
      </c>
    </row>
    <row s="6314" customFormat="1" customHeight="1" ht="11.549999999999999">
      <c r="A260" s="1133"/>
      <c r="B260" s="1782"/>
      <c r="C260" s="1782"/>
      <c r="D260" s="497"/>
      <c r="J260" s="6314"/>
      <c r="K260" s="6314"/>
      <c r="L260" s="6314"/>
      <c r="M260" s="6314"/>
      <c r="N260" s="6314"/>
      <c r="P260" s="1306"/>
      <c r="Q260" s="1782"/>
      <c r="R260" s="1782"/>
      <c r="S260" s="1306"/>
      <c r="T260" s="1306"/>
      <c r="U260" s="1306"/>
      <c r="V260" s="1306"/>
      <c r="W260" s="1782"/>
      <c r="X260" s="1306"/>
      <c r="Y260" s="1306"/>
      <c r="Z260" s="690"/>
      <c r="AA260" s="1306"/>
      <c r="AB260" s="1306"/>
      <c r="AC260" s="1306"/>
      <c r="AD260" s="1306"/>
      <c r="AE260" s="1306"/>
      <c r="AF260" s="1778"/>
      <c r="AG260" s="712"/>
      <c r="AH260" s="712"/>
      <c r="AI260" s="712"/>
      <c r="AJ260" s="712"/>
      <c r="AK260" s="1787">
        <v>11</v>
      </c>
    </row>
    <row s="6314" customFormat="1" customHeight="1" ht="11.549999999999999">
      <c r="A261" s="1133"/>
      <c r="B261" s="1782"/>
      <c r="C261" s="1782"/>
      <c r="D261" s="497"/>
      <c r="J261" s="6314"/>
      <c r="K261" s="6314"/>
      <c r="L261" s="6314"/>
      <c r="M261" s="6314"/>
      <c r="N261" s="6314"/>
      <c r="P261" s="1306"/>
      <c r="Q261" s="1782"/>
      <c r="R261" s="1782"/>
      <c r="S261" s="1306"/>
      <c r="T261" s="1306"/>
      <c r="U261" s="1306"/>
      <c r="V261" s="1306"/>
      <c r="W261" s="1782"/>
      <c r="X261" s="1306"/>
      <c r="Y261" s="1306"/>
      <c r="Z261" s="690"/>
      <c r="AA261" s="1306"/>
      <c r="AB261" s="1306"/>
      <c r="AC261" s="1306"/>
      <c r="AD261" s="1306"/>
      <c r="AE261" s="1306"/>
      <c r="AF261" s="1778"/>
      <c r="AG261" s="712"/>
      <c r="AH261" s="712"/>
      <c r="AI261" s="712"/>
      <c r="AJ261" s="712"/>
      <c r="AK261" s="1787">
        <v>11</v>
      </c>
    </row>
    <row s="6314" customFormat="1" customHeight="1" ht="11.549999999999999">
      <c r="A262" s="1133"/>
      <c r="B262" s="1782"/>
      <c r="C262" s="1782"/>
      <c r="D262" s="497"/>
      <c r="J262" s="6314"/>
      <c r="K262" s="6314"/>
      <c r="L262" s="6314"/>
      <c r="M262" s="6314"/>
      <c r="N262" s="6314"/>
      <c r="P262" s="1306"/>
      <c r="Q262" s="1782"/>
      <c r="R262" s="1782"/>
      <c r="S262" s="1306"/>
      <c r="T262" s="1306"/>
      <c r="U262" s="1306"/>
      <c r="V262" s="1306"/>
      <c r="W262" s="1782"/>
      <c r="X262" s="1306"/>
      <c r="Y262" s="1306"/>
      <c r="Z262" s="690"/>
      <c r="AA262" s="1306"/>
      <c r="AB262" s="1306"/>
      <c r="AC262" s="1306"/>
      <c r="AD262" s="1306"/>
      <c r="AE262" s="1306"/>
      <c r="AF262" s="1778"/>
      <c r="AG262" s="712"/>
      <c r="AH262" s="712"/>
      <c r="AI262" s="712"/>
      <c r="AJ262" s="712"/>
      <c r="AK262" s="1787">
        <v>11</v>
      </c>
    </row>
    <row s="6314" customFormat="1" customHeight="1" ht="11.549999999999999">
      <c r="A263" s="1133"/>
      <c r="B263" s="1782"/>
      <c r="C263" s="1782"/>
      <c r="D263" s="497"/>
      <c r="J263" s="6314"/>
      <c r="K263" s="6314"/>
      <c r="L263" s="6314"/>
      <c r="M263" s="6314"/>
      <c r="N263" s="6314"/>
      <c r="P263" s="1306"/>
      <c r="Q263" s="1782"/>
      <c r="R263" s="1782"/>
      <c r="S263" s="1306"/>
      <c r="T263" s="1306"/>
      <c r="U263" s="1306"/>
      <c r="V263" s="1306"/>
      <c r="W263" s="1782"/>
      <c r="X263" s="1306"/>
      <c r="Y263" s="1306"/>
      <c r="Z263" s="690"/>
      <c r="AA263" s="1306"/>
      <c r="AB263" s="1306"/>
      <c r="AC263" s="1306"/>
      <c r="AD263" s="1306"/>
      <c r="AE263" s="1306"/>
      <c r="AF263" s="1778"/>
      <c r="AG263" s="712"/>
      <c r="AH263" s="712"/>
      <c r="AI263" s="712"/>
      <c r="AJ263" s="712"/>
      <c r="AK263" s="1787">
        <v>11</v>
      </c>
    </row>
    <row s="6314" customFormat="1" customHeight="1" ht="11.549999999999999">
      <c r="A264" s="1133"/>
      <c r="B264" s="1782"/>
      <c r="C264" s="1782"/>
      <c r="D264" s="497"/>
      <c r="J264" s="6314"/>
      <c r="K264" s="6314"/>
      <c r="L264" s="6314"/>
      <c r="M264" s="6314"/>
      <c r="N264" s="6314"/>
      <c r="P264" s="1306"/>
      <c r="Q264" s="1782"/>
      <c r="R264" s="1782"/>
      <c r="S264" s="1306"/>
      <c r="T264" s="1306"/>
      <c r="U264" s="1306"/>
      <c r="V264" s="1306"/>
      <c r="W264" s="1782"/>
      <c r="X264" s="1306"/>
      <c r="Y264" s="1306"/>
      <c r="Z264" s="690"/>
      <c r="AA264" s="1306"/>
      <c r="AB264" s="1306"/>
      <c r="AC264" s="1306"/>
      <c r="AD264" s="1306"/>
      <c r="AE264" s="1306"/>
      <c r="AF264" s="1778"/>
      <c r="AG264" s="712"/>
      <c r="AH264" s="712"/>
      <c r="AI264" s="712"/>
      <c r="AJ264" s="712"/>
      <c r="AK264" s="1787">
        <v>11</v>
      </c>
    </row>
    <row s="6314" customFormat="1" customHeight="1" ht="11.549999999999999">
      <c r="A265" s="1133"/>
      <c r="B265" s="1782"/>
      <c r="C265" s="1782"/>
      <c r="D265" s="497"/>
      <c r="J265" s="6314"/>
      <c r="K265" s="6314"/>
      <c r="L265" s="6314"/>
      <c r="M265" s="6314"/>
      <c r="N265" s="6314"/>
      <c r="P265" s="1306"/>
      <c r="Q265" s="1782"/>
      <c r="R265" s="1782"/>
      <c r="S265" s="1306"/>
      <c r="T265" s="1306"/>
      <c r="U265" s="1306"/>
      <c r="V265" s="1306"/>
      <c r="W265" s="1782"/>
      <c r="X265" s="1306"/>
      <c r="Y265" s="1306"/>
      <c r="Z265" s="690"/>
      <c r="AA265" s="1306"/>
      <c r="AB265" s="1306"/>
      <c r="AC265" s="1306"/>
      <c r="AD265" s="1306"/>
      <c r="AE265" s="1306"/>
      <c r="AF265" s="1778"/>
      <c r="AG265" s="712"/>
      <c r="AH265" s="712"/>
      <c r="AI265" s="712"/>
      <c r="AJ265" s="712"/>
      <c r="AK265" s="1787">
        <v>11</v>
      </c>
    </row>
    <row s="6314" customFormat="1" customHeight="1" ht="11.549999999999999">
      <c r="A266" s="1133"/>
      <c r="B266" s="1782"/>
      <c r="C266" s="1782"/>
      <c r="D266" s="497"/>
      <c r="J266" s="6314"/>
      <c r="K266" s="6314"/>
      <c r="L266" s="6314"/>
      <c r="M266" s="6314"/>
      <c r="N266" s="6314"/>
      <c r="P266" s="1306"/>
      <c r="Q266" s="1782"/>
      <c r="R266" s="1782"/>
      <c r="S266" s="1306"/>
      <c r="T266" s="1306"/>
      <c r="U266" s="1306"/>
      <c r="V266" s="1306"/>
      <c r="W266" s="1782"/>
      <c r="X266" s="1306"/>
      <c r="Y266" s="1306"/>
      <c r="Z266" s="690"/>
      <c r="AA266" s="1306"/>
      <c r="AB266" s="1306"/>
      <c r="AC266" s="1306"/>
      <c r="AD266" s="1306"/>
      <c r="AE266" s="1306"/>
      <c r="AF266" s="1778"/>
      <c r="AG266" s="712"/>
      <c r="AH266" s="712"/>
      <c r="AI266" s="712"/>
      <c r="AJ266" s="712"/>
      <c r="AK266" s="1787">
        <v>11</v>
      </c>
    </row>
    <row s="6314" customFormat="1" customHeight="1" ht="11.549999999999999">
      <c r="A267" s="1133"/>
      <c r="B267" s="1782"/>
      <c r="C267" s="1782"/>
      <c r="D267" s="497"/>
      <c r="J267" s="6314"/>
      <c r="K267" s="6314"/>
      <c r="L267" s="6314"/>
      <c r="M267" s="6314"/>
      <c r="N267" s="6314"/>
      <c r="P267" s="1306"/>
      <c r="Q267" s="1782"/>
      <c r="R267" s="1782"/>
      <c r="S267" s="1306"/>
      <c r="T267" s="1306"/>
      <c r="U267" s="1306"/>
      <c r="V267" s="1306"/>
      <c r="W267" s="1782"/>
      <c r="X267" s="1306"/>
      <c r="Y267" s="1306"/>
      <c r="Z267" s="690"/>
      <c r="AA267" s="1306"/>
      <c r="AB267" s="1306"/>
      <c r="AC267" s="1306"/>
      <c r="AD267" s="1306"/>
      <c r="AE267" s="1306"/>
      <c r="AF267" s="1778"/>
      <c r="AG267" s="712"/>
      <c r="AH267" s="712"/>
      <c r="AI267" s="712"/>
      <c r="AJ267" s="712"/>
      <c r="AK267" s="1787">
        <v>11</v>
      </c>
    </row>
    <row s="6314" customFormat="1" customHeight="1" ht="11.549999999999999">
      <c r="A268" s="1133"/>
      <c r="B268" s="1782"/>
      <c r="C268" s="1782"/>
      <c r="D268" s="497"/>
      <c r="J268" s="6314"/>
      <c r="K268" s="6314"/>
      <c r="L268" s="6314"/>
      <c r="M268" s="6314"/>
      <c r="N268" s="6314"/>
      <c r="P268" s="1306"/>
      <c r="Q268" s="1782"/>
      <c r="R268" s="1782"/>
      <c r="S268" s="1306"/>
      <c r="T268" s="1306"/>
      <c r="U268" s="1306"/>
      <c r="V268" s="1306"/>
      <c r="W268" s="1782"/>
      <c r="X268" s="1306"/>
      <c r="Y268" s="1306"/>
      <c r="Z268" s="690"/>
      <c r="AA268" s="1306"/>
      <c r="AB268" s="1306"/>
      <c r="AC268" s="1306"/>
      <c r="AD268" s="1306"/>
      <c r="AE268" s="1306"/>
      <c r="AF268" s="1778"/>
      <c r="AG268" s="712"/>
      <c r="AH268" s="712"/>
      <c r="AI268" s="712"/>
      <c r="AJ268" s="712"/>
      <c r="AK268" s="1787">
        <v>11</v>
      </c>
    </row>
    <row s="6314" customFormat="1" customHeight="1" ht="11.549999999999999">
      <c r="A269" s="1133"/>
      <c r="B269" s="1782"/>
      <c r="C269" s="1782"/>
      <c r="D269" s="497"/>
      <c r="J269" s="6314"/>
      <c r="K269" s="6314"/>
      <c r="L269" s="6314"/>
      <c r="M269" s="6314"/>
      <c r="N269" s="6314"/>
      <c r="P269" s="1306"/>
      <c r="Q269" s="1782"/>
      <c r="R269" s="1782"/>
      <c r="S269" s="1306"/>
      <c r="T269" s="1306"/>
      <c r="U269" s="1306"/>
      <c r="V269" s="1306"/>
      <c r="W269" s="1782"/>
      <c r="X269" s="1306"/>
      <c r="Y269" s="1306"/>
      <c r="Z269" s="690"/>
      <c r="AA269" s="1306"/>
      <c r="AB269" s="1306"/>
      <c r="AC269" s="1306"/>
      <c r="AD269" s="1306"/>
      <c r="AE269" s="1306"/>
      <c r="AF269" s="1778"/>
      <c r="AG269" s="712"/>
      <c r="AH269" s="712"/>
      <c r="AI269" s="712"/>
      <c r="AJ269" s="712"/>
      <c r="AK269" s="1787">
        <v>11</v>
      </c>
    </row>
    <row s="6314" customFormat="1" customHeight="1" ht="11.549999999999999">
      <c r="A270" s="1133"/>
      <c r="B270" s="1782"/>
      <c r="C270" s="1782"/>
      <c r="D270" s="497"/>
      <c r="J270" s="6314"/>
      <c r="K270" s="6314"/>
      <c r="L270" s="6314"/>
      <c r="M270" s="6314"/>
      <c r="N270" s="6314"/>
      <c r="P270" s="1306"/>
      <c r="Q270" s="1782"/>
      <c r="R270" s="1782"/>
      <c r="S270" s="1306"/>
      <c r="T270" s="1306"/>
      <c r="U270" s="1306"/>
      <c r="V270" s="1306"/>
      <c r="W270" s="1782"/>
      <c r="X270" s="1306"/>
      <c r="Y270" s="1306"/>
      <c r="Z270" s="690"/>
      <c r="AA270" s="1306"/>
      <c r="AB270" s="1306"/>
      <c r="AC270" s="1306"/>
      <c r="AD270" s="1306"/>
      <c r="AE270" s="1306"/>
      <c r="AF270" s="1778"/>
      <c r="AG270" s="712"/>
      <c r="AH270" s="712"/>
      <c r="AI270" s="712"/>
      <c r="AJ270" s="712"/>
      <c r="AK270" s="1787">
        <v>11</v>
      </c>
    </row>
    <row s="6314" customFormat="1" customHeight="1" ht="11.549999999999999">
      <c r="A271" s="1133"/>
      <c r="B271" s="1782"/>
      <c r="C271" s="1782"/>
      <c r="D271" s="497"/>
      <c r="J271" s="6314"/>
      <c r="K271" s="6314"/>
      <c r="L271" s="6314"/>
      <c r="M271" s="6314"/>
      <c r="N271" s="6314"/>
      <c r="P271" s="1306"/>
      <c r="Q271" s="1782"/>
      <c r="R271" s="1782"/>
      <c r="S271" s="1306"/>
      <c r="T271" s="1306"/>
      <c r="U271" s="1306"/>
      <c r="V271" s="1306"/>
      <c r="W271" s="1782"/>
      <c r="X271" s="1306"/>
      <c r="Y271" s="1306"/>
      <c r="Z271" s="690"/>
      <c r="AA271" s="1306"/>
      <c r="AB271" s="1306"/>
      <c r="AC271" s="1306"/>
      <c r="AD271" s="1306"/>
      <c r="AE271" s="1306"/>
      <c r="AF271" s="1778"/>
      <c r="AG271" s="712"/>
      <c r="AH271" s="712"/>
      <c r="AI271" s="712"/>
      <c r="AJ271" s="712"/>
      <c r="AK271" s="1787">
        <v>11</v>
      </c>
    </row>
    <row s="6314" customFormat="1" customHeight="1" ht="11.549999999999999">
      <c r="A272" s="1133"/>
      <c r="B272" s="1782"/>
      <c r="C272" s="1782"/>
      <c r="D272" s="497"/>
      <c r="J272" s="6314"/>
      <c r="K272" s="6314"/>
      <c r="L272" s="6314"/>
      <c r="M272" s="6314"/>
      <c r="N272" s="6314"/>
      <c r="P272" s="1306"/>
      <c r="Q272" s="1782"/>
      <c r="R272" s="1782"/>
      <c r="S272" s="1306"/>
      <c r="T272" s="1306"/>
      <c r="U272" s="1306"/>
      <c r="V272" s="1306"/>
      <c r="W272" s="1782"/>
      <c r="X272" s="1306"/>
      <c r="Y272" s="1306"/>
      <c r="Z272" s="690"/>
      <c r="AA272" s="1306"/>
      <c r="AB272" s="1306"/>
      <c r="AC272" s="1306"/>
      <c r="AD272" s="1306"/>
      <c r="AE272" s="1306"/>
      <c r="AF272" s="1778"/>
      <c r="AG272" s="712"/>
      <c r="AH272" s="712"/>
      <c r="AI272" s="712"/>
      <c r="AJ272" s="712"/>
      <c r="AK272" s="1787">
        <v>11</v>
      </c>
    </row>
    <row s="6314" customFormat="1" customHeight="1" ht="11.549999999999999">
      <c r="A273" s="1133"/>
      <c r="B273" s="1782"/>
      <c r="C273" s="1782"/>
      <c r="D273" s="497"/>
      <c r="J273" s="6314"/>
      <c r="K273" s="6314"/>
      <c r="L273" s="6314"/>
      <c r="M273" s="6314"/>
      <c r="N273" s="6314"/>
      <c r="P273" s="1306"/>
      <c r="Q273" s="1782"/>
      <c r="R273" s="1782"/>
      <c r="S273" s="1306"/>
      <c r="T273" s="1306"/>
      <c r="U273" s="1306"/>
      <c r="V273" s="1306"/>
      <c r="W273" s="1782"/>
      <c r="X273" s="1306"/>
      <c r="Y273" s="1306"/>
      <c r="Z273" s="690"/>
      <c r="AA273" s="1306"/>
      <c r="AB273" s="1306"/>
      <c r="AC273" s="1306"/>
      <c r="AD273" s="1306"/>
      <c r="AE273" s="1306"/>
      <c r="AF273" s="1778"/>
      <c r="AG273" s="712"/>
      <c r="AH273" s="712"/>
      <c r="AI273" s="712"/>
      <c r="AJ273" s="712"/>
      <c r="AK273" s="1787">
        <v>11</v>
      </c>
    </row>
    <row s="6314" customFormat="1" customHeight="1" ht="11.549999999999999">
      <c r="A274" s="1133"/>
      <c r="B274" s="1782"/>
      <c r="C274" s="1782"/>
      <c r="D274" s="497"/>
      <c r="J274" s="6314"/>
      <c r="K274" s="6314"/>
      <c r="L274" s="6314"/>
      <c r="M274" s="6314"/>
      <c r="N274" s="6314"/>
      <c r="P274" s="1306"/>
      <c r="Q274" s="1782"/>
      <c r="R274" s="1782"/>
      <c r="S274" s="1306"/>
      <c r="T274" s="1306"/>
      <c r="U274" s="1306"/>
      <c r="V274" s="1306"/>
      <c r="W274" s="1782"/>
      <c r="X274" s="1306"/>
      <c r="Y274" s="1306"/>
      <c r="Z274" s="690"/>
      <c r="AA274" s="1306"/>
      <c r="AB274" s="1306"/>
      <c r="AC274" s="1306"/>
      <c r="AD274" s="1306"/>
      <c r="AE274" s="1306"/>
      <c r="AF274" s="1778"/>
      <c r="AG274" s="712"/>
      <c r="AH274" s="712"/>
      <c r="AI274" s="712"/>
      <c r="AJ274" s="712"/>
      <c r="AK274" s="1787">
        <v>11</v>
      </c>
    </row>
    <row s="6314" customFormat="1" customHeight="1" ht="11.549999999999999">
      <c r="A275" s="1133"/>
      <c r="B275" s="1782"/>
      <c r="C275" s="1782"/>
      <c r="D275" s="497"/>
      <c r="J275" s="6314"/>
      <c r="K275" s="6314"/>
      <c r="L275" s="6314"/>
      <c r="M275" s="6314"/>
      <c r="N275" s="6314"/>
      <c r="P275" s="1306"/>
      <c r="Q275" s="1782"/>
      <c r="R275" s="1782"/>
      <c r="S275" s="1306"/>
      <c r="T275" s="1306"/>
      <c r="U275" s="1306"/>
      <c r="V275" s="1306"/>
      <c r="W275" s="1782"/>
      <c r="X275" s="1306"/>
      <c r="Y275" s="1306"/>
      <c r="Z275" s="690"/>
      <c r="AA275" s="1306"/>
      <c r="AB275" s="1306"/>
      <c r="AC275" s="1306"/>
      <c r="AD275" s="1306"/>
      <c r="AE275" s="1306"/>
      <c r="AF275" s="1778"/>
      <c r="AG275" s="712"/>
      <c r="AH275" s="712"/>
      <c r="AI275" s="712"/>
      <c r="AJ275" s="712"/>
      <c r="AK275" s="1787">
        <v>11</v>
      </c>
    </row>
    <row s="6314" customFormat="1" customHeight="1" ht="11.549999999999999">
      <c r="A276" s="1133"/>
      <c r="B276" s="1782"/>
      <c r="C276" s="1782"/>
      <c r="D276" s="497"/>
      <c r="J276" s="6314"/>
      <c r="K276" s="6314"/>
      <c r="L276" s="6314"/>
      <c r="M276" s="6314"/>
      <c r="N276" s="6314"/>
      <c r="P276" s="1306"/>
      <c r="Q276" s="1782"/>
      <c r="R276" s="1782"/>
      <c r="S276" s="1306"/>
      <c r="T276" s="1306"/>
      <c r="U276" s="1306"/>
      <c r="V276" s="1306"/>
      <c r="W276" s="1782"/>
      <c r="X276" s="1306"/>
      <c r="Y276" s="1306"/>
      <c r="Z276" s="690"/>
      <c r="AA276" s="1306"/>
      <c r="AB276" s="1306"/>
      <c r="AC276" s="1306"/>
      <c r="AD276" s="1306"/>
      <c r="AE276" s="1306"/>
      <c r="AF276" s="1778"/>
      <c r="AG276" s="712"/>
      <c r="AH276" s="712"/>
      <c r="AI276" s="712"/>
      <c r="AJ276" s="712"/>
      <c r="AK276" s="1787">
        <v>11</v>
      </c>
    </row>
    <row s="6314" customFormat="1" customHeight="1" ht="11.549999999999999">
      <c r="A277" s="1133"/>
      <c r="B277" s="1782"/>
      <c r="C277" s="1782"/>
      <c r="D277" s="497"/>
      <c r="J277" s="6314"/>
      <c r="K277" s="6314"/>
      <c r="L277" s="6314"/>
      <c r="M277" s="6314"/>
      <c r="N277" s="6314"/>
      <c r="P277" s="1306"/>
      <c r="Q277" s="1782"/>
      <c r="R277" s="1782"/>
      <c r="S277" s="1306"/>
      <c r="T277" s="1306"/>
      <c r="U277" s="1306"/>
      <c r="V277" s="1306"/>
      <c r="W277" s="1782"/>
      <c r="X277" s="1306"/>
      <c r="Y277" s="1306"/>
      <c r="Z277" s="690"/>
      <c r="AA277" s="1306"/>
      <c r="AB277" s="1306"/>
      <c r="AC277" s="1306"/>
      <c r="AD277" s="1306"/>
      <c r="AE277" s="1306"/>
      <c r="AF277" s="1778"/>
      <c r="AG277" s="712"/>
      <c r="AH277" s="712"/>
      <c r="AI277" s="712"/>
      <c r="AJ277" s="712"/>
      <c r="AK277" s="1787">
        <v>11</v>
      </c>
    </row>
    <row s="6314" customFormat="1" customHeight="1" ht="11.549999999999999">
      <c r="A278" s="1133"/>
      <c r="B278" s="1782"/>
      <c r="C278" s="1782"/>
      <c r="D278" s="497"/>
      <c r="J278" s="6314"/>
      <c r="K278" s="6314"/>
      <c r="L278" s="6314"/>
      <c r="M278" s="6314"/>
      <c r="N278" s="6314"/>
      <c r="P278" s="1306"/>
      <c r="Q278" s="1782"/>
      <c r="R278" s="1782"/>
      <c r="S278" s="1306"/>
      <c r="T278" s="1306"/>
      <c r="U278" s="1306"/>
      <c r="V278" s="1306"/>
      <c r="W278" s="1782"/>
      <c r="X278" s="1306"/>
      <c r="Y278" s="1306"/>
      <c r="Z278" s="690"/>
      <c r="AA278" s="1306"/>
      <c r="AB278" s="1306"/>
      <c r="AC278" s="1306"/>
      <c r="AD278" s="1306"/>
      <c r="AE278" s="1306"/>
      <c r="AF278" s="1778"/>
      <c r="AG278" s="712"/>
      <c r="AH278" s="712"/>
      <c r="AI278" s="712"/>
      <c r="AJ278" s="712"/>
      <c r="AK278" s="1787">
        <v>11</v>
      </c>
    </row>
    <row s="6314" customFormat="1" customHeight="1" ht="11.549999999999999">
      <c r="A279" s="1133"/>
      <c r="B279" s="1782"/>
      <c r="C279" s="1782"/>
      <c r="D279" s="497"/>
      <c r="J279" s="6314"/>
      <c r="K279" s="6314"/>
      <c r="L279" s="6314"/>
      <c r="M279" s="6314"/>
      <c r="N279" s="6314"/>
      <c r="P279" s="1306"/>
      <c r="Q279" s="1782"/>
      <c r="R279" s="1782"/>
      <c r="S279" s="1306"/>
      <c r="T279" s="1306"/>
      <c r="U279" s="1306"/>
      <c r="V279" s="1306"/>
      <c r="W279" s="1782"/>
      <c r="X279" s="1306"/>
      <c r="Y279" s="1306"/>
      <c r="Z279" s="690"/>
      <c r="AA279" s="1306"/>
      <c r="AB279" s="1306"/>
      <c r="AC279" s="1306"/>
      <c r="AD279" s="1306"/>
      <c r="AE279" s="1306"/>
      <c r="AF279" s="1778"/>
      <c r="AG279" s="712"/>
      <c r="AH279" s="712"/>
      <c r="AI279" s="712"/>
      <c r="AJ279" s="712"/>
      <c r="AK279" s="1787">
        <v>11</v>
      </c>
    </row>
    <row s="6314" customFormat="1" customHeight="1" ht="11.549999999999999">
      <c r="A280" s="1133"/>
      <c r="B280" s="1782"/>
      <c r="C280" s="1782"/>
      <c r="D280" s="497"/>
      <c r="J280" s="6314"/>
      <c r="K280" s="6314"/>
      <c r="L280" s="6314"/>
      <c r="M280" s="6314"/>
      <c r="N280" s="6314"/>
      <c r="P280" s="1306"/>
      <c r="Q280" s="1782"/>
      <c r="R280" s="1782"/>
      <c r="S280" s="1306"/>
      <c r="T280" s="1306"/>
      <c r="U280" s="1306"/>
      <c r="V280" s="1306"/>
      <c r="W280" s="1782"/>
      <c r="X280" s="1306"/>
      <c r="Y280" s="1306"/>
      <c r="Z280" s="690"/>
      <c r="AA280" s="1306"/>
      <c r="AB280" s="1306"/>
      <c r="AC280" s="1306"/>
      <c r="AD280" s="1306"/>
      <c r="AE280" s="1306"/>
      <c r="AF280" s="1778"/>
      <c r="AG280" s="712"/>
      <c r="AH280" s="712"/>
      <c r="AI280" s="712"/>
      <c r="AJ280" s="712"/>
      <c r="AK280" s="1787">
        <v>11</v>
      </c>
    </row>
    <row s="6314" customFormat="1" customHeight="1" ht="11.549999999999999">
      <c r="A281" s="1133"/>
      <c r="B281" s="1782"/>
      <c r="C281" s="1782"/>
      <c r="D281" s="497"/>
      <c r="J281" s="6314"/>
      <c r="K281" s="6314"/>
      <c r="L281" s="6314"/>
      <c r="M281" s="6314"/>
      <c r="N281" s="6314"/>
      <c r="P281" s="1306"/>
      <c r="Q281" s="1782"/>
      <c r="R281" s="1782"/>
      <c r="S281" s="1306"/>
      <c r="T281" s="1306"/>
      <c r="U281" s="1306"/>
      <c r="V281" s="1306"/>
      <c r="W281" s="1782"/>
      <c r="X281" s="1306"/>
      <c r="Y281" s="1306"/>
      <c r="Z281" s="690"/>
      <c r="AA281" s="1306"/>
      <c r="AB281" s="1306"/>
      <c r="AC281" s="1306"/>
      <c r="AD281" s="1306"/>
      <c r="AE281" s="1306"/>
      <c r="AF281" s="1778"/>
      <c r="AG281" s="712"/>
      <c r="AH281" s="712"/>
      <c r="AI281" s="712"/>
      <c r="AJ281" s="712"/>
      <c r="AK281" s="1787">
        <v>11</v>
      </c>
    </row>
    <row s="6314" customFormat="1" customHeight="1" ht="11.549999999999999">
      <c r="A282" s="1133"/>
      <c r="B282" s="1782"/>
      <c r="C282" s="1782"/>
      <c r="D282" s="497"/>
      <c r="J282" s="6314"/>
      <c r="K282" s="6314"/>
      <c r="L282" s="6314"/>
      <c r="M282" s="6314"/>
      <c r="N282" s="6314"/>
      <c r="P282" s="1306"/>
      <c r="Q282" s="1782"/>
      <c r="R282" s="1782"/>
      <c r="S282" s="1306"/>
      <c r="T282" s="1306"/>
      <c r="U282" s="1306"/>
      <c r="V282" s="1306"/>
      <c r="W282" s="1782"/>
      <c r="X282" s="1306"/>
      <c r="Y282" s="1306"/>
      <c r="Z282" s="690"/>
      <c r="AA282" s="1306"/>
      <c r="AB282" s="1306"/>
      <c r="AC282" s="1306"/>
      <c r="AD282" s="1306"/>
      <c r="AE282" s="1306"/>
      <c r="AF282" s="1778"/>
      <c r="AG282" s="712"/>
      <c r="AH282" s="712"/>
      <c r="AI282" s="712"/>
      <c r="AJ282" s="712"/>
      <c r="AK282" s="1787">
        <v>11</v>
      </c>
    </row>
    <row s="6314" customFormat="1" customHeight="1" ht="11.549999999999999">
      <c r="A283" s="1133"/>
      <c r="B283" s="1782"/>
      <c r="C283" s="1782"/>
      <c r="D283" s="497"/>
      <c r="J283" s="6314"/>
      <c r="K283" s="6314"/>
      <c r="L283" s="6314"/>
      <c r="M283" s="6314"/>
      <c r="N283" s="6314"/>
      <c r="P283" s="1306"/>
      <c r="Q283" s="1782"/>
      <c r="R283" s="1782"/>
      <c r="S283" s="1306"/>
      <c r="T283" s="1306"/>
      <c r="U283" s="1306"/>
      <c r="V283" s="1306"/>
      <c r="W283" s="1782"/>
      <c r="X283" s="1306"/>
      <c r="Y283" s="1306"/>
      <c r="Z283" s="690"/>
      <c r="AA283" s="1306"/>
      <c r="AB283" s="1306"/>
      <c r="AC283" s="1306"/>
      <c r="AD283" s="1306"/>
      <c r="AE283" s="1306"/>
      <c r="AF283" s="1778"/>
      <c r="AG283" s="712"/>
      <c r="AH283" s="712"/>
      <c r="AI283" s="712"/>
      <c r="AJ283" s="712"/>
      <c r="AK283" s="1787">
        <v>11</v>
      </c>
    </row>
    <row s="6314" customFormat="1" customHeight="1" ht="11.549999999999999">
      <c r="A284" s="1133"/>
      <c r="B284" s="1782"/>
      <c r="C284" s="1782"/>
      <c r="D284" s="497"/>
      <c r="J284" s="6314"/>
      <c r="K284" s="6314"/>
      <c r="L284" s="6314"/>
      <c r="M284" s="6314"/>
      <c r="N284" s="6314"/>
      <c r="P284" s="1306"/>
      <c r="Q284" s="1782"/>
      <c r="R284" s="1782"/>
      <c r="S284" s="1306"/>
      <c r="T284" s="1306"/>
      <c r="U284" s="1306"/>
      <c r="V284" s="1306"/>
      <c r="W284" s="1782"/>
      <c r="X284" s="1306"/>
      <c r="Y284" s="1306"/>
      <c r="Z284" s="690"/>
      <c r="AA284" s="1306"/>
      <c r="AB284" s="1306"/>
      <c r="AC284" s="1306"/>
      <c r="AD284" s="1306"/>
      <c r="AE284" s="1306"/>
      <c r="AF284" s="1778"/>
      <c r="AG284" s="712"/>
      <c r="AH284" s="712"/>
      <c r="AI284" s="712"/>
      <c r="AJ284" s="712"/>
      <c r="AK284" s="1787">
        <v>11</v>
      </c>
    </row>
    <row s="6314" customFormat="1" customHeight="1" ht="11.549999999999999">
      <c r="A285" s="1133"/>
      <c r="B285" s="1782"/>
      <c r="C285" s="1782"/>
      <c r="D285" s="497"/>
      <c r="J285" s="6314"/>
      <c r="K285" s="6314"/>
      <c r="L285" s="6314"/>
      <c r="M285" s="6314"/>
      <c r="N285" s="6314"/>
      <c r="P285" s="1306"/>
      <c r="Q285" s="1782"/>
      <c r="R285" s="1782"/>
      <c r="S285" s="1306"/>
      <c r="T285" s="1306"/>
      <c r="U285" s="1306"/>
      <c r="V285" s="1306"/>
      <c r="W285" s="1782"/>
      <c r="X285" s="1306"/>
      <c r="Y285" s="1306"/>
      <c r="Z285" s="690"/>
      <c r="AA285" s="1306"/>
      <c r="AB285" s="1306"/>
      <c r="AC285" s="1306"/>
      <c r="AD285" s="1306"/>
      <c r="AE285" s="1306"/>
      <c r="AF285" s="1778"/>
      <c r="AG285" s="712"/>
      <c r="AH285" s="712"/>
      <c r="AI285" s="712"/>
      <c r="AJ285" s="712"/>
      <c r="AK285" s="1787">
        <v>11</v>
      </c>
    </row>
    <row s="6314" customFormat="1" customHeight="1" ht="11.549999999999999">
      <c r="A286" s="1133"/>
      <c r="B286" s="1782"/>
      <c r="C286" s="1782"/>
      <c r="D286" s="497"/>
      <c r="J286" s="6314"/>
      <c r="K286" s="6314"/>
      <c r="L286" s="6314"/>
      <c r="M286" s="6314"/>
      <c r="N286" s="6314"/>
      <c r="P286" s="1306"/>
      <c r="Q286" s="1782"/>
      <c r="R286" s="1782"/>
      <c r="S286" s="1306"/>
      <c r="T286" s="1306"/>
      <c r="U286" s="1306"/>
      <c r="V286" s="1306"/>
      <c r="W286" s="1782"/>
      <c r="X286" s="1306"/>
      <c r="Y286" s="1306"/>
      <c r="Z286" s="690"/>
      <c r="AA286" s="1306"/>
      <c r="AB286" s="1306"/>
      <c r="AC286" s="1306"/>
      <c r="AD286" s="1306"/>
      <c r="AE286" s="1306"/>
      <c r="AF286" s="1778"/>
      <c r="AG286" s="712"/>
      <c r="AH286" s="712"/>
      <c r="AI286" s="712"/>
      <c r="AJ286" s="712"/>
      <c r="AK286" s="1787">
        <v>11</v>
      </c>
    </row>
    <row s="6314" customFormat="1" customHeight="1" ht="11.549999999999999">
      <c r="A287" s="1133"/>
      <c r="B287" s="1782"/>
      <c r="C287" s="1782"/>
      <c r="D287" s="497"/>
      <c r="J287" s="6314"/>
      <c r="K287" s="6314"/>
      <c r="L287" s="6314"/>
      <c r="M287" s="6314"/>
      <c r="N287" s="6314"/>
      <c r="P287" s="1306"/>
      <c r="Q287" s="1782"/>
      <c r="R287" s="1782"/>
      <c r="S287" s="1306"/>
      <c r="T287" s="1306"/>
      <c r="U287" s="1306"/>
      <c r="V287" s="1306"/>
      <c r="W287" s="1782"/>
      <c r="X287" s="1306"/>
      <c r="Y287" s="1306"/>
      <c r="Z287" s="690"/>
      <c r="AA287" s="1306"/>
      <c r="AB287" s="1306"/>
      <c r="AC287" s="1306"/>
      <c r="AD287" s="1306"/>
      <c r="AE287" s="1306"/>
      <c r="AF287" s="1778"/>
      <c r="AG287" s="712"/>
      <c r="AH287" s="712"/>
      <c r="AI287" s="712"/>
      <c r="AJ287" s="712"/>
      <c r="AK287" s="1787">
        <v>11</v>
      </c>
    </row>
    <row s="6314" customFormat="1" customHeight="1" ht="11.549999999999999">
      <c r="A288" s="1133"/>
      <c r="B288" s="1782"/>
      <c r="C288" s="1782"/>
      <c r="D288" s="497"/>
      <c r="J288" s="6314"/>
      <c r="K288" s="6314"/>
      <c r="L288" s="6314"/>
      <c r="M288" s="6314"/>
      <c r="N288" s="6314"/>
      <c r="P288" s="1306"/>
      <c r="Q288" s="1782"/>
      <c r="R288" s="1782"/>
      <c r="S288" s="1306"/>
      <c r="T288" s="1306"/>
      <c r="U288" s="1306"/>
      <c r="V288" s="1306"/>
      <c r="W288" s="1782"/>
      <c r="X288" s="1306"/>
      <c r="Y288" s="1306"/>
      <c r="Z288" s="690"/>
      <c r="AA288" s="1306"/>
      <c r="AB288" s="1306"/>
      <c r="AC288" s="1306"/>
      <c r="AD288" s="1306"/>
      <c r="AE288" s="1306"/>
      <c r="AF288" s="1778"/>
      <c r="AG288" s="712"/>
      <c r="AH288" s="712"/>
      <c r="AI288" s="712"/>
      <c r="AJ288" s="712"/>
      <c r="AK288" s="1787">
        <v>11</v>
      </c>
    </row>
    <row s="6314" customFormat="1" customHeight="1" ht="11.549999999999999">
      <c r="A289" s="1133"/>
      <c r="B289" s="1782"/>
      <c r="C289" s="1782"/>
      <c r="D289" s="497"/>
      <c r="J289" s="6314"/>
      <c r="K289" s="6314"/>
      <c r="L289" s="6314"/>
      <c r="M289" s="6314"/>
      <c r="N289" s="6314"/>
      <c r="P289" s="1306"/>
      <c r="Q289" s="1782"/>
      <c r="R289" s="1782"/>
      <c r="S289" s="1306"/>
      <c r="T289" s="1306"/>
      <c r="U289" s="1306"/>
      <c r="V289" s="1306"/>
      <c r="W289" s="1782"/>
      <c r="X289" s="1306"/>
      <c r="Y289" s="1306"/>
      <c r="Z289" s="690"/>
      <c r="AA289" s="1306"/>
      <c r="AB289" s="1306"/>
      <c r="AC289" s="1306"/>
      <c r="AD289" s="1306"/>
      <c r="AE289" s="1306"/>
      <c r="AF289" s="1778"/>
      <c r="AG289" s="712"/>
      <c r="AH289" s="712"/>
      <c r="AI289" s="712"/>
      <c r="AJ289" s="712"/>
      <c r="AK289" s="1787">
        <v>11</v>
      </c>
    </row>
    <row s="6314" customFormat="1" customHeight="1" ht="11.549999999999999">
      <c r="A290" s="1133"/>
      <c r="B290" s="1782"/>
      <c r="C290" s="1782"/>
      <c r="D290" s="497"/>
      <c r="J290" s="6314"/>
      <c r="K290" s="6314"/>
      <c r="L290" s="6314"/>
      <c r="M290" s="6314"/>
      <c r="N290" s="6314"/>
      <c r="P290" s="1306"/>
      <c r="Q290" s="1782"/>
      <c r="R290" s="1782"/>
      <c r="S290" s="1306"/>
      <c r="T290" s="1306"/>
      <c r="U290" s="1306"/>
      <c r="V290" s="1306"/>
      <c r="W290" s="1782"/>
      <c r="X290" s="1306"/>
      <c r="Y290" s="1306"/>
      <c r="Z290" s="690"/>
      <c r="AA290" s="1306"/>
      <c r="AB290" s="1306"/>
      <c r="AC290" s="1306"/>
      <c r="AD290" s="1306"/>
      <c r="AE290" s="1306"/>
      <c r="AF290" s="1778"/>
      <c r="AG290" s="712"/>
      <c r="AH290" s="712"/>
      <c r="AI290" s="712"/>
      <c r="AJ290" s="712"/>
      <c r="AK290" s="1787">
        <v>11</v>
      </c>
    </row>
    <row s="6314" customFormat="1" customHeight="1" ht="11.549999999999999">
      <c r="A291" s="1133"/>
      <c r="B291" s="1782"/>
      <c r="C291" s="1782"/>
      <c r="D291" s="497"/>
      <c r="J291" s="6314"/>
      <c r="K291" s="6314"/>
      <c r="L291" s="6314"/>
      <c r="M291" s="6314"/>
      <c r="N291" s="6314"/>
      <c r="P291" s="1306"/>
      <c r="Q291" s="1782"/>
      <c r="R291" s="1782"/>
      <c r="S291" s="1306"/>
      <c r="T291" s="1306"/>
      <c r="U291" s="1306"/>
      <c r="V291" s="1306"/>
      <c r="W291" s="1782"/>
      <c r="X291" s="1306"/>
      <c r="Y291" s="1306"/>
      <c r="Z291" s="690"/>
      <c r="AA291" s="1306"/>
      <c r="AB291" s="1306"/>
      <c r="AC291" s="1306"/>
      <c r="AD291" s="1306"/>
      <c r="AE291" s="1306"/>
      <c r="AF291" s="1778"/>
      <c r="AG291" s="712"/>
      <c r="AH291" s="712"/>
      <c r="AI291" s="712"/>
      <c r="AJ291" s="712"/>
      <c r="AK291" s="1787">
        <v>11</v>
      </c>
    </row>
    <row s="6314" customFormat="1" customHeight="1" ht="11.549999999999999">
      <c r="A292" s="1133"/>
      <c r="B292" s="1782"/>
      <c r="C292" s="1782"/>
      <c r="D292" s="497"/>
      <c r="J292" s="6314"/>
      <c r="K292" s="6314"/>
      <c r="L292" s="6314"/>
      <c r="M292" s="6314"/>
      <c r="N292" s="6314"/>
      <c r="P292" s="1306"/>
      <c r="Q292" s="1782"/>
      <c r="R292" s="1782"/>
      <c r="S292" s="1306"/>
      <c r="T292" s="1306"/>
      <c r="U292" s="1306"/>
      <c r="V292" s="1306"/>
      <c r="W292" s="1782"/>
      <c r="X292" s="1306"/>
      <c r="Y292" s="1306"/>
      <c r="Z292" s="690"/>
      <c r="AA292" s="1306"/>
      <c r="AB292" s="1306"/>
      <c r="AC292" s="1306"/>
      <c r="AD292" s="1306"/>
      <c r="AE292" s="1306"/>
      <c r="AF292" s="1778"/>
      <c r="AG292" s="712"/>
      <c r="AH292" s="712"/>
      <c r="AI292" s="712"/>
      <c r="AJ292" s="712"/>
      <c r="AK292" s="1787">
        <v>11</v>
      </c>
    </row>
    <row s="6314" customFormat="1" customHeight="1" ht="11.549999999999999">
      <c r="A293" s="1133"/>
      <c r="B293" s="1782"/>
      <c r="C293" s="1782"/>
      <c r="D293" s="497"/>
      <c r="J293" s="6314"/>
      <c r="K293" s="6314"/>
      <c r="L293" s="6314"/>
      <c r="M293" s="6314"/>
      <c r="N293" s="6314"/>
      <c r="P293" s="1306"/>
      <c r="Q293" s="1782"/>
      <c r="R293" s="1782"/>
      <c r="S293" s="1306"/>
      <c r="T293" s="1306"/>
      <c r="U293" s="1306"/>
      <c r="V293" s="1306"/>
      <c r="W293" s="1782"/>
      <c r="X293" s="1306"/>
      <c r="Y293" s="1306"/>
      <c r="Z293" s="690"/>
      <c r="AA293" s="1306"/>
      <c r="AB293" s="1306"/>
      <c r="AC293" s="1306"/>
      <c r="AD293" s="1306"/>
      <c r="AE293" s="1306"/>
      <c r="AF293" s="1778"/>
      <c r="AG293" s="712"/>
      <c r="AH293" s="712"/>
      <c r="AI293" s="712"/>
      <c r="AJ293" s="712"/>
      <c r="AK293" s="1787">
        <v>11</v>
      </c>
    </row>
    <row s="6314" customFormat="1" customHeight="1" ht="11.549999999999999">
      <c r="A294" s="1133"/>
      <c r="B294" s="1782"/>
      <c r="C294" s="1782"/>
      <c r="D294" s="497"/>
      <c r="J294" s="6314"/>
      <c r="K294" s="6314"/>
      <c r="L294" s="6314"/>
      <c r="M294" s="6314"/>
      <c r="N294" s="6314"/>
      <c r="P294" s="1306"/>
      <c r="Q294" s="1782"/>
      <c r="R294" s="1782"/>
      <c r="S294" s="1306"/>
      <c r="T294" s="1306"/>
      <c r="U294" s="1306"/>
      <c r="V294" s="1306"/>
      <c r="W294" s="1782"/>
      <c r="X294" s="1306"/>
      <c r="Y294" s="1306"/>
      <c r="Z294" s="690"/>
      <c r="AA294" s="1306"/>
      <c r="AB294" s="1306"/>
      <c r="AC294" s="1306"/>
      <c r="AD294" s="1306"/>
      <c r="AE294" s="1306"/>
      <c r="AF294" s="1778"/>
      <c r="AG294" s="712"/>
      <c r="AH294" s="712"/>
      <c r="AI294" s="712"/>
      <c r="AJ294" s="712"/>
      <c r="AK294" s="1787">
        <v>11</v>
      </c>
    </row>
    <row s="6314" customFormat="1" customHeight="1" ht="11.549999999999999">
      <c r="A295" s="1133"/>
      <c r="B295" s="1782"/>
      <c r="C295" s="1782"/>
      <c r="D295" s="497"/>
      <c r="J295" s="6314"/>
      <c r="K295" s="6314"/>
      <c r="L295" s="6314"/>
      <c r="M295" s="6314"/>
      <c r="N295" s="6314"/>
      <c r="P295" s="1306"/>
      <c r="Q295" s="1782"/>
      <c r="R295" s="1782"/>
      <c r="S295" s="1306"/>
      <c r="T295" s="1306"/>
      <c r="U295" s="1306"/>
      <c r="V295" s="1306"/>
      <c r="W295" s="1782"/>
      <c r="X295" s="1306"/>
      <c r="Y295" s="1306"/>
      <c r="Z295" s="690"/>
      <c r="AA295" s="1306"/>
      <c r="AB295" s="1306"/>
      <c r="AC295" s="1306"/>
      <c r="AD295" s="1306"/>
      <c r="AE295" s="1306"/>
      <c r="AF295" s="1778"/>
      <c r="AG295" s="712"/>
      <c r="AH295" s="712"/>
      <c r="AI295" s="712"/>
      <c r="AJ295" s="712"/>
      <c r="AK295" s="1787">
        <v>11</v>
      </c>
    </row>
    <row s="6314" customFormat="1" customHeight="1" ht="11.549999999999999">
      <c r="A296" s="1133"/>
      <c r="B296" s="1782"/>
      <c r="C296" s="1782"/>
      <c r="D296" s="497"/>
      <c r="J296" s="6314"/>
      <c r="K296" s="6314"/>
      <c r="L296" s="6314"/>
      <c r="M296" s="6314"/>
      <c r="N296" s="6314"/>
      <c r="P296" s="1306"/>
      <c r="Q296" s="1782"/>
      <c r="R296" s="1782"/>
      <c r="S296" s="1306"/>
      <c r="T296" s="1306"/>
      <c r="U296" s="1306"/>
      <c r="V296" s="1306"/>
      <c r="W296" s="1782"/>
      <c r="X296" s="1306"/>
      <c r="Y296" s="1306"/>
      <c r="Z296" s="690"/>
      <c r="AA296" s="1306"/>
      <c r="AB296" s="1306"/>
      <c r="AC296" s="1306"/>
      <c r="AD296" s="1306"/>
      <c r="AE296" s="1306"/>
      <c r="AF296" s="1778"/>
      <c r="AG296" s="712"/>
      <c r="AH296" s="712"/>
      <c r="AI296" s="712"/>
      <c r="AJ296" s="712"/>
      <c r="AK296" s="1787">
        <v>11</v>
      </c>
    </row>
    <row s="6314" customFormat="1" customHeight="1" ht="11.549999999999999">
      <c r="A297" s="1133"/>
      <c r="B297" s="1782"/>
      <c r="C297" s="1782"/>
      <c r="D297" s="497"/>
      <c r="J297" s="6314"/>
      <c r="K297" s="6314"/>
      <c r="L297" s="6314"/>
      <c r="M297" s="6314"/>
      <c r="N297" s="6314"/>
      <c r="P297" s="1306"/>
      <c r="Q297" s="1782"/>
      <c r="R297" s="1782"/>
      <c r="S297" s="1306"/>
      <c r="T297" s="1306"/>
      <c r="U297" s="1306"/>
      <c r="V297" s="1306"/>
      <c r="W297" s="1782"/>
      <c r="X297" s="1306"/>
      <c r="Y297" s="1306"/>
      <c r="Z297" s="690"/>
      <c r="AA297" s="1306"/>
      <c r="AB297" s="1306"/>
      <c r="AC297" s="1306"/>
      <c r="AD297" s="1306"/>
      <c r="AE297" s="1306"/>
      <c r="AF297" s="1778"/>
      <c r="AG297" s="712"/>
      <c r="AH297" s="712"/>
      <c r="AI297" s="712"/>
      <c r="AJ297" s="712"/>
      <c r="AK297" s="1787">
        <v>11</v>
      </c>
    </row>
    <row s="6314" customFormat="1" customHeight="1" ht="11.549999999999999">
      <c r="A298" s="1133"/>
      <c r="B298" s="1782"/>
      <c r="C298" s="1782"/>
      <c r="D298" s="497"/>
      <c r="J298" s="6314"/>
      <c r="K298" s="6314"/>
      <c r="L298" s="6314"/>
      <c r="M298" s="6314"/>
      <c r="N298" s="6314"/>
      <c r="P298" s="1306"/>
      <c r="Q298" s="1782"/>
      <c r="R298" s="1782"/>
      <c r="S298" s="1306"/>
      <c r="T298" s="1306"/>
      <c r="U298" s="1306"/>
      <c r="V298" s="1306"/>
      <c r="W298" s="1782"/>
      <c r="X298" s="1306"/>
      <c r="Y298" s="1306"/>
      <c r="Z298" s="690"/>
      <c r="AA298" s="1306"/>
      <c r="AB298" s="1306"/>
      <c r="AC298" s="1306"/>
      <c r="AD298" s="1306"/>
      <c r="AE298" s="1306"/>
      <c r="AF298" s="1778"/>
      <c r="AG298" s="712"/>
      <c r="AH298" s="712"/>
      <c r="AI298" s="712"/>
      <c r="AJ298" s="712"/>
      <c r="AK298" s="1787">
        <v>11</v>
      </c>
    </row>
    <row s="6314" customFormat="1" customHeight="1" ht="11.549999999999999">
      <c r="A299" s="1133"/>
      <c r="B299" s="1782"/>
      <c r="C299" s="1782"/>
      <c r="D299" s="497"/>
      <c r="J299" s="6314"/>
      <c r="K299" s="6314"/>
      <c r="L299" s="6314"/>
      <c r="M299" s="6314"/>
      <c r="N299" s="6314"/>
      <c r="P299" s="1306"/>
      <c r="Q299" s="1782"/>
      <c r="R299" s="1782"/>
      <c r="S299" s="1306"/>
      <c r="T299" s="1306"/>
      <c r="U299" s="1306"/>
      <c r="V299" s="1306"/>
      <c r="W299" s="1782"/>
      <c r="X299" s="1306"/>
      <c r="Y299" s="1306"/>
      <c r="Z299" s="690"/>
      <c r="AA299" s="1306"/>
      <c r="AB299" s="1306"/>
      <c r="AC299" s="1306"/>
      <c r="AD299" s="1306"/>
      <c r="AE299" s="1306"/>
      <c r="AF299" s="1778"/>
      <c r="AG299" s="712"/>
      <c r="AH299" s="712"/>
      <c r="AI299" s="712"/>
      <c r="AJ299" s="712"/>
      <c r="AK299" s="1787">
        <v>11</v>
      </c>
    </row>
    <row s="6314" customFormat="1" customHeight="1" ht="11.549999999999999">
      <c r="A300" s="1133"/>
      <c r="B300" s="1782"/>
      <c r="C300" s="1782"/>
      <c r="D300" s="497"/>
      <c r="J300" s="6314"/>
      <c r="K300" s="6314"/>
      <c r="L300" s="6314"/>
      <c r="M300" s="6314"/>
      <c r="N300" s="6314"/>
      <c r="P300" s="1306"/>
      <c r="Q300" s="1782"/>
      <c r="R300" s="1782"/>
      <c r="S300" s="1306"/>
      <c r="T300" s="1306"/>
      <c r="U300" s="1306"/>
      <c r="V300" s="1306"/>
      <c r="W300" s="1782"/>
      <c r="X300" s="1306"/>
      <c r="Y300" s="1306"/>
      <c r="Z300" s="690"/>
      <c r="AA300" s="1306"/>
      <c r="AB300" s="1306"/>
      <c r="AC300" s="1306"/>
      <c r="AD300" s="1306"/>
      <c r="AE300" s="1306"/>
      <c r="AF300" s="1778"/>
      <c r="AG300" s="712"/>
      <c r="AH300" s="712"/>
      <c r="AI300" s="712"/>
      <c r="AJ300" s="712"/>
      <c r="AK300" s="1787">
        <v>11</v>
      </c>
    </row>
    <row s="6314" customFormat="1" customHeight="1" ht="11.549999999999999">
      <c r="A301" s="1133"/>
      <c r="B301" s="1782"/>
      <c r="C301" s="1782"/>
      <c r="D301" s="497"/>
      <c r="J301" s="6314"/>
      <c r="K301" s="6314"/>
      <c r="L301" s="6314"/>
      <c r="M301" s="6314"/>
      <c r="N301" s="6314"/>
      <c r="P301" s="1306"/>
      <c r="Q301" s="1782"/>
      <c r="R301" s="1782"/>
      <c r="S301" s="1306"/>
      <c r="T301" s="1306"/>
      <c r="U301" s="1306"/>
      <c r="V301" s="1306"/>
      <c r="W301" s="1782"/>
      <c r="X301" s="1306"/>
      <c r="Y301" s="1306"/>
      <c r="Z301" s="690"/>
      <c r="AA301" s="1306"/>
      <c r="AB301" s="1306"/>
      <c r="AC301" s="1306"/>
      <c r="AD301" s="1306"/>
      <c r="AE301" s="1306"/>
      <c r="AF301" s="1778"/>
      <c r="AG301" s="712"/>
      <c r="AH301" s="712"/>
      <c r="AI301" s="712"/>
      <c r="AJ301" s="712"/>
      <c r="AK301" s="1787">
        <v>11</v>
      </c>
    </row>
    <row s="6314" customFormat="1" customHeight="1" ht="11.549999999999999">
      <c r="A302" s="1133"/>
      <c r="B302" s="1782"/>
      <c r="C302" s="1782"/>
      <c r="D302" s="497"/>
      <c r="J302" s="6314"/>
      <c r="K302" s="6314"/>
      <c r="L302" s="6314"/>
      <c r="M302" s="6314"/>
      <c r="N302" s="6314"/>
      <c r="P302" s="1306"/>
      <c r="Q302" s="1782"/>
      <c r="R302" s="1782"/>
      <c r="S302" s="1306"/>
      <c r="T302" s="1306"/>
      <c r="U302" s="1306"/>
      <c r="V302" s="1306"/>
      <c r="W302" s="1782"/>
      <c r="X302" s="1306"/>
      <c r="Y302" s="1306"/>
      <c r="Z302" s="690"/>
      <c r="AA302" s="1306"/>
      <c r="AB302" s="1306"/>
      <c r="AC302" s="1306"/>
      <c r="AD302" s="1306"/>
      <c r="AE302" s="1306"/>
      <c r="AF302" s="1778"/>
      <c r="AG302" s="712"/>
      <c r="AH302" s="712"/>
      <c r="AI302" s="712"/>
      <c r="AJ302" s="712"/>
      <c r="AK302" s="1787">
        <v>11</v>
      </c>
    </row>
    <row s="6314" customFormat="1" customHeight="1" ht="11.549999999999999">
      <c r="A303" s="1133"/>
      <c r="B303" s="1782"/>
      <c r="C303" s="1782"/>
      <c r="D303" s="497"/>
      <c r="J303" s="6314"/>
      <c r="K303" s="6314"/>
      <c r="L303" s="6314"/>
      <c r="M303" s="6314"/>
      <c r="N303" s="6314"/>
      <c r="P303" s="1306"/>
      <c r="Q303" s="1782"/>
      <c r="R303" s="1782"/>
      <c r="S303" s="1306"/>
      <c r="T303" s="1306"/>
      <c r="U303" s="1306"/>
      <c r="V303" s="1306"/>
      <c r="W303" s="1782"/>
      <c r="X303" s="1306"/>
      <c r="Y303" s="1306"/>
      <c r="Z303" s="690"/>
      <c r="AA303" s="1306"/>
      <c r="AB303" s="1306"/>
      <c r="AC303" s="1306"/>
      <c r="AD303" s="1306"/>
      <c r="AE303" s="1306"/>
      <c r="AF303" s="1778"/>
      <c r="AG303" s="712"/>
      <c r="AH303" s="712"/>
      <c r="AI303" s="712"/>
      <c r="AJ303" s="712"/>
      <c r="AK303" s="1787">
        <v>11</v>
      </c>
    </row>
    <row s="6314" customFormat="1" customHeight="1" ht="11.549999999999999">
      <c r="A304" s="1133"/>
      <c r="B304" s="1782"/>
      <c r="C304" s="1782"/>
      <c r="D304" s="497"/>
      <c r="J304" s="6314"/>
      <c r="K304" s="6314"/>
      <c r="L304" s="6314"/>
      <c r="M304" s="6314"/>
      <c r="N304" s="6314"/>
      <c r="P304" s="1306"/>
      <c r="Q304" s="1782"/>
      <c r="R304" s="1782"/>
      <c r="S304" s="1306"/>
      <c r="T304" s="1306"/>
      <c r="U304" s="1306"/>
      <c r="V304" s="1306"/>
      <c r="W304" s="1782"/>
      <c r="X304" s="1306"/>
      <c r="Y304" s="1306"/>
      <c r="Z304" s="690"/>
      <c r="AA304" s="1306"/>
      <c r="AB304" s="1306"/>
      <c r="AC304" s="1306"/>
      <c r="AD304" s="1306"/>
      <c r="AE304" s="1306"/>
      <c r="AF304" s="1778"/>
      <c r="AG304" s="712"/>
      <c r="AH304" s="712"/>
      <c r="AI304" s="712"/>
      <c r="AJ304" s="712"/>
      <c r="AK304" s="1787">
        <v>11</v>
      </c>
    </row>
    <row s="6314" customFormat="1" customHeight="1" ht="11.549999999999999">
      <c r="A305" s="1133"/>
      <c r="B305" s="1782"/>
      <c r="C305" s="1782"/>
      <c r="D305" s="497"/>
      <c r="J305" s="6314"/>
      <c r="K305" s="6314"/>
      <c r="L305" s="6314"/>
      <c r="M305" s="6314"/>
      <c r="N305" s="6314"/>
      <c r="P305" s="1306"/>
      <c r="Q305" s="1782"/>
      <c r="R305" s="1782"/>
      <c r="S305" s="1306"/>
      <c r="T305" s="1306"/>
      <c r="U305" s="1306"/>
      <c r="V305" s="1306"/>
      <c r="W305" s="1782"/>
      <c r="X305" s="1306"/>
      <c r="Y305" s="1306"/>
      <c r="Z305" s="690"/>
      <c r="AA305" s="1306"/>
      <c r="AB305" s="1306"/>
      <c r="AC305" s="1306"/>
      <c r="AD305" s="1306"/>
      <c r="AE305" s="1306"/>
      <c r="AF305" s="1778"/>
      <c r="AG305" s="712"/>
      <c r="AH305" s="712"/>
      <c r="AI305" s="712"/>
      <c r="AJ305" s="712"/>
      <c r="AK305" s="1787">
        <v>11</v>
      </c>
    </row>
    <row s="6314" customFormat="1" customHeight="1" ht="11.549999999999999">
      <c r="A306" s="1133"/>
      <c r="B306" s="1782"/>
      <c r="C306" s="1782"/>
      <c r="D306" s="497"/>
      <c r="J306" s="6314"/>
      <c r="K306" s="6314"/>
      <c r="L306" s="6314"/>
      <c r="M306" s="6314"/>
      <c r="N306" s="6314"/>
      <c r="P306" s="1306"/>
      <c r="Q306" s="1782"/>
      <c r="R306" s="1782"/>
      <c r="S306" s="1306"/>
      <c r="T306" s="1306"/>
      <c r="U306" s="1306"/>
      <c r="V306" s="1306"/>
      <c r="W306" s="1782"/>
      <c r="X306" s="1306"/>
      <c r="Y306" s="1306"/>
      <c r="Z306" s="690"/>
      <c r="AA306" s="1306"/>
      <c r="AB306" s="1306"/>
      <c r="AC306" s="1306"/>
      <c r="AD306" s="1306"/>
      <c r="AE306" s="1306"/>
      <c r="AF306" s="1778"/>
      <c r="AG306" s="712"/>
      <c r="AH306" s="712"/>
      <c r="AI306" s="712"/>
      <c r="AJ306" s="712"/>
      <c r="AK306" s="1787">
        <v>11</v>
      </c>
    </row>
    <row s="6314" customFormat="1" customHeight="1" ht="11.549999999999999">
      <c r="A307" s="1133"/>
      <c r="B307" s="1782"/>
      <c r="C307" s="1782"/>
      <c r="D307" s="497"/>
      <c r="J307" s="6314"/>
      <c r="K307" s="6314"/>
      <c r="L307" s="6314"/>
      <c r="M307" s="6314"/>
      <c r="N307" s="6314"/>
      <c r="P307" s="1306"/>
      <c r="Q307" s="1782"/>
      <c r="R307" s="1782"/>
      <c r="S307" s="1306"/>
      <c r="T307" s="1306"/>
      <c r="U307" s="1306"/>
      <c r="V307" s="1306"/>
      <c r="W307" s="1782"/>
      <c r="X307" s="1306"/>
      <c r="Y307" s="1306"/>
      <c r="Z307" s="690"/>
      <c r="AA307" s="1306"/>
      <c r="AB307" s="1306"/>
      <c r="AC307" s="1306"/>
      <c r="AD307" s="1306"/>
      <c r="AE307" s="1306"/>
      <c r="AF307" s="1778"/>
      <c r="AG307" s="712"/>
      <c r="AH307" s="712"/>
      <c r="AI307" s="712"/>
      <c r="AJ307" s="712"/>
      <c r="AK307" s="1787">
        <v>11</v>
      </c>
    </row>
    <row s="6314" customFormat="1" customHeight="1" ht="11.549999999999999">
      <c r="A308" s="1133"/>
      <c r="B308" s="1782"/>
      <c r="C308" s="1782"/>
      <c r="D308" s="497"/>
      <c r="J308" s="6314"/>
      <c r="K308" s="6314"/>
      <c r="L308" s="6314"/>
      <c r="M308" s="6314"/>
      <c r="N308" s="6314"/>
      <c r="P308" s="1306"/>
      <c r="Q308" s="1782"/>
      <c r="R308" s="1782"/>
      <c r="S308" s="1306"/>
      <c r="T308" s="1306"/>
      <c r="U308" s="1306"/>
      <c r="V308" s="1306"/>
      <c r="W308" s="1782"/>
      <c r="X308" s="1306"/>
      <c r="Y308" s="1306"/>
      <c r="Z308" s="690"/>
      <c r="AA308" s="1306"/>
      <c r="AB308" s="1306"/>
      <c r="AC308" s="1306"/>
      <c r="AD308" s="1306"/>
      <c r="AE308" s="1306"/>
      <c r="AF308" s="1778"/>
      <c r="AG308" s="712"/>
      <c r="AH308" s="712"/>
      <c r="AI308" s="712"/>
      <c r="AJ308" s="712"/>
      <c r="AK308" s="1787">
        <v>11</v>
      </c>
    </row>
    <row s="6314" customFormat="1" customHeight="1" ht="11.549999999999999">
      <c r="A309" s="1133"/>
      <c r="B309" s="1782"/>
      <c r="C309" s="1782"/>
      <c r="D309" s="497"/>
      <c r="J309" s="6314"/>
      <c r="K309" s="6314"/>
      <c r="L309" s="6314"/>
      <c r="M309" s="6314"/>
      <c r="N309" s="6314"/>
      <c r="P309" s="1306"/>
      <c r="Q309" s="1782"/>
      <c r="R309" s="1782"/>
      <c r="S309" s="1306"/>
      <c r="T309" s="1306"/>
      <c r="U309" s="1306"/>
      <c r="V309" s="1306"/>
      <c r="W309" s="1782"/>
      <c r="X309" s="1306"/>
      <c r="Y309" s="1306"/>
      <c r="Z309" s="690"/>
      <c r="AA309" s="1306"/>
      <c r="AB309" s="1306"/>
      <c r="AC309" s="1306"/>
      <c r="AD309" s="1306"/>
      <c r="AE309" s="1306"/>
      <c r="AF309" s="1778"/>
      <c r="AG309" s="712"/>
      <c r="AH309" s="712"/>
      <c r="AI309" s="712"/>
      <c r="AJ309" s="712"/>
      <c r="AK309" s="1787">
        <v>11</v>
      </c>
    </row>
    <row s="6314" customFormat="1" customHeight="1" ht="11.549999999999999">
      <c r="A310" s="1133"/>
      <c r="B310" s="1782"/>
      <c r="C310" s="1782"/>
      <c r="D310" s="497"/>
      <c r="J310" s="6314"/>
      <c r="K310" s="6314"/>
      <c r="L310" s="6314"/>
      <c r="M310" s="6314"/>
      <c r="N310" s="6314"/>
      <c r="P310" s="1306"/>
      <c r="Q310" s="1782"/>
      <c r="R310" s="1782"/>
      <c r="S310" s="1306"/>
      <c r="T310" s="1306"/>
      <c r="U310" s="1306"/>
      <c r="V310" s="1306"/>
      <c r="W310" s="1782"/>
      <c r="X310" s="1306"/>
      <c r="Y310" s="1306"/>
      <c r="Z310" s="690"/>
      <c r="AA310" s="1306"/>
      <c r="AB310" s="1306"/>
      <c r="AC310" s="1306"/>
      <c r="AD310" s="1306"/>
      <c r="AE310" s="1306"/>
      <c r="AF310" s="1778"/>
      <c r="AG310" s="712"/>
      <c r="AH310" s="712"/>
      <c r="AI310" s="712"/>
      <c r="AJ310" s="712"/>
      <c r="AK310" s="1787">
        <v>11</v>
      </c>
    </row>
    <row s="6314" customFormat="1" customHeight="1" ht="11.549999999999999">
      <c r="A311" s="1133"/>
      <c r="B311" s="1782"/>
      <c r="C311" s="1782"/>
      <c r="D311" s="497"/>
      <c r="J311" s="6314"/>
      <c r="K311" s="6314"/>
      <c r="L311" s="6314"/>
      <c r="M311" s="6314"/>
      <c r="N311" s="6314"/>
      <c r="P311" s="1306"/>
      <c r="Q311" s="1782"/>
      <c r="R311" s="1782"/>
      <c r="S311" s="1306"/>
      <c r="T311" s="1306"/>
      <c r="U311" s="1306"/>
      <c r="V311" s="1306"/>
      <c r="W311" s="1782"/>
      <c r="X311" s="1306"/>
      <c r="Y311" s="1306"/>
      <c r="Z311" s="690"/>
      <c r="AA311" s="1306"/>
      <c r="AB311" s="1306"/>
      <c r="AC311" s="1306"/>
      <c r="AD311" s="1306"/>
      <c r="AE311" s="1306"/>
      <c r="AF311" s="1778"/>
      <c r="AG311" s="712"/>
      <c r="AH311" s="712"/>
      <c r="AI311" s="712"/>
      <c r="AJ311" s="712"/>
      <c r="AK311" s="1787">
        <v>11</v>
      </c>
    </row>
    <row s="6314" customFormat="1" customHeight="1" ht="11.549999999999999">
      <c r="A312" s="1133"/>
      <c r="B312" s="1782"/>
      <c r="C312" s="1782"/>
      <c r="D312" s="497"/>
      <c r="J312" s="6314"/>
      <c r="K312" s="6314"/>
      <c r="L312" s="6314"/>
      <c r="M312" s="6314"/>
      <c r="N312" s="6314"/>
      <c r="P312" s="1306"/>
      <c r="Q312" s="1782"/>
      <c r="R312" s="1782"/>
      <c r="S312" s="1306"/>
      <c r="T312" s="1306"/>
      <c r="U312" s="1306"/>
      <c r="V312" s="1306"/>
      <c r="W312" s="1782"/>
      <c r="X312" s="1306"/>
      <c r="Y312" s="1306"/>
      <c r="Z312" s="690"/>
      <c r="AA312" s="1306"/>
      <c r="AB312" s="1306"/>
      <c r="AC312" s="1306"/>
      <c r="AD312" s="1306"/>
      <c r="AE312" s="1306"/>
      <c r="AF312" s="1778"/>
      <c r="AG312" s="712"/>
      <c r="AH312" s="712"/>
      <c r="AI312" s="712"/>
      <c r="AJ312" s="712"/>
      <c r="AK312" s="1787">
        <v>11</v>
      </c>
    </row>
    <row s="6314" customFormat="1" customHeight="1" ht="11.549999999999999">
      <c r="A313" s="1133"/>
      <c r="B313" s="1782"/>
      <c r="C313" s="1782"/>
      <c r="D313" s="497"/>
      <c r="J313" s="6314"/>
      <c r="K313" s="6314"/>
      <c r="L313" s="6314"/>
      <c r="M313" s="6314"/>
      <c r="N313" s="6314"/>
      <c r="P313" s="1306"/>
      <c r="Q313" s="1782"/>
      <c r="R313" s="1782"/>
      <c r="S313" s="1306"/>
      <c r="T313" s="1306"/>
      <c r="U313" s="1306"/>
      <c r="V313" s="1306"/>
      <c r="W313" s="1782"/>
      <c r="X313" s="1306"/>
      <c r="Y313" s="1306"/>
      <c r="Z313" s="690"/>
      <c r="AA313" s="1306"/>
      <c r="AB313" s="1306"/>
      <c r="AC313" s="1306"/>
      <c r="AD313" s="1306"/>
      <c r="AE313" s="1306"/>
      <c r="AF313" s="1778"/>
      <c r="AG313" s="712"/>
      <c r="AH313" s="712"/>
      <c r="AI313" s="712"/>
      <c r="AJ313" s="712"/>
      <c r="AK313" s="1787">
        <v>11</v>
      </c>
    </row>
    <row s="6314" customFormat="1" customHeight="1" ht="11.549999999999999">
      <c r="A314" s="1133"/>
      <c r="B314" s="1782"/>
      <c r="C314" s="1782"/>
      <c r="D314" s="497"/>
      <c r="J314" s="6314"/>
      <c r="K314" s="6314"/>
      <c r="L314" s="6314"/>
      <c r="M314" s="6314"/>
      <c r="N314" s="6314"/>
      <c r="P314" s="1306"/>
      <c r="Q314" s="1782"/>
      <c r="R314" s="1782"/>
      <c r="S314" s="1306"/>
      <c r="T314" s="1306"/>
      <c r="U314" s="1306"/>
      <c r="V314" s="1306"/>
      <c r="W314" s="1782"/>
      <c r="X314" s="1306"/>
      <c r="Y314" s="1306"/>
      <c r="Z314" s="690"/>
      <c r="AA314" s="1306"/>
      <c r="AB314" s="1306"/>
      <c r="AC314" s="1306"/>
      <c r="AD314" s="1306"/>
      <c r="AE314" s="1306"/>
      <c r="AF314" s="1778"/>
      <c r="AG314" s="712"/>
      <c r="AH314" s="712"/>
      <c r="AI314" s="712"/>
      <c r="AJ314" s="712"/>
      <c r="AK314" s="1787">
        <v>11</v>
      </c>
    </row>
    <row s="6314" customFormat="1" customHeight="1" ht="11.549999999999999">
      <c r="A315" s="1133"/>
      <c r="B315" s="1782"/>
      <c r="C315" s="1782"/>
      <c r="D315" s="497"/>
      <c r="J315" s="6314"/>
      <c r="K315" s="6314"/>
      <c r="L315" s="6314"/>
      <c r="M315" s="6314"/>
      <c r="N315" s="6314"/>
      <c r="P315" s="1306"/>
      <c r="Q315" s="1782"/>
      <c r="R315" s="1782"/>
      <c r="S315" s="1306"/>
      <c r="T315" s="1306"/>
      <c r="U315" s="1306"/>
      <c r="V315" s="1306"/>
      <c r="W315" s="1782"/>
      <c r="X315" s="1306"/>
      <c r="Y315" s="1306"/>
      <c r="Z315" s="690"/>
      <c r="AA315" s="1306"/>
      <c r="AB315" s="1306"/>
      <c r="AC315" s="1306"/>
      <c r="AD315" s="1306"/>
      <c r="AE315" s="1306"/>
      <c r="AF315" s="1778"/>
      <c r="AG315" s="712"/>
      <c r="AH315" s="712"/>
      <c r="AI315" s="712"/>
      <c r="AJ315" s="712"/>
      <c r="AK315" s="1787">
        <v>11</v>
      </c>
    </row>
    <row s="6314" customFormat="1" customHeight="1" ht="11.549999999999999">
      <c r="A316" s="1133"/>
      <c r="B316" s="1782"/>
      <c r="C316" s="1782"/>
      <c r="D316" s="497"/>
      <c r="J316" s="6314"/>
      <c r="K316" s="6314"/>
      <c r="L316" s="6314"/>
      <c r="M316" s="6314"/>
      <c r="N316" s="6314"/>
      <c r="P316" s="1306"/>
      <c r="Q316" s="1782"/>
      <c r="R316" s="1782"/>
      <c r="S316" s="1306"/>
      <c r="T316" s="1306"/>
      <c r="U316" s="1306"/>
      <c r="V316" s="1306"/>
      <c r="W316" s="1782"/>
      <c r="X316" s="1306"/>
      <c r="Y316" s="1306"/>
      <c r="Z316" s="690"/>
      <c r="AA316" s="1306"/>
      <c r="AB316" s="1306"/>
      <c r="AC316" s="1306"/>
      <c r="AD316" s="1306"/>
      <c r="AE316" s="1306"/>
      <c r="AF316" s="1778"/>
      <c r="AG316" s="712"/>
      <c r="AH316" s="712"/>
      <c r="AI316" s="712"/>
      <c r="AJ316" s="712"/>
      <c r="AK316" s="1787">
        <v>11</v>
      </c>
    </row>
    <row s="6314" customFormat="1" customHeight="1" ht="11.549999999999999">
      <c r="A317" s="1133"/>
      <c r="B317" s="1782"/>
      <c r="C317" s="1782"/>
      <c r="D317" s="497"/>
      <c r="J317" s="6314"/>
      <c r="K317" s="6314"/>
      <c r="L317" s="6314"/>
      <c r="M317" s="6314"/>
      <c r="N317" s="6314"/>
      <c r="P317" s="1306"/>
      <c r="Q317" s="1782"/>
      <c r="R317" s="1782"/>
      <c r="S317" s="1306"/>
      <c r="T317" s="1306"/>
      <c r="U317" s="1306"/>
      <c r="V317" s="1306"/>
      <c r="W317" s="1782"/>
      <c r="X317" s="1306"/>
      <c r="Y317" s="1306"/>
      <c r="Z317" s="690"/>
      <c r="AA317" s="1306"/>
      <c r="AB317" s="1306"/>
      <c r="AC317" s="1306"/>
      <c r="AD317" s="1306"/>
      <c r="AE317" s="1306"/>
      <c r="AF317" s="1778"/>
      <c r="AG317" s="712"/>
      <c r="AH317" s="712"/>
      <c r="AI317" s="712"/>
      <c r="AJ317" s="712"/>
      <c r="AK317" s="1787">
        <v>11</v>
      </c>
    </row>
    <row s="6314" customFormat="1" customHeight="1" ht="11.549999999999999">
      <c r="A318" s="1133"/>
      <c r="B318" s="1782"/>
      <c r="C318" s="1782"/>
      <c r="D318" s="497"/>
      <c r="J318" s="6314"/>
      <c r="K318" s="6314"/>
      <c r="L318" s="6314"/>
      <c r="M318" s="6314"/>
      <c r="N318" s="6314"/>
      <c r="P318" s="1306"/>
      <c r="Q318" s="1782"/>
      <c r="R318" s="1782"/>
      <c r="S318" s="1306"/>
      <c r="T318" s="1306"/>
      <c r="U318" s="1306"/>
      <c r="V318" s="1306"/>
      <c r="W318" s="1782"/>
      <c r="X318" s="1306"/>
      <c r="Y318" s="1306"/>
      <c r="Z318" s="690"/>
      <c r="AA318" s="1306"/>
      <c r="AB318" s="1306"/>
      <c r="AC318" s="1306"/>
      <c r="AD318" s="1306"/>
      <c r="AE318" s="1306"/>
      <c r="AF318" s="1778"/>
      <c r="AG318" s="712"/>
      <c r="AH318" s="712"/>
      <c r="AI318" s="712"/>
      <c r="AJ318" s="712"/>
      <c r="AK318" s="1787">
        <v>11</v>
      </c>
    </row>
    <row s="6314" customFormat="1" customHeight="1" ht="11.549999999999999">
      <c r="A319" s="1133"/>
      <c r="B319" s="1782"/>
      <c r="C319" s="1782"/>
      <c r="D319" s="497"/>
      <c r="J319" s="6314"/>
      <c r="K319" s="6314"/>
      <c r="L319" s="6314"/>
      <c r="M319" s="6314"/>
      <c r="N319" s="6314"/>
      <c r="P319" s="1306"/>
      <c r="Q319" s="1782"/>
      <c r="R319" s="1782"/>
      <c r="S319" s="1306"/>
      <c r="T319" s="1306"/>
      <c r="U319" s="1306"/>
      <c r="V319" s="1306"/>
      <c r="W319" s="1782"/>
      <c r="X319" s="1306"/>
      <c r="Y319" s="1306"/>
      <c r="Z319" s="690"/>
      <c r="AA319" s="1306"/>
      <c r="AB319" s="1306"/>
      <c r="AC319" s="1306"/>
      <c r="AD319" s="1306"/>
      <c r="AE319" s="1306"/>
      <c r="AF319" s="1778"/>
      <c r="AG319" s="712"/>
      <c r="AH319" s="712"/>
      <c r="AI319" s="712"/>
      <c r="AJ319" s="712"/>
      <c r="AK319" s="1787">
        <v>11</v>
      </c>
    </row>
    <row customHeight="1" ht="11.549999999999999">
      <c r="J320" s="7235"/>
      <c r="K320" s="7235"/>
      <c r="L320" s="7235"/>
      <c r="M320" s="7235"/>
      <c r="N320" s="7235"/>
      <c r="AK320" s="1777">
        <v>11</v>
      </c>
    </row>
    <row customHeight="1" ht="11.549999999999999">
      <c r="J321" s="7235"/>
      <c r="K321" s="7235"/>
      <c r="L321" s="7235"/>
      <c r="M321" s="7235"/>
      <c r="N321" s="7235"/>
      <c r="AK321" s="1777">
        <v>11</v>
      </c>
    </row>
    <row customHeight="1" ht="11.549999999999999">
      <c r="J322" s="7235"/>
      <c r="K322" s="7235"/>
      <c r="L322" s="7235"/>
      <c r="M322" s="7235"/>
      <c r="N322" s="7235"/>
      <c r="AK322" s="1777">
        <v>11</v>
      </c>
    </row>
    <row customHeight="1" ht="11.549999999999999">
      <c r="A323" s="1136"/>
      <c r="B323" s="1777"/>
      <c r="D323" s="1777"/>
      <c r="J323" s="7235"/>
      <c r="K323" s="7235"/>
      <c r="L323" s="7235"/>
      <c r="M323" s="7235"/>
      <c r="N323" s="7235"/>
      <c r="P323" s="1777"/>
      <c r="S323" s="1777"/>
      <c r="T323" s="1777"/>
      <c r="U323" s="1777"/>
      <c r="V323" s="1777"/>
      <c r="X323" s="1777"/>
      <c r="Y323" s="1777"/>
      <c r="Z323" s="1777"/>
      <c r="AA323" s="1777"/>
      <c r="AB323" s="1777"/>
      <c r="AC323" s="1777"/>
      <c r="AD323" s="1777"/>
      <c r="AE323" s="1777"/>
      <c r="AF323" s="1777"/>
      <c r="AG323" s="1777"/>
      <c r="AH323" s="1777"/>
      <c r="AI323" s="1777"/>
      <c r="AJ323" s="1777"/>
      <c r="AK323" s="1777">
        <v>11</v>
      </c>
    </row>
    <row customHeight="1" ht="11.549999999999999">
      <c r="A324" s="1136"/>
      <c r="B324" s="1777"/>
      <c r="D324" s="1777"/>
      <c r="J324" s="7235"/>
      <c r="K324" s="7235"/>
      <c r="L324" s="7235"/>
      <c r="M324" s="7235"/>
      <c r="N324" s="7235"/>
      <c r="P324" s="1777"/>
      <c r="S324" s="1777"/>
      <c r="T324" s="1777"/>
      <c r="U324" s="1777"/>
      <c r="V324" s="1777"/>
      <c r="X324" s="1777"/>
      <c r="Y324" s="1777"/>
      <c r="Z324" s="1777"/>
      <c r="AA324" s="1777"/>
      <c r="AB324" s="1777"/>
      <c r="AC324" s="1777"/>
      <c r="AD324" s="1777"/>
      <c r="AE324" s="1777"/>
      <c r="AF324" s="1777"/>
      <c r="AG324" s="1777"/>
      <c r="AH324" s="1777"/>
      <c r="AI324" s="1777"/>
      <c r="AJ324" s="1777"/>
      <c r="AK324" s="1777">
        <v>11</v>
      </c>
    </row>
    <row customHeight="1" ht="11.549999999999999">
      <c r="A325" s="1136"/>
      <c r="B325" s="1777"/>
      <c r="D325" s="1777"/>
      <c r="J325" s="7235"/>
      <c r="K325" s="7235"/>
      <c r="L325" s="7235"/>
      <c r="M325" s="7235"/>
      <c r="N325" s="7235"/>
      <c r="P325" s="1777"/>
      <c r="S325" s="1777"/>
      <c r="T325" s="1777"/>
      <c r="U325" s="1777"/>
      <c r="V325" s="1777"/>
      <c r="X325" s="1777"/>
      <c r="Y325" s="1777"/>
      <c r="Z325" s="1777"/>
      <c r="AA325" s="1777"/>
      <c r="AB325" s="1777"/>
      <c r="AC325" s="1777"/>
      <c r="AD325" s="1777"/>
      <c r="AE325" s="1777"/>
      <c r="AF325" s="1777"/>
      <c r="AG325" s="1777"/>
      <c r="AH325" s="1777"/>
      <c r="AI325" s="1777"/>
      <c r="AJ325" s="1777"/>
      <c r="AK325" s="1777">
        <v>11</v>
      </c>
    </row>
    <row customHeight="1" ht="11.549999999999999">
      <c r="A326" s="1136"/>
      <c r="B326" s="1777"/>
      <c r="D326" s="1777"/>
      <c r="J326" s="7235"/>
      <c r="K326" s="7235"/>
      <c r="L326" s="7235"/>
      <c r="M326" s="7235"/>
      <c r="N326" s="7235"/>
      <c r="P326" s="1777"/>
      <c r="S326" s="1777"/>
      <c r="T326" s="1777"/>
      <c r="U326" s="1777"/>
      <c r="V326" s="1777"/>
      <c r="X326" s="1777"/>
      <c r="Y326" s="1777"/>
      <c r="Z326" s="1777"/>
      <c r="AA326" s="1777"/>
      <c r="AB326" s="1777"/>
      <c r="AC326" s="1777"/>
      <c r="AD326" s="1777"/>
      <c r="AE326" s="1777"/>
      <c r="AF326" s="1777"/>
      <c r="AG326" s="1777"/>
      <c r="AH326" s="1777"/>
      <c r="AI326" s="1777"/>
      <c r="AJ326" s="1777"/>
      <c r="AK326" s="1777">
        <v>11</v>
      </c>
    </row>
    <row customHeight="1" ht="11.549999999999999">
      <c r="A327" s="1136"/>
      <c r="B327" s="1777"/>
      <c r="D327" s="1777"/>
      <c r="J327" s="7235"/>
      <c r="K327" s="7235"/>
      <c r="L327" s="7235"/>
      <c r="M327" s="7235"/>
      <c r="N327" s="7235"/>
      <c r="P327" s="1777"/>
      <c r="S327" s="1777"/>
      <c r="T327" s="1777"/>
      <c r="U327" s="1777"/>
      <c r="V327" s="1777"/>
      <c r="X327" s="1777"/>
      <c r="Y327" s="1777"/>
      <c r="Z327" s="1777"/>
      <c r="AA327" s="1777"/>
      <c r="AB327" s="1777"/>
      <c r="AC327" s="1777"/>
      <c r="AD327" s="1777"/>
      <c r="AE327" s="1777"/>
      <c r="AF327" s="1777"/>
      <c r="AG327" s="1777"/>
      <c r="AH327" s="1777"/>
      <c r="AI327" s="1777"/>
      <c r="AJ327" s="1777"/>
      <c r="AK327" s="1777">
        <v>11</v>
      </c>
    </row>
    <row customHeight="1" ht="11.549999999999999">
      <c r="A328" s="1136"/>
      <c r="B328" s="1777"/>
      <c r="D328" s="1777"/>
      <c r="J328" s="7235"/>
      <c r="K328" s="7235"/>
      <c r="L328" s="7235"/>
      <c r="M328" s="7235"/>
      <c r="N328" s="7235"/>
      <c r="P328" s="1777"/>
      <c r="S328" s="1777"/>
      <c r="T328" s="1777"/>
      <c r="U328" s="1777"/>
      <c r="V328" s="1777"/>
      <c r="X328" s="1777"/>
      <c r="Y328" s="1777"/>
      <c r="Z328" s="1777"/>
      <c r="AA328" s="1777"/>
      <c r="AB328" s="1777"/>
      <c r="AC328" s="1777"/>
      <c r="AD328" s="1777"/>
      <c r="AE328" s="1777"/>
      <c r="AF328" s="1777"/>
      <c r="AG328" s="1777"/>
      <c r="AH328" s="1777"/>
      <c r="AI328" s="1777"/>
      <c r="AJ328" s="1777"/>
      <c r="AK328" s="1777">
        <v>11</v>
      </c>
    </row>
    <row customHeight="1" ht="11.549999999999999">
      <c r="A329" s="1136"/>
      <c r="B329" s="1777"/>
      <c r="D329" s="1777"/>
      <c r="J329" s="7235"/>
      <c r="K329" s="7235"/>
      <c r="L329" s="7235"/>
      <c r="M329" s="7235"/>
      <c r="N329" s="7235"/>
      <c r="P329" s="1777"/>
      <c r="S329" s="1777"/>
      <c r="T329" s="1777"/>
      <c r="U329" s="1777"/>
      <c r="V329" s="1777"/>
      <c r="X329" s="1777"/>
      <c r="Y329" s="1777"/>
      <c r="Z329" s="1777"/>
      <c r="AA329" s="1777"/>
      <c r="AB329" s="1777"/>
      <c r="AC329" s="1777"/>
      <c r="AD329" s="1777"/>
      <c r="AE329" s="1777"/>
      <c r="AF329" s="1777"/>
      <c r="AG329" s="1777"/>
      <c r="AH329" s="1777"/>
      <c r="AI329" s="1777"/>
      <c r="AJ329" s="1777"/>
      <c r="AK329" s="1777">
        <v>11</v>
      </c>
    </row>
    <row customHeight="1" ht="11.549999999999999">
      <c r="A330" s="1136"/>
      <c r="B330" s="1777"/>
      <c r="D330" s="1777"/>
      <c r="J330" s="7235"/>
      <c r="K330" s="7235"/>
      <c r="L330" s="7235"/>
      <c r="M330" s="7235"/>
      <c r="N330" s="7235"/>
      <c r="P330" s="1777"/>
      <c r="S330" s="1777"/>
      <c r="T330" s="1777"/>
      <c r="U330" s="1777"/>
      <c r="V330" s="1777"/>
      <c r="X330" s="1777"/>
      <c r="Y330" s="1777"/>
      <c r="Z330" s="1777"/>
      <c r="AA330" s="1777"/>
      <c r="AB330" s="1777"/>
      <c r="AC330" s="1777"/>
      <c r="AD330" s="1777"/>
      <c r="AE330" s="1777"/>
      <c r="AF330" s="1777"/>
      <c r="AG330" s="1777"/>
      <c r="AH330" s="1777"/>
      <c r="AI330" s="1777"/>
      <c r="AJ330" s="1777"/>
      <c r="AK330" s="1777">
        <v>11</v>
      </c>
    </row>
    <row customHeight="1" ht="11.549999999999999">
      <c r="A331" s="1136"/>
      <c r="B331" s="1777"/>
      <c r="D331" s="1777"/>
      <c r="J331" s="7235"/>
      <c r="K331" s="7235"/>
      <c r="L331" s="7235"/>
      <c r="M331" s="7235"/>
      <c r="N331" s="7235"/>
      <c r="P331" s="1777"/>
      <c r="S331" s="1777"/>
      <c r="T331" s="1777"/>
      <c r="U331" s="1777"/>
      <c r="V331" s="1777"/>
      <c r="X331" s="1777"/>
      <c r="Y331" s="1777"/>
      <c r="Z331" s="1777"/>
      <c r="AA331" s="1777"/>
      <c r="AB331" s="1777"/>
      <c r="AC331" s="1777"/>
      <c r="AD331" s="1777"/>
      <c r="AE331" s="1777"/>
      <c r="AF331" s="1777"/>
      <c r="AG331" s="1777"/>
      <c r="AH331" s="1777"/>
      <c r="AI331" s="1777"/>
      <c r="AJ331" s="1777"/>
      <c r="AK331" s="1777">
        <v>11</v>
      </c>
    </row>
    <row customHeight="1" ht="11.549999999999999">
      <c r="A332" s="1136"/>
      <c r="B332" s="1777"/>
      <c r="D332" s="1777"/>
      <c r="J332" s="7235"/>
      <c r="K332" s="7235"/>
      <c r="L332" s="7235"/>
      <c r="M332" s="7235"/>
      <c r="N332" s="7235"/>
      <c r="P332" s="1777"/>
      <c r="S332" s="1777"/>
      <c r="T332" s="1777"/>
      <c r="U332" s="1777"/>
      <c r="V332" s="1777"/>
      <c r="X332" s="1777"/>
      <c r="Y332" s="1777"/>
      <c r="Z332" s="1777"/>
      <c r="AA332" s="1777"/>
      <c r="AB332" s="1777"/>
      <c r="AC332" s="1777"/>
      <c r="AD332" s="1777"/>
      <c r="AE332" s="1777"/>
      <c r="AF332" s="1777"/>
      <c r="AG332" s="1777"/>
      <c r="AH332" s="1777"/>
      <c r="AI332" s="1777"/>
      <c r="AJ332" s="1777"/>
      <c r="AK332" s="1777">
        <v>11</v>
      </c>
    </row>
    <row customHeight="1" ht="11.549999999999999">
      <c r="A333" s="1136"/>
      <c r="B333" s="1777"/>
      <c r="D333" s="1777"/>
      <c r="J333" s="7235"/>
      <c r="K333" s="7235"/>
      <c r="L333" s="7235"/>
      <c r="M333" s="7235"/>
      <c r="N333" s="7235"/>
      <c r="P333" s="1777"/>
      <c r="S333" s="1777"/>
      <c r="T333" s="1777"/>
      <c r="U333" s="1777"/>
      <c r="V333" s="1777"/>
      <c r="X333" s="1777"/>
      <c r="Y333" s="1777"/>
      <c r="Z333" s="1777"/>
      <c r="AA333" s="1777"/>
      <c r="AB333" s="1777"/>
      <c r="AC333" s="1777"/>
      <c r="AD333" s="1777"/>
      <c r="AE333" s="1777"/>
      <c r="AF333" s="1777"/>
      <c r="AG333" s="1777"/>
      <c r="AH333" s="1777"/>
      <c r="AI333" s="1777"/>
      <c r="AJ333" s="1777"/>
      <c r="AK333" s="1777">
        <v>11</v>
      </c>
    </row>
    <row customHeight="1" ht="11.25" hidden="1">
      <c r="A334" s="1133" t="s">
        <v>83</v>
      </c>
      <c r="B334" s="1306">
        <v>0</v>
      </c>
      <c r="C334" s="1782">
        <v>0</v>
      </c>
      <c r="D334" s="1781">
        <v>3</v>
      </c>
      <c r="E334" s="1777">
        <v>7</v>
      </c>
      <c r="F334" s="1777">
        <v>54</v>
      </c>
      <c r="G334" s="1777">
        <v>10</v>
      </c>
      <c r="H334" s="1777">
        <v>0</v>
      </c>
      <c r="I334" s="1777">
        <v>40</v>
      </c>
      <c r="J334" s="7235">
        <v>0</v>
      </c>
      <c r="K334" s="7235">
        <v>0</v>
      </c>
      <c r="L334" s="7235">
        <v>0</v>
      </c>
      <c r="M334" s="7235">
        <v>0</v>
      </c>
      <c r="N334" s="7235">
        <v>0</v>
      </c>
      <c r="O334" s="1777">
        <v>102</v>
      </c>
      <c r="P334" s="1306">
        <v>9</v>
      </c>
      <c r="Q334" s="1782">
        <v>5</v>
      </c>
      <c r="R334" s="1782">
        <v>3</v>
      </c>
      <c r="S334" s="1306">
        <v>3</v>
      </c>
      <c r="T334" s="1306">
        <v>3</v>
      </c>
      <c r="U334" s="1306">
        <v>3</v>
      </c>
      <c r="V334" s="1306">
        <v>3</v>
      </c>
      <c r="W334" s="1782">
        <v>10</v>
      </c>
      <c r="X334" s="1306">
        <v>34</v>
      </c>
      <c r="Y334" s="1306">
        <v>9</v>
      </c>
      <c r="Z334" s="690">
        <v>8</v>
      </c>
      <c r="AA334" s="1306">
        <v>8</v>
      </c>
      <c r="AB334" s="1306">
        <v>8</v>
      </c>
      <c r="AC334" s="1306">
        <v>8</v>
      </c>
      <c r="AD334" s="1306">
        <v>8</v>
      </c>
      <c r="AE334" s="1306">
        <v>8</v>
      </c>
      <c r="AF334" s="1778">
        <v>8</v>
      </c>
      <c r="AG334" s="1778">
        <v>8</v>
      </c>
      <c r="AH334" s="1778">
        <v>8</v>
      </c>
      <c r="AI334" s="1778">
        <v>8</v>
      </c>
      <c r="AJ334" s="1778">
        <v>8</v>
      </c>
      <c r="AK334" s="1777">
        <v>11</v>
      </c>
    </row>
  </sheetData>
  <sheetProtection formatColumns="0" formatRows="0" autoFilter="0" sort="0" insertRows="0" insertColumns="1" deleteRows="0" deleteColumns="0"/>
  <mergeCells count="21">
    <mergeCell ref="A147:A161"/>
    <mergeCell ref="E21:I21"/>
    <mergeCell ref="E22:I22"/>
    <mergeCell ref="A33:A58"/>
    <mergeCell ref="B34:B39"/>
    <mergeCell ref="A59:A61"/>
    <mergeCell ref="A85:A86"/>
    <mergeCell ref="A109:A117"/>
    <mergeCell ref="A118:A122"/>
    <mergeCell ref="A123:A125"/>
    <mergeCell ref="A126:A138"/>
    <mergeCell ref="A142:A146"/>
    <mergeCell ref="B2:B7"/>
    <mergeCell ref="O25:O29"/>
    <mergeCell ref="F25:G25"/>
    <mergeCell ref="F26:G26"/>
    <mergeCell ref="F27:G27"/>
    <mergeCell ref="E28:G28"/>
    <mergeCell ref="B40:B45"/>
    <mergeCell ref="B46:B51"/>
    <mergeCell ref="B52:B57"/>
  </mergeCells>
  <dataValidations count="12">
    <dataValidation type="list" allowBlank="1" showInputMessage="1" showErrorMessage="1" errorTitle="Ошибка" error="Выберите значение из списка" prompt="Выберите значение из списка" sqref="H7:N7 H45 H51 H57 I45 I51 I57 J45 J51 J57 K45 K51 K57 L45 L51 L57 M45 M51 M57 N45 N51 N5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N88 M88 L88 K88 J88 I88 H88">
      <formula1>900</formula1>
    </dataValidation>
    <dataValidation type="textLength" operator="lessThanOrEqual" allowBlank="1" showInputMessage="1" showErrorMessage="1" errorTitle="Ошибка" error="Допускается ввод не более 900 символов!" sqref="G4 H34:N34 N39 M39 L39 K39 J39 I39 H39 G42 G48 G54">
      <formula1>900</formula1>
    </dataValidation>
    <dataValidation type="decimal" allowBlank="1" showErrorMessage="1" errorTitle="Ошибка" error="Допускается ввод только неотрицательных чисел!" sqref="H85:N85 H87:N87 H118:N121 H158:N158 H30:N30 H32:N33 H35:N38 H58:N83 H109:N113 H17:N17 H9:N13 H15:N15 H4:N6 H101:N101 H115:N116 H123:N130 H132:N146 H42 I42 J42 K42 L42 M42 N42 H43 I43 J43 K43 L43 M43 N43 H44 I44 J44 K44 L44 M44 N44 H48 I48 J48 K48 L48 M48 N48 H49 I49 J49 K49 L49 M49 N49 H50 I50 J50 K50 L50 M50 N50 H54 I54 J54 K54 L54 M54 N54 H55 I55 J55 K55 L55 M55 N55 H56 I56 J56 K56 L56 M56 N56 H89:H97 I89:I97 J89:J97 K89:K97 L89:L97 M89:M97 N89:N97 H149:H150 I149:I150 J149:J150 K149:K150 L149:L150 M149:M150 N149:N150 H154:H155 I154:I155 J154:J155 K154:K155 L154:L155 M154:M155 N154:N155">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46 F52">
      <formula1>kind_of_fuels</formula1>
    </dataValidation>
    <dataValidation type="list" allowBlank="1" showInputMessage="1" showErrorMessage="1" errorTitle="Ошибка" error="Выберите значение из списка" prompt="Выберите значение из списка" sqref="G12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9:N161 H108:N108">
      <formula1>900</formula1>
    </dataValidation>
    <dataValidation type="decimal" allowBlank="1" showErrorMessage="1" errorTitle="Ошибка" error="Допускается ввод только действительных чисел!" sqref="H99:N100">
      <formula1>-9.99999999999999E+23</formula1>
      <formula2>9.99999999999999E+23</formula2>
    </dataValidation>
    <dataValidation type="decimal" allowBlank="1" showErrorMessage="1" errorTitle="Ошибка" error="Допускается ввод только действительных чисел!" sqref="H152:N152 H147:N147 H157:N157 H102:N107 H131:N131">
      <formula1>-9.99999999999999E+37</formula1>
      <formula2>9.99999999999999E+37</formula2>
    </dataValidation>
    <dataValidation type="decimal" allowBlank="1" showErrorMessage="1" errorTitle="Ошибка" error="Введите значение от 0 до 100%" sqref="H117:N117 H122:N122">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6:N86 H84:N84"/>
  </dataValidations>
  <hyperlinks>
    <hyperlink ref="I108" r:id="rId1" xr:uid="{29C013F1-F045-BD96-D0B9-0.2FC36154}"/>
    <hyperlink ref="J108" r:id="rId2" xr:uid="{BC932E45-E02A-0325-7DC7-0.5BC10F43}"/>
    <hyperlink ref="K108" r:id="rId3" xr:uid="{F0BBCC2E-6FA2-6857-9CF7-0.488C318A}"/>
    <hyperlink ref="L108" r:id="rId4" xr:uid="{4192EC5E-2241-0EBD-5E8E-0.E8E8406C}"/>
    <hyperlink ref="M108" r:id="rId5" xr:uid="{844E5D8E-4DCA-A32C-25A8-0.3C1DF61}"/>
    <hyperlink ref="N108" r:id="rId6" xr:uid="{.91205FC-1EE3-52A5-D037-0.6F3E77E2}"/>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51B54-6F38-E83A-AC4F-0.3D3A20EE}" mc:Ignorable="x14ac xr xr2 xr3">
  <sheetPr>
    <tabColor theme="9" tint="-0.25"/>
  </sheetPr>
  <dimension ref="A1:CF74"/>
  <sheetViews>
    <sheetView topLeftCell="A1" showGridLines="0" zoomScale="90" workbookViewId="0">
      <selection activeCell="A59" sqref="A59:CF67"/>
    </sheetView>
  </sheetViews>
  <sheetFormatPr defaultColWidth="9.140625" customHeight="1" defaultRowHeight="11.25"/>
  <cols>
    <col min="1" max="1" style="7082" width="14.7109375" hidden="1" customWidth="1"/>
    <col min="2" max="2" style="7486" width="17.00390625" hidden="1" customWidth="1"/>
    <col min="3" max="3" style="7235" width="3.00390625" customWidth="1"/>
    <col min="4" max="4" style="7235" width="1.8515625" hidden="1" customWidth="1"/>
    <col min="5" max="6" style="7235" width="7.00390625" customWidth="1"/>
    <col min="7" max="7" style="7235" width="29.00390625" customWidth="1"/>
    <col min="8" max="8" style="7235" width="3.7109375" customWidth="1"/>
    <col min="9" max="9" style="7235" width="5.00390625" customWidth="1"/>
    <col min="10" max="11" style="7235" width="24.00390625" customWidth="1"/>
    <col min="12" max="12" style="7235" width="3.00390625" customWidth="1"/>
    <col min="13" max="13" style="7235" width="6.00390625" customWidth="1"/>
    <col min="14" max="14" style="7235" width="25.00390625" customWidth="1"/>
    <col min="15" max="18" style="7235" width="18.00390625" customWidth="1"/>
    <col min="19" max="19" style="7235" width="93.00390625" customWidth="1"/>
    <col min="20" max="20" style="7235" width="10.00390625" customWidth="1"/>
    <col min="21" max="21" style="6720" width="10.00390625" customWidth="1"/>
    <col min="22" max="22" style="6720" width="11.00390625" customWidth="1"/>
    <col min="23" max="27" style="7486" width="10.00390625" customWidth="1"/>
    <col min="28" max="83" style="7235" width="8.00390625" customWidth="1"/>
    <col min="84" max="84" style="7235" width="9.140625" hidden="1"/>
  </cols>
  <sheetData>
    <row customHeight="1" ht="22.5" hidden="1">
      <c r="CF1" s="651" t="s">
        <v>14</v>
      </c>
    </row>
    <row customHeight="1" ht="11.25" hidden="1">
      <c r="CF2" s="651">
        <v>0</v>
      </c>
    </row>
    <row customHeight="1" ht="11.25" hidden="1">
      <c r="CF3" s="651">
        <v>0</v>
      </c>
    </row>
    <row customHeight="1" ht="3">
      <c r="C4" s="655"/>
      <c r="D4" s="655"/>
      <c r="E4" s="655"/>
      <c r="F4" s="655"/>
      <c r="G4" s="655"/>
      <c r="H4" s="655"/>
      <c r="I4" s="655"/>
      <c r="J4" s="655"/>
      <c r="K4" s="312"/>
      <c r="L4" s="312"/>
      <c r="M4" s="312"/>
      <c r="CF4" s="651">
        <v>3</v>
      </c>
    </row>
    <row customHeight="1" ht="29.25">
      <c r="C5" s="655"/>
      <c r="D5" s="1203"/>
      <c r="E5" s="2396" t="str">
        <f>FHD20_NAME_FORM</f>
        <v>Форма 11. Информация о расходах на капитальный и текущий ремонт основных средств</v>
      </c>
      <c r="F5" s="2396"/>
      <c r="G5" s="2396"/>
      <c r="H5" s="2396"/>
      <c r="I5" s="2396"/>
      <c r="J5" s="2396"/>
      <c r="K5" s="2396"/>
      <c r="L5" s="759"/>
      <c r="M5" s="759"/>
      <c r="CF5" s="651">
        <v>28</v>
      </c>
    </row>
    <row s="7235" customFormat="1" customHeight="1" ht="16.8">
      <c r="A6" s="756"/>
      <c r="B6" s="905"/>
      <c r="C6" s="655"/>
      <c r="D6" s="1204"/>
      <c r="E6" s="2335" t="str">
        <f>IF(org=0,"Не определено",org)</f>
        <v>ПАО "ТГК-14"</v>
      </c>
      <c r="F6" s="2335"/>
      <c r="G6" s="2335"/>
      <c r="H6" s="2335"/>
      <c r="I6" s="2335"/>
      <c r="J6" s="2335"/>
      <c r="K6" s="2335"/>
      <c r="L6" s="759"/>
      <c r="M6" s="759"/>
      <c r="U6" s="757"/>
      <c r="V6" s="757"/>
      <c r="W6" s="758"/>
      <c r="X6" s="905"/>
      <c r="Y6" s="905"/>
      <c r="Z6" s="905"/>
      <c r="AA6" s="905"/>
      <c r="CF6" s="904">
        <v>16</v>
      </c>
    </row>
    <row customHeight="1" ht="11.549999999999999">
      <c r="C7" s="655"/>
      <c r="D7" s="655"/>
      <c r="E7" s="655"/>
      <c r="F7" s="655"/>
      <c r="G7" s="668"/>
      <c r="H7" s="668"/>
      <c r="I7" s="668"/>
      <c r="J7" s="668"/>
      <c r="K7" s="760"/>
      <c r="L7" s="760"/>
      <c r="M7" s="760"/>
      <c r="R7" s="898"/>
      <c r="CF7" s="651">
        <v>11</v>
      </c>
    </row>
    <row s="6314" customFormat="1" customHeight="1" ht="4.2">
      <c r="A8" s="767"/>
      <c r="B8" s="712"/>
      <c r="C8" s="497"/>
      <c r="D8" s="497"/>
      <c r="E8" s="497"/>
      <c r="F8" s="497"/>
      <c r="G8" s="1121"/>
      <c r="H8" s="1121"/>
      <c r="I8" s="1121"/>
      <c r="J8" s="1121"/>
      <c r="K8" s="1164"/>
      <c r="L8" s="1164"/>
      <c r="M8" s="1164"/>
      <c r="R8" s="1165"/>
      <c r="U8" s="757"/>
      <c r="V8" s="757"/>
      <c r="W8" s="768"/>
      <c r="X8" s="712"/>
      <c r="Y8" s="712"/>
      <c r="Z8" s="712"/>
      <c r="AA8" s="712"/>
      <c r="CF8" s="642">
        <v>4</v>
      </c>
    </row>
    <row customHeight="1" ht="19.95">
      <c r="D9" s="435"/>
      <c r="E9" s="2260" t="s">
        <v>322</v>
      </c>
      <c r="F9" s="2261"/>
      <c r="G9" s="2261"/>
      <c r="H9" s="2261"/>
      <c r="I9" s="2261"/>
      <c r="J9" s="2261"/>
      <c r="K9" s="2261"/>
      <c r="L9" s="2261"/>
      <c r="M9" s="2261"/>
      <c r="N9" s="2261"/>
      <c r="O9" s="2261"/>
      <c r="P9" s="2261"/>
      <c r="Q9" s="2261"/>
      <c r="R9" s="2262"/>
      <c r="S9" s="2286" t="s">
        <v>323</v>
      </c>
      <c r="T9" s="480"/>
      <c r="CF9" s="651">
        <v>19</v>
      </c>
    </row>
    <row customHeight="1" ht="48.29999999999999">
      <c r="D10" s="697" t="s">
        <v>89</v>
      </c>
      <c r="E10" s="2286" t="s">
        <v>89</v>
      </c>
      <c r="F10" s="2286"/>
      <c r="G10" s="667" t="s">
        <v>324</v>
      </c>
      <c r="H10" s="2286" t="s">
        <v>89</v>
      </c>
      <c r="I10" s="2286"/>
      <c r="J10" s="667" t="s">
        <v>641</v>
      </c>
      <c r="K10" s="667" t="s">
        <v>642</v>
      </c>
      <c r="L10" s="2286" t="s">
        <v>89</v>
      </c>
      <c r="M10" s="2286"/>
      <c r="N10" s="667" t="s">
        <v>643</v>
      </c>
      <c r="O10" s="667" t="s">
        <v>644</v>
      </c>
      <c r="P10" s="667" t="s">
        <v>645</v>
      </c>
      <c r="Q10" s="667" t="s">
        <v>646</v>
      </c>
      <c r="R10" s="667" t="s">
        <v>647</v>
      </c>
      <c r="S10" s="2286"/>
      <c r="T10" s="480"/>
      <c r="CF10" s="651">
        <v>46</v>
      </c>
    </row>
    <row s="6720" customFormat="1" customHeight="1" ht="15">
      <c r="A11" s="1198"/>
      <c r="D11" s="1171" t="s">
        <v>121</v>
      </c>
      <c r="E11" s="1171"/>
      <c r="F11" s="1171" t="s">
        <v>105</v>
      </c>
      <c r="G11" s="1171" t="s">
        <v>91</v>
      </c>
      <c r="H11" s="1171"/>
      <c r="I11" s="1171" t="s">
        <v>92</v>
      </c>
      <c r="J11" s="1171" t="s">
        <v>122</v>
      </c>
      <c r="K11" s="1171" t="s">
        <v>93</v>
      </c>
      <c r="L11" s="1171"/>
      <c r="M11" s="1171" t="s">
        <v>94</v>
      </c>
      <c r="N11" s="1171" t="s">
        <v>123</v>
      </c>
      <c r="O11" s="1171" t="s">
        <v>172</v>
      </c>
      <c r="P11" s="1171" t="s">
        <v>173</v>
      </c>
      <c r="Q11" s="1171" t="s">
        <v>174</v>
      </c>
      <c r="R11" s="1171" t="s">
        <v>175</v>
      </c>
      <c r="S11" s="1171" t="s">
        <v>176</v>
      </c>
      <c r="U11" s="757"/>
      <c r="V11" s="757"/>
      <c r="W11" s="757"/>
      <c r="CF11" s="657">
        <v>0</v>
      </c>
    </row>
    <row s="7235" customFormat="1" customHeight="1" ht="1.05">
      <c r="A12" s="761"/>
      <c r="B12" s="508"/>
      <c r="D12" s="694"/>
      <c r="E12" s="492"/>
      <c r="F12" s="492"/>
      <c r="Q12" s="762"/>
      <c r="R12" s="763"/>
      <c r="T12" s="764"/>
      <c r="U12" s="765"/>
      <c r="V12" s="765"/>
      <c r="W12" s="766"/>
      <c r="X12" s="508"/>
      <c r="Y12" s="508"/>
      <c r="Z12" s="508"/>
      <c r="AA12" s="508"/>
      <c r="CF12" s="655">
        <v>1</v>
      </c>
    </row>
    <row s="6314" customFormat="1" customHeight="1" ht="1.05">
      <c r="A13" s="767"/>
      <c r="B13" s="712"/>
      <c r="D13" s="694" t="s">
        <v>398</v>
      </c>
      <c r="E13" s="706"/>
      <c r="F13" s="706"/>
      <c r="G13" s="706"/>
      <c r="H13" s="706"/>
      <c r="I13" s="706"/>
      <c r="J13" s="706"/>
      <c r="K13" s="706"/>
      <c r="L13" s="706"/>
      <c r="M13" s="706"/>
      <c r="N13" s="706"/>
      <c r="O13" s="706"/>
      <c r="P13" s="706"/>
      <c r="Q13" s="706"/>
      <c r="R13" s="706"/>
      <c r="T13" s="480"/>
      <c r="U13" s="757"/>
      <c r="V13" s="757"/>
      <c r="W13" s="768"/>
      <c r="X13" s="712"/>
      <c r="Y13" s="712"/>
      <c r="Z13" s="712"/>
      <c r="AA13" s="712"/>
      <c r="CF13" s="642">
        <v>1</v>
      </c>
    </row>
    <row s="7976" customFormat="1" customHeight="1" ht="15">
      <c r="A14" s="769" t="s">
        <v>129</v>
      </c>
      <c r="B14" s="770"/>
      <c r="C14" s="770"/>
      <c r="D14" s="2539" t="s">
        <v>121</v>
      </c>
      <c r="E14" s="2536" t="s">
        <v>117</v>
      </c>
      <c r="F14" s="2537"/>
      <c r="G14" s="2538"/>
      <c r="H14" s="2542"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I14" s="2542"/>
      <c r="J14" s="2542"/>
      <c r="K14" s="2542"/>
      <c r="L14" s="2542"/>
      <c r="M14" s="2542"/>
      <c r="N14" s="2542"/>
      <c r="O14" s="2542"/>
      <c r="P14" s="2542"/>
      <c r="Q14" s="2542"/>
      <c r="R14" s="2542"/>
      <c r="S14" s="865"/>
      <c r="T14" s="862"/>
      <c r="U14" s="771"/>
      <c r="V14" s="771"/>
      <c r="W14" s="772"/>
      <c r="X14" s="772"/>
      <c r="Y14" s="772"/>
      <c r="Z14" s="772"/>
      <c r="AA14" s="773"/>
      <c r="AB14" s="774"/>
      <c r="AC14" s="2534"/>
      <c r="AD14" s="775"/>
      <c r="AE14" s="776" t="s">
        <v>22</v>
      </c>
      <c r="AF14" s="776"/>
      <c r="AG14" s="777" t="s">
        <v>648</v>
      </c>
      <c r="AH14" s="778">
        <v>3</v>
      </c>
      <c r="AI14" s="771"/>
      <c r="AJ14" s="771"/>
      <c r="AK14" s="771"/>
      <c r="AL14" s="771"/>
      <c r="AM14" s="771"/>
      <c r="AN14" s="771"/>
      <c r="AO14" s="771"/>
      <c r="AP14" s="771"/>
      <c r="AQ14" s="771"/>
      <c r="AR14" s="771"/>
      <c r="AS14" s="771"/>
      <c r="AT14" s="771"/>
      <c r="AU14" s="771"/>
      <c r="AV14" s="771"/>
      <c r="AW14" s="771"/>
      <c r="AX14" s="771"/>
      <c r="AY14" s="771"/>
      <c r="AZ14" s="771"/>
      <c r="BA14" s="771"/>
      <c r="BB14" s="771"/>
      <c r="BC14" s="771"/>
      <c r="BD14" s="771"/>
      <c r="BE14" s="771"/>
      <c r="BF14" s="771"/>
      <c r="BG14" s="771"/>
      <c r="BH14" s="771"/>
      <c r="BI14" s="771"/>
      <c r="BJ14" s="771"/>
      <c r="BK14" s="771"/>
      <c r="BL14" s="771"/>
      <c r="BM14" s="771"/>
      <c r="BN14" s="771"/>
      <c r="BO14" s="771"/>
      <c r="BP14" s="771"/>
      <c r="BQ14" s="771"/>
      <c r="BR14" s="771"/>
      <c r="BS14" s="771"/>
      <c r="BT14" s="771"/>
      <c r="BU14" s="771"/>
      <c r="BV14" s="772"/>
      <c r="BW14" s="772"/>
      <c r="BX14" s="772"/>
      <c r="BY14" s="772"/>
      <c r="BZ14" s="772"/>
      <c r="CA14" s="772"/>
      <c r="CB14" s="772"/>
      <c r="CC14" s="772"/>
      <c r="CD14" s="772"/>
      <c r="CE14" s="772"/>
      <c r="CF14" s="439">
        <v>0</v>
      </c>
    </row>
    <row s="7976" customFormat="1" customHeight="1" ht="15">
      <c r="A15" s="769"/>
      <c r="B15" s="770"/>
      <c r="C15" s="770"/>
      <c r="D15" s="2540"/>
      <c r="E15" s="2536" t="s">
        <v>586</v>
      </c>
      <c r="F15" s="2537"/>
      <c r="G15" s="2538"/>
      <c r="H15" s="2542" t="str">
        <f>IF(A14="","",INDEX(DIFFERENTIATION_UNMERGE_AREA,MATCH(A14,DIFFERENTIATION_ID_DIFF,0)))</f>
        <v>Территория 1</v>
      </c>
      <c r="I15" s="2542"/>
      <c r="J15" s="2542"/>
      <c r="K15" s="2542"/>
      <c r="L15" s="2542"/>
      <c r="M15" s="2542"/>
      <c r="N15" s="2542"/>
      <c r="O15" s="2542"/>
      <c r="P15" s="2542"/>
      <c r="Q15" s="2542"/>
      <c r="R15" s="2542"/>
      <c r="S15" s="865"/>
      <c r="T15" s="862"/>
      <c r="U15" s="771"/>
      <c r="V15" s="771"/>
      <c r="W15" s="772"/>
      <c r="X15" s="772"/>
      <c r="Y15" s="772"/>
      <c r="Z15" s="772"/>
      <c r="AA15" s="773"/>
      <c r="AB15" s="774"/>
      <c r="AC15" s="2534"/>
      <c r="AD15" s="775"/>
      <c r="AE15" s="776"/>
      <c r="AF15" s="776"/>
      <c r="AG15" s="777"/>
      <c r="AH15" s="778"/>
      <c r="AI15" s="771"/>
      <c r="AJ15" s="771"/>
      <c r="AK15" s="771"/>
      <c r="AL15" s="771"/>
      <c r="AM15" s="771"/>
      <c r="AN15" s="771"/>
      <c r="AO15" s="771"/>
      <c r="AP15" s="771"/>
      <c r="AQ15" s="771"/>
      <c r="AR15" s="771"/>
      <c r="AS15" s="771"/>
      <c r="AT15" s="771"/>
      <c r="AU15" s="771"/>
      <c r="AV15" s="771"/>
      <c r="AW15" s="771"/>
      <c r="AX15" s="771"/>
      <c r="AY15" s="771"/>
      <c r="AZ15" s="771"/>
      <c r="BA15" s="771"/>
      <c r="BB15" s="771"/>
      <c r="BC15" s="771"/>
      <c r="BD15" s="771"/>
      <c r="BE15" s="771"/>
      <c r="BF15" s="771"/>
      <c r="BG15" s="771"/>
      <c r="BH15" s="771"/>
      <c r="BI15" s="771"/>
      <c r="BJ15" s="771"/>
      <c r="BK15" s="771"/>
      <c r="BL15" s="771"/>
      <c r="BM15" s="771"/>
      <c r="BN15" s="771"/>
      <c r="BO15" s="771"/>
      <c r="BP15" s="771"/>
      <c r="BQ15" s="771"/>
      <c r="BR15" s="771"/>
      <c r="BS15" s="771"/>
      <c r="BT15" s="771"/>
      <c r="BU15" s="771"/>
      <c r="BV15" s="772"/>
      <c r="BW15" s="772"/>
      <c r="BX15" s="772"/>
      <c r="BY15" s="772"/>
      <c r="BZ15" s="772"/>
      <c r="CA15" s="772"/>
      <c r="CB15" s="772"/>
      <c r="CC15" s="772"/>
      <c r="CD15" s="772"/>
      <c r="CE15" s="772"/>
      <c r="CF15" s="439">
        <v>0</v>
      </c>
    </row>
    <row s="7976" customFormat="1" customHeight="1" ht="15">
      <c r="A16" s="769"/>
      <c r="B16" s="770"/>
      <c r="C16" s="770"/>
      <c r="D16" s="2540"/>
      <c r="E16" s="2536" t="s">
        <v>587</v>
      </c>
      <c r="F16" s="2537"/>
      <c r="G16" s="2538"/>
      <c r="H16" s="2542" t="str">
        <f>IF(A14="","",INDEX(DIFFERENTIATION_UNMERGE_SYSTEM,MATCH(A14,DIFFERENTIATION_ID_DIFF,0)))</f>
        <v>Шерловогорская ТЭЦ</v>
      </c>
      <c r="I16" s="2542"/>
      <c r="J16" s="2542"/>
      <c r="K16" s="2542"/>
      <c r="L16" s="2542"/>
      <c r="M16" s="2542"/>
      <c r="N16" s="2542"/>
      <c r="O16" s="2542"/>
      <c r="P16" s="2542"/>
      <c r="Q16" s="2542"/>
      <c r="R16" s="2542"/>
      <c r="S16" s="865"/>
      <c r="T16" s="862"/>
      <c r="U16" s="771"/>
      <c r="V16" s="771"/>
      <c r="W16" s="772"/>
      <c r="X16" s="772"/>
      <c r="Y16" s="772"/>
      <c r="Z16" s="772"/>
      <c r="AA16" s="773"/>
      <c r="AB16" s="774"/>
      <c r="AC16" s="2534"/>
      <c r="AD16" s="775"/>
      <c r="AE16" s="776"/>
      <c r="AF16" s="776"/>
      <c r="AG16" s="777"/>
      <c r="AH16" s="778"/>
      <c r="AI16" s="771"/>
      <c r="AJ16" s="771"/>
      <c r="AK16" s="771"/>
      <c r="AL16" s="771"/>
      <c r="AM16" s="771"/>
      <c r="AN16" s="771"/>
      <c r="AO16" s="771"/>
      <c r="AP16" s="771"/>
      <c r="AQ16" s="771"/>
      <c r="AR16" s="771"/>
      <c r="AS16" s="771"/>
      <c r="AT16" s="771"/>
      <c r="AU16" s="771"/>
      <c r="AV16" s="771"/>
      <c r="AW16" s="771"/>
      <c r="AX16" s="771"/>
      <c r="AY16" s="771"/>
      <c r="AZ16" s="771"/>
      <c r="BA16" s="771"/>
      <c r="BB16" s="771"/>
      <c r="BC16" s="771"/>
      <c r="BD16" s="771"/>
      <c r="BE16" s="771"/>
      <c r="BF16" s="771"/>
      <c r="BG16" s="771"/>
      <c r="BH16" s="771"/>
      <c r="BI16" s="771"/>
      <c r="BJ16" s="771"/>
      <c r="BK16" s="771"/>
      <c r="BL16" s="771"/>
      <c r="BM16" s="771"/>
      <c r="BN16" s="771"/>
      <c r="BO16" s="771"/>
      <c r="BP16" s="771"/>
      <c r="BQ16" s="771"/>
      <c r="BR16" s="771"/>
      <c r="BS16" s="771"/>
      <c r="BT16" s="771"/>
      <c r="BU16" s="771"/>
      <c r="BV16" s="772"/>
      <c r="BW16" s="772"/>
      <c r="BX16" s="772"/>
      <c r="BY16" s="772"/>
      <c r="BZ16" s="772"/>
      <c r="CA16" s="772"/>
      <c r="CB16" s="772"/>
      <c r="CC16" s="772"/>
      <c r="CD16" s="772"/>
      <c r="CE16" s="772"/>
      <c r="CF16" s="439">
        <v>0</v>
      </c>
    </row>
    <row s="7976" customFormat="1" customHeight="1" ht="22.5">
      <c r="A17" s="779"/>
      <c r="B17" s="563"/>
      <c r="C17" s="558"/>
      <c r="D17" s="2540"/>
      <c r="E17" s="2535" t="s">
        <v>649</v>
      </c>
      <c r="F17" s="2535"/>
      <c r="G17" s="2535"/>
      <c r="H17" s="2535"/>
      <c r="I17" s="2535"/>
      <c r="J17" s="2535"/>
      <c r="K17" s="2535"/>
      <c r="L17" s="2535"/>
      <c r="M17" s="2535"/>
      <c r="N17" s="2535"/>
      <c r="O17" s="2535"/>
      <c r="P17" s="2535"/>
      <c r="Q17" s="704">
        <f>SUMIF(T18:T19,"i",Q18:Q19)</f>
        <v>0</v>
      </c>
      <c r="R17" s="1163"/>
      <c r="S17" s="1043" t="s">
        <v>650</v>
      </c>
      <c r="T17" s="863" t="s">
        <v>651</v>
      </c>
      <c r="U17" s="2533">
        <v>1</v>
      </c>
      <c r="V17" s="2533" t="str">
        <f>INDEX(B_FHD_FLAG_INDEX_1,1,MATCH(A14,B_FHD_FLAG_DIFFERENTIATION,0))</f>
        <v>отсутствует</v>
      </c>
      <c r="W17" s="563"/>
      <c r="X17" s="563"/>
      <c r="Y17" s="563"/>
      <c r="Z17" s="563"/>
      <c r="AA17" s="657"/>
      <c r="AB17" s="563"/>
      <c r="AC17" s="2534"/>
      <c r="AD17" s="775"/>
      <c r="AE17" s="563"/>
      <c r="AF17" s="563"/>
      <c r="AG17" s="657"/>
      <c r="AH17" s="657"/>
      <c r="AI17" s="657"/>
      <c r="AJ17" s="657"/>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57"/>
      <c r="BQ17" s="657"/>
      <c r="BR17" s="657"/>
      <c r="BS17" s="657"/>
      <c r="BT17" s="657"/>
      <c r="BU17" s="657"/>
      <c r="BV17" s="563"/>
      <c r="BW17" s="563"/>
      <c r="BX17" s="563"/>
      <c r="BY17" s="563"/>
      <c r="BZ17" s="563"/>
      <c r="CA17" s="563"/>
      <c r="CB17" s="563"/>
      <c r="CC17" s="563"/>
      <c r="CD17" s="563"/>
      <c r="CE17" s="563"/>
      <c r="CF17" s="439">
        <v>0</v>
      </c>
    </row>
    <row s="7976" customFormat="1" customHeight="1" ht="11.25" hidden="1">
      <c r="A18" s="780"/>
      <c r="B18" s="657"/>
      <c r="C18" s="657"/>
      <c r="D18" s="2540"/>
      <c r="E18" s="781"/>
      <c r="F18" s="781">
        <v>0</v>
      </c>
      <c r="G18" s="781"/>
      <c r="H18" s="781"/>
      <c r="I18" s="781"/>
      <c r="J18" s="781"/>
      <c r="K18" s="781"/>
      <c r="L18" s="781"/>
      <c r="M18" s="781"/>
      <c r="N18" s="781"/>
      <c r="O18" s="781"/>
      <c r="P18" s="781"/>
      <c r="Q18" s="781"/>
      <c r="R18" s="781"/>
      <c r="S18" s="782"/>
      <c r="T18" s="864"/>
      <c r="U18" s="2533"/>
      <c r="V18" s="2533"/>
      <c r="W18" s="657"/>
      <c r="X18" s="657"/>
      <c r="Y18" s="657"/>
      <c r="Z18" s="657"/>
      <c r="AA18" s="657"/>
      <c r="AB18" s="563"/>
      <c r="AC18" s="2534"/>
      <c r="AD18" s="775"/>
      <c r="AE18" s="563"/>
      <c r="AF18" s="563"/>
      <c r="AG18" s="657"/>
      <c r="AH18" s="657"/>
      <c r="AI18" s="657"/>
      <c r="AJ18" s="657"/>
      <c r="AK18" s="657"/>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57"/>
      <c r="BQ18" s="657"/>
      <c r="BR18" s="657"/>
      <c r="BS18" s="657"/>
      <c r="BT18" s="657"/>
      <c r="BU18" s="657"/>
      <c r="BV18" s="657"/>
      <c r="BW18" s="657"/>
      <c r="BX18" s="657"/>
      <c r="BY18" s="657"/>
      <c r="BZ18" s="657"/>
      <c r="CA18" s="657"/>
      <c r="CB18" s="657"/>
      <c r="CC18" s="657"/>
      <c r="CD18" s="657"/>
      <c r="CE18" s="657"/>
      <c r="CF18" s="439">
        <v>0</v>
      </c>
    </row>
    <row s="7976" customFormat="1" customHeight="1" ht="11.25">
      <c r="A19" s="779"/>
      <c r="B19" s="563"/>
      <c r="C19" s="558"/>
      <c r="D19" s="2540"/>
      <c r="E19" s="795" t="s">
        <v>22</v>
      </c>
      <c r="F19" s="796" t="s">
        <v>22</v>
      </c>
      <c r="G19" s="796" t="s">
        <v>22</v>
      </c>
      <c r="H19" s="797" t="s">
        <v>22</v>
      </c>
      <c r="I19" s="797"/>
      <c r="J19" s="797"/>
      <c r="K19" s="797"/>
      <c r="L19" s="797"/>
      <c r="M19" s="797"/>
      <c r="N19" s="797"/>
      <c r="O19" s="797"/>
      <c r="P19" s="797"/>
      <c r="Q19" s="797"/>
      <c r="R19" s="798"/>
      <c r="S19" s="1166"/>
      <c r="T19" s="864"/>
      <c r="U19" s="2533"/>
      <c r="V19" s="2533"/>
      <c r="W19" s="563"/>
      <c r="X19" s="563"/>
      <c r="Y19" s="563"/>
      <c r="Z19" s="563"/>
      <c r="AA19" s="657"/>
      <c r="AB19" s="563"/>
      <c r="AC19" s="2534"/>
      <c r="AD19" s="775"/>
      <c r="AE19" s="563"/>
      <c r="AF19" s="563"/>
      <c r="AG19" s="657"/>
      <c r="AH19" s="657"/>
      <c r="AI19" s="657"/>
      <c r="AJ19" s="657"/>
      <c r="AK19" s="657"/>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57"/>
      <c r="BQ19" s="657"/>
      <c r="BR19" s="657"/>
      <c r="BS19" s="657"/>
      <c r="BT19" s="657"/>
      <c r="BU19" s="657"/>
      <c r="BV19" s="563"/>
      <c r="BW19" s="563"/>
      <c r="BX19" s="563"/>
      <c r="BY19" s="563"/>
      <c r="BZ19" s="563"/>
      <c r="CA19" s="563"/>
      <c r="CB19" s="563"/>
      <c r="CC19" s="563"/>
      <c r="CD19" s="563"/>
      <c r="CE19" s="563"/>
      <c r="CF19" s="439">
        <v>0</v>
      </c>
    </row>
    <row s="7976" customFormat="1" customHeight="1" ht="22.5">
      <c r="A20" s="779"/>
      <c r="B20" s="563"/>
      <c r="C20" s="558"/>
      <c r="D20" s="2540"/>
      <c r="E20" s="2535" t="s">
        <v>652</v>
      </c>
      <c r="F20" s="2535"/>
      <c r="G20" s="2535"/>
      <c r="H20" s="2535"/>
      <c r="I20" s="2535"/>
      <c r="J20" s="2535"/>
      <c r="K20" s="2535"/>
      <c r="L20" s="2535"/>
      <c r="M20" s="2535"/>
      <c r="N20" s="2535"/>
      <c r="O20" s="2535"/>
      <c r="P20" s="2535"/>
      <c r="Q20" s="704">
        <f>SUMIF(T21:T22,"i",Q21:Q22)</f>
        <v>0</v>
      </c>
      <c r="R20" s="1163"/>
      <c r="S20" s="855" t="s">
        <v>653</v>
      </c>
      <c r="T20" s="863" t="s">
        <v>651</v>
      </c>
      <c r="U20" s="2533">
        <v>2</v>
      </c>
      <c r="V20" s="2533" t="str">
        <f>INDEX(B_FHD_FLAG_INDEX_2,1,MATCH(A14,B_FHD_FLAG_DIFFERENTIATION,0))</f>
        <v>отсутствует</v>
      </c>
      <c r="W20" s="563"/>
      <c r="X20" s="563"/>
      <c r="Y20" s="563"/>
      <c r="Z20" s="563"/>
      <c r="AA20" s="657"/>
      <c r="AB20" s="563"/>
      <c r="AC20" s="852"/>
      <c r="AD20" s="775"/>
      <c r="AE20" s="563"/>
      <c r="AF20" s="563"/>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57"/>
      <c r="BQ20" s="657"/>
      <c r="BR20" s="657"/>
      <c r="BS20" s="657"/>
      <c r="BT20" s="657"/>
      <c r="BU20" s="657"/>
      <c r="BV20" s="563"/>
      <c r="BW20" s="563"/>
      <c r="BX20" s="563"/>
      <c r="BY20" s="563"/>
      <c r="BZ20" s="563"/>
      <c r="CA20" s="563"/>
      <c r="CB20" s="563"/>
      <c r="CC20" s="563"/>
      <c r="CD20" s="563"/>
      <c r="CE20" s="563"/>
      <c r="CF20" s="439">
        <v>0</v>
      </c>
    </row>
    <row s="7976" customFormat="1" customHeight="1" ht="11.25" hidden="1">
      <c r="A21" s="854"/>
      <c r="B21" s="657"/>
      <c r="C21" s="657"/>
      <c r="D21" s="2540"/>
      <c r="E21" s="781"/>
      <c r="F21" s="781">
        <v>0</v>
      </c>
      <c r="G21" s="781"/>
      <c r="H21" s="781"/>
      <c r="I21" s="781"/>
      <c r="J21" s="781"/>
      <c r="K21" s="781"/>
      <c r="L21" s="781"/>
      <c r="M21" s="781"/>
      <c r="N21" s="781"/>
      <c r="O21" s="781"/>
      <c r="P21" s="781"/>
      <c r="Q21" s="781"/>
      <c r="R21" s="781"/>
      <c r="S21" s="782"/>
      <c r="T21" s="864"/>
      <c r="U21" s="2533"/>
      <c r="V21" s="2533"/>
      <c r="W21" s="657"/>
      <c r="X21" s="657"/>
      <c r="Y21" s="657"/>
      <c r="Z21" s="657"/>
      <c r="AA21" s="657"/>
      <c r="AB21" s="563"/>
      <c r="AC21" s="852"/>
      <c r="AD21" s="775"/>
      <c r="AE21" s="563"/>
      <c r="AF21" s="563"/>
      <c r="AG21" s="657"/>
      <c r="AH21" s="657"/>
      <c r="AI21" s="657"/>
      <c r="AJ21" s="657"/>
      <c r="AK21" s="657"/>
      <c r="AL21" s="657"/>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57"/>
      <c r="BQ21" s="657"/>
      <c r="BR21" s="657"/>
      <c r="BS21" s="657"/>
      <c r="BT21" s="657"/>
      <c r="BU21" s="657"/>
      <c r="BV21" s="657"/>
      <c r="BW21" s="657"/>
      <c r="BX21" s="657"/>
      <c r="BY21" s="657"/>
      <c r="BZ21" s="657"/>
      <c r="CA21" s="657"/>
      <c r="CB21" s="657"/>
      <c r="CC21" s="657"/>
      <c r="CD21" s="657"/>
      <c r="CE21" s="657"/>
      <c r="CF21" s="439">
        <v>0</v>
      </c>
    </row>
    <row s="7976" customFormat="1" customHeight="1" ht="11.25">
      <c r="A22" s="779"/>
      <c r="B22" s="563"/>
      <c r="C22" s="558"/>
      <c r="D22" s="2541"/>
      <c r="E22" s="795" t="s">
        <v>22</v>
      </c>
      <c r="F22" s="796" t="s">
        <v>22</v>
      </c>
      <c r="G22" s="796" t="s">
        <v>22</v>
      </c>
      <c r="H22" s="797" t="s">
        <v>22</v>
      </c>
      <c r="I22" s="797"/>
      <c r="J22" s="797"/>
      <c r="K22" s="797"/>
      <c r="L22" s="797"/>
      <c r="M22" s="797"/>
      <c r="N22" s="797"/>
      <c r="O22" s="797"/>
      <c r="P22" s="797"/>
      <c r="Q22" s="797"/>
      <c r="R22" s="798"/>
      <c r="S22" s="1166"/>
      <c r="T22" s="864"/>
      <c r="U22" s="2533"/>
      <c r="V22" s="2533"/>
      <c r="W22" s="563"/>
      <c r="X22" s="563"/>
      <c r="Y22" s="563"/>
      <c r="Z22" s="563"/>
      <c r="AA22" s="657"/>
      <c r="AB22" s="563"/>
      <c r="AC22" s="852"/>
      <c r="AD22" s="775"/>
      <c r="AE22" s="563"/>
      <c r="AF22" s="563"/>
      <c r="AG22" s="657"/>
      <c r="AH22" s="657"/>
      <c r="AI22" s="657"/>
      <c r="AJ22" s="657"/>
      <c r="AK22" s="657"/>
      <c r="AL22" s="657"/>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57"/>
      <c r="BQ22" s="657"/>
      <c r="BR22" s="657"/>
      <c r="BS22" s="657"/>
      <c r="BT22" s="657"/>
      <c r="BU22" s="657"/>
      <c r="BV22" s="563"/>
      <c r="BW22" s="563"/>
      <c r="BX22" s="563"/>
      <c r="BY22" s="563"/>
      <c r="BZ22" s="563"/>
      <c r="CA22" s="563"/>
      <c r="CB22" s="563"/>
      <c r="CC22" s="563"/>
      <c r="CD22" s="563"/>
      <c r="CE22" s="563"/>
      <c r="CF22" s="439">
        <v>0</v>
      </c>
    </row>
    <row customHeight="1" ht="15" hidden="1">
      <c r="A23" s="769" t="s">
        <v>137</v>
      </c>
      <c r="B23" s="770"/>
      <c r="C23" s="770" t="s">
        <v>22</v>
      </c>
      <c r="D23" s="2737" t="s">
        <v>174</v>
      </c>
      <c r="E23" s="2536" t="s">
        <v>117</v>
      </c>
      <c r="F23" s="2537"/>
      <c r="G23" s="2538"/>
      <c r="H23" s="2542"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I23" s="2542"/>
      <c r="J23" s="2542"/>
      <c r="K23" s="2542"/>
      <c r="L23" s="2542"/>
      <c r="M23" s="2542"/>
      <c r="N23" s="2542"/>
      <c r="O23" s="2542"/>
      <c r="P23" s="2542"/>
      <c r="Q23" s="2542"/>
      <c r="R23" s="2542"/>
      <c r="S23" s="865"/>
      <c r="T23" s="862"/>
      <c r="U23" s="771"/>
      <c r="V23" s="771"/>
      <c r="W23" s="772"/>
      <c r="X23" s="772"/>
      <c r="Y23" s="772"/>
      <c r="Z23" s="772"/>
      <c r="AA23" s="773"/>
      <c r="AB23" s="774"/>
      <c r="AC23" s="2534"/>
      <c r="AD23" s="775"/>
      <c r="AE23" s="776" t="s">
        <v>22</v>
      </c>
      <c r="AF23" s="776"/>
      <c r="AG23" s="777" t="s">
        <v>648</v>
      </c>
      <c r="AH23" s="778">
        <v>3</v>
      </c>
      <c r="AI23" s="771"/>
      <c r="AJ23" s="771"/>
      <c r="AK23" s="771"/>
      <c r="AL23" s="771"/>
      <c r="AM23" s="771"/>
      <c r="AN23" s="771"/>
      <c r="AO23" s="771"/>
      <c r="AP23" s="771"/>
      <c r="AQ23" s="771"/>
      <c r="AR23" s="771"/>
      <c r="AS23" s="771"/>
      <c r="AT23" s="771"/>
      <c r="AU23" s="771"/>
      <c r="AV23" s="771"/>
      <c r="AW23" s="771"/>
      <c r="AX23" s="771"/>
      <c r="AY23" s="771"/>
      <c r="AZ23" s="771"/>
      <c r="BA23" s="771"/>
      <c r="BB23" s="771"/>
      <c r="BC23" s="771"/>
      <c r="BD23" s="771"/>
      <c r="BE23" s="771"/>
      <c r="BF23" s="771"/>
      <c r="BG23" s="771"/>
      <c r="BH23" s="771"/>
      <c r="BI23" s="771"/>
      <c r="BJ23" s="771"/>
      <c r="BK23" s="771"/>
      <c r="BL23" s="771"/>
      <c r="BM23" s="771"/>
      <c r="BN23" s="771"/>
      <c r="BO23" s="771"/>
      <c r="BP23" s="771"/>
      <c r="BQ23" s="771"/>
      <c r="BR23" s="771"/>
      <c r="BS23" s="771"/>
      <c r="BT23" s="771"/>
      <c r="BU23" s="771"/>
      <c r="BV23" s="772"/>
      <c r="BW23" s="772"/>
      <c r="BX23" s="772"/>
      <c r="BY23" s="772"/>
      <c r="BZ23" s="772"/>
      <c r="CA23" s="772"/>
      <c r="CB23" s="772"/>
      <c r="CC23" s="772"/>
      <c r="CD23" s="772"/>
      <c r="CE23" s="772"/>
      <c r="CF23" s="7976"/>
    </row>
    <row customHeight="1" ht="15" hidden="1">
      <c r="A24" s="769"/>
      <c r="B24" s="770"/>
      <c r="C24" s="770"/>
      <c r="D24" s="2738"/>
      <c r="E24" s="2536" t="s">
        <v>586</v>
      </c>
      <c r="F24" s="2537"/>
      <c r="G24" s="2538"/>
      <c r="H24" s="2542" t="str">
        <f>IF(A23="","",INDEX(DIFFERENTIATION_UNMERGE_AREA,MATCH(A23,DIFFERENTIATION_ID_DIFF,0)))</f>
        <v>Территория 3</v>
      </c>
      <c r="I24" s="2542"/>
      <c r="J24" s="2542"/>
      <c r="K24" s="2542"/>
      <c r="L24" s="2542"/>
      <c r="M24" s="2542"/>
      <c r="N24" s="2542"/>
      <c r="O24" s="2542"/>
      <c r="P24" s="2542"/>
      <c r="Q24" s="2542"/>
      <c r="R24" s="2542"/>
      <c r="S24" s="865"/>
      <c r="T24" s="862"/>
      <c r="U24" s="771"/>
      <c r="V24" s="771"/>
      <c r="W24" s="772"/>
      <c r="X24" s="772"/>
      <c r="Y24" s="772"/>
      <c r="Z24" s="772"/>
      <c r="AA24" s="773"/>
      <c r="AB24" s="774"/>
      <c r="AC24" s="2534"/>
      <c r="AD24" s="775"/>
      <c r="AE24" s="776"/>
      <c r="AF24" s="776"/>
      <c r="AG24" s="777"/>
      <c r="AH24" s="778"/>
      <c r="AI24" s="771"/>
      <c r="AJ24" s="771"/>
      <c r="AK24" s="771"/>
      <c r="AL24" s="771"/>
      <c r="AM24" s="771"/>
      <c r="AN24" s="771"/>
      <c r="AO24" s="771"/>
      <c r="AP24" s="771"/>
      <c r="AQ24" s="771"/>
      <c r="AR24" s="771"/>
      <c r="AS24" s="771"/>
      <c r="AT24" s="771"/>
      <c r="AU24" s="771"/>
      <c r="AV24" s="771"/>
      <c r="AW24" s="771"/>
      <c r="AX24" s="771"/>
      <c r="AY24" s="771"/>
      <c r="AZ24" s="771"/>
      <c r="BA24" s="771"/>
      <c r="BB24" s="771"/>
      <c r="BC24" s="771"/>
      <c r="BD24" s="771"/>
      <c r="BE24" s="771"/>
      <c r="BF24" s="771"/>
      <c r="BG24" s="771"/>
      <c r="BH24" s="771"/>
      <c r="BI24" s="771"/>
      <c r="BJ24" s="771"/>
      <c r="BK24" s="771"/>
      <c r="BL24" s="771"/>
      <c r="BM24" s="771"/>
      <c r="BN24" s="771"/>
      <c r="BO24" s="771"/>
      <c r="BP24" s="771"/>
      <c r="BQ24" s="771"/>
      <c r="BR24" s="771"/>
      <c r="BS24" s="771"/>
      <c r="BT24" s="771"/>
      <c r="BU24" s="771"/>
      <c r="BV24" s="772"/>
      <c r="BW24" s="772"/>
      <c r="BX24" s="772"/>
      <c r="BY24" s="772"/>
      <c r="BZ24" s="772"/>
      <c r="CA24" s="772"/>
      <c r="CB24" s="772"/>
      <c r="CC24" s="772"/>
      <c r="CD24" s="772"/>
      <c r="CE24" s="772"/>
      <c r="CF24" s="7976"/>
    </row>
    <row customHeight="1" ht="15" hidden="1">
      <c r="A25" s="769"/>
      <c r="B25" s="770"/>
      <c r="C25" s="770"/>
      <c r="D25" s="2738"/>
      <c r="E25" s="2536" t="s">
        <v>587</v>
      </c>
      <c r="F25" s="2537"/>
      <c r="G25" s="2538"/>
      <c r="H25" s="2542" t="str">
        <f>IF(A23="","",INDEX(DIFFERENTIATION_UNMERGE_SYSTEM,MATCH(A23,DIFFERENTIATION_ID_DIFF,0)))</f>
        <v>ЦТС г. Чита (ЧТЭЦ-1, ЧТЭЦ-2)</v>
      </c>
      <c r="I25" s="2542"/>
      <c r="J25" s="2542"/>
      <c r="K25" s="2542"/>
      <c r="L25" s="2542"/>
      <c r="M25" s="2542"/>
      <c r="N25" s="2542"/>
      <c r="O25" s="2542"/>
      <c r="P25" s="2542"/>
      <c r="Q25" s="2542"/>
      <c r="R25" s="2542"/>
      <c r="S25" s="865"/>
      <c r="T25" s="862"/>
      <c r="U25" s="771"/>
      <c r="V25" s="771"/>
      <c r="W25" s="772"/>
      <c r="X25" s="772"/>
      <c r="Y25" s="772"/>
      <c r="Z25" s="772"/>
      <c r="AA25" s="773"/>
      <c r="AB25" s="774"/>
      <c r="AC25" s="2534"/>
      <c r="AD25" s="775"/>
      <c r="AE25" s="776"/>
      <c r="AF25" s="776"/>
      <c r="AG25" s="777"/>
      <c r="AH25" s="778"/>
      <c r="AI25" s="771"/>
      <c r="AJ25" s="771"/>
      <c r="AK25" s="771"/>
      <c r="AL25" s="771"/>
      <c r="AM25" s="771"/>
      <c r="AN25" s="771"/>
      <c r="AO25" s="771"/>
      <c r="AP25" s="771"/>
      <c r="AQ25" s="771"/>
      <c r="AR25" s="771"/>
      <c r="AS25" s="771"/>
      <c r="AT25" s="771"/>
      <c r="AU25" s="771"/>
      <c r="AV25" s="771"/>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2"/>
      <c r="BW25" s="772"/>
      <c r="BX25" s="772"/>
      <c r="BY25" s="772"/>
      <c r="BZ25" s="772"/>
      <c r="CA25" s="772"/>
      <c r="CB25" s="772"/>
      <c r="CC25" s="772"/>
      <c r="CD25" s="772"/>
      <c r="CE25" s="772"/>
      <c r="CF25" s="7976"/>
    </row>
    <row customHeight="1" ht="24.75" hidden="1">
      <c r="A26" s="1951"/>
      <c r="B26" s="1306"/>
      <c r="C26" s="558"/>
      <c r="D26" s="2738"/>
      <c r="E26" s="2535" t="s">
        <v>649</v>
      </c>
      <c r="F26" s="2535"/>
      <c r="G26" s="2535"/>
      <c r="H26" s="2535"/>
      <c r="I26" s="2535"/>
      <c r="J26" s="2535"/>
      <c r="K26" s="2535"/>
      <c r="L26" s="2535"/>
      <c r="M26" s="2535"/>
      <c r="N26" s="2535"/>
      <c r="O26" s="2535"/>
      <c r="P26" s="2535"/>
      <c r="Q26" s="704">
        <f>SUMIF(T27:T28,"i",Q27:Q28)</f>
        <v>0</v>
      </c>
      <c r="R26" s="1163"/>
      <c r="S26" s="1943" t="s">
        <v>650</v>
      </c>
      <c r="T26" s="863" t="s">
        <v>651</v>
      </c>
      <c r="U26" s="2533">
        <v>1</v>
      </c>
      <c r="V26" s="2533" t="str">
        <f>INDEX(B_FHD_FLAG_INDEX_1,1,MATCH(A23,B_FHD_FLAG_DIFFERENTIATION,0))</f>
        <v>отсутствует</v>
      </c>
      <c r="W26" s="1306"/>
      <c r="X26" s="1306"/>
      <c r="Y26" s="1306"/>
      <c r="Z26" s="1306"/>
      <c r="AA26" s="1782"/>
      <c r="AB26" s="1306"/>
      <c r="AC26" s="2534"/>
      <c r="AD26" s="775"/>
      <c r="AE26" s="1306"/>
      <c r="AF26" s="1306"/>
      <c r="AG26" s="1782"/>
      <c r="AH26" s="1782"/>
      <c r="AI26" s="1782"/>
      <c r="AJ26" s="1782"/>
      <c r="AK26" s="1782"/>
      <c r="AL26" s="1782"/>
      <c r="AM26" s="1782"/>
      <c r="AN26" s="1782"/>
      <c r="AO26" s="1782"/>
      <c r="AP26" s="1782"/>
      <c r="AQ26" s="1782"/>
      <c r="AR26" s="1782"/>
      <c r="AS26" s="1782"/>
      <c r="AT26" s="1782"/>
      <c r="AU26" s="1782"/>
      <c r="AV26" s="1782"/>
      <c r="AW26" s="1782"/>
      <c r="AX26" s="1782"/>
      <c r="AY26" s="1782"/>
      <c r="AZ26" s="1782"/>
      <c r="BA26" s="1782"/>
      <c r="BB26" s="1782"/>
      <c r="BC26" s="1782"/>
      <c r="BD26" s="1782"/>
      <c r="BE26" s="1782"/>
      <c r="BF26" s="1782"/>
      <c r="BG26" s="1782"/>
      <c r="BH26" s="1782"/>
      <c r="BI26" s="1782"/>
      <c r="BJ26" s="1782"/>
      <c r="BK26" s="1782"/>
      <c r="BL26" s="1782"/>
      <c r="BM26" s="1782"/>
      <c r="BN26" s="1782"/>
      <c r="BO26" s="1782"/>
      <c r="BP26" s="1782"/>
      <c r="BQ26" s="1782"/>
      <c r="BR26" s="1782"/>
      <c r="BS26" s="1782"/>
      <c r="BT26" s="1782"/>
      <c r="BU26" s="1782"/>
      <c r="BV26" s="1306"/>
      <c r="BW26" s="1306"/>
      <c r="BX26" s="1306"/>
      <c r="BY26" s="1306"/>
      <c r="BZ26" s="1306"/>
      <c r="CA26" s="1306"/>
      <c r="CB26" s="1306"/>
      <c r="CC26" s="1306"/>
      <c r="CD26" s="1306"/>
      <c r="CE26" s="1306"/>
      <c r="CF26" s="7976"/>
    </row>
    <row customHeight="1" ht="11.25" hidden="1">
      <c r="A27" s="1938"/>
      <c r="B27" s="1782"/>
      <c r="C27" s="1782"/>
      <c r="D27" s="2738"/>
      <c r="E27" s="781"/>
      <c r="F27" s="781">
        <v>0</v>
      </c>
      <c r="G27" s="781"/>
      <c r="H27" s="781"/>
      <c r="I27" s="781"/>
      <c r="J27" s="781"/>
      <c r="K27" s="781"/>
      <c r="L27" s="781"/>
      <c r="M27" s="781"/>
      <c r="N27" s="781"/>
      <c r="O27" s="781"/>
      <c r="P27" s="781"/>
      <c r="Q27" s="781"/>
      <c r="R27" s="781"/>
      <c r="S27" s="782"/>
      <c r="T27" s="864"/>
      <c r="U27" s="2533"/>
      <c r="V27" s="2533"/>
      <c r="W27" s="1782"/>
      <c r="X27" s="1782"/>
      <c r="Y27" s="1782"/>
      <c r="Z27" s="1782"/>
      <c r="AA27" s="1782"/>
      <c r="AB27" s="1306"/>
      <c r="AC27" s="2534"/>
      <c r="AD27" s="775"/>
      <c r="AE27" s="1306"/>
      <c r="AF27" s="1306"/>
      <c r="AG27" s="1782"/>
      <c r="AH27" s="1782"/>
      <c r="AI27" s="1782"/>
      <c r="AJ27" s="1782"/>
      <c r="AK27" s="1782"/>
      <c r="AL27" s="1782"/>
      <c r="AM27" s="1782"/>
      <c r="AN27" s="1782"/>
      <c r="AO27" s="1782"/>
      <c r="AP27" s="1782"/>
      <c r="AQ27" s="1782"/>
      <c r="AR27" s="1782"/>
      <c r="AS27" s="1782"/>
      <c r="AT27" s="1782"/>
      <c r="AU27" s="1782"/>
      <c r="AV27" s="1782"/>
      <c r="AW27" s="1782"/>
      <c r="AX27" s="1782"/>
      <c r="AY27" s="1782"/>
      <c r="AZ27" s="1782"/>
      <c r="BA27" s="1782"/>
      <c r="BB27" s="1782"/>
      <c r="BC27" s="1782"/>
      <c r="BD27" s="1782"/>
      <c r="BE27" s="1782"/>
      <c r="BF27" s="1782"/>
      <c r="BG27" s="1782"/>
      <c r="BH27" s="1782"/>
      <c r="BI27" s="1782"/>
      <c r="BJ27" s="1782"/>
      <c r="BK27" s="1782"/>
      <c r="BL27" s="1782"/>
      <c r="BM27" s="1782"/>
      <c r="BN27" s="1782"/>
      <c r="BO27" s="1782"/>
      <c r="BP27" s="1782"/>
      <c r="BQ27" s="1782"/>
      <c r="BR27" s="1782"/>
      <c r="BS27" s="1782"/>
      <c r="BT27" s="1782"/>
      <c r="BU27" s="1782"/>
      <c r="BV27" s="1782"/>
      <c r="BW27" s="1782"/>
      <c r="BX27" s="1782"/>
      <c r="BY27" s="1782"/>
      <c r="BZ27" s="1782"/>
      <c r="CA27" s="1782"/>
      <c r="CB27" s="1782"/>
      <c r="CC27" s="1782"/>
      <c r="CD27" s="1782"/>
      <c r="CE27" s="1782"/>
      <c r="CF27" s="7976"/>
    </row>
    <row customHeight="1" ht="11.25" hidden="1">
      <c r="A28" s="1951"/>
      <c r="B28" s="1306"/>
      <c r="C28" s="558"/>
      <c r="D28" s="2738"/>
      <c r="E28" s="795" t="s">
        <v>22</v>
      </c>
      <c r="F28" s="1314" t="s">
        <v>22</v>
      </c>
      <c r="G28" s="1314" t="s">
        <v>654</v>
      </c>
      <c r="H28" s="797" t="s">
        <v>22</v>
      </c>
      <c r="I28" s="797"/>
      <c r="J28" s="797"/>
      <c r="K28" s="797"/>
      <c r="L28" s="797"/>
      <c r="M28" s="797"/>
      <c r="N28" s="797"/>
      <c r="O28" s="797"/>
      <c r="P28" s="797"/>
      <c r="Q28" s="797"/>
      <c r="R28" s="798"/>
      <c r="S28" s="799"/>
      <c r="T28" s="864"/>
      <c r="U28" s="2533"/>
      <c r="V28" s="2533"/>
      <c r="W28" s="1306"/>
      <c r="X28" s="1306"/>
      <c r="Y28" s="1306"/>
      <c r="Z28" s="1306"/>
      <c r="AA28" s="1782"/>
      <c r="AB28" s="1306"/>
      <c r="AC28" s="2534"/>
      <c r="AD28" s="775"/>
      <c r="AE28" s="1306"/>
      <c r="AF28" s="1306"/>
      <c r="AG28" s="1782"/>
      <c r="AH28" s="1782"/>
      <c r="AI28" s="1782"/>
      <c r="AJ28" s="1782"/>
      <c r="AK28" s="1782"/>
      <c r="AL28" s="1782"/>
      <c r="AM28" s="1782"/>
      <c r="AN28" s="1782"/>
      <c r="AO28" s="1782"/>
      <c r="AP28" s="1782"/>
      <c r="AQ28" s="1782"/>
      <c r="AR28" s="1782"/>
      <c r="AS28" s="1782"/>
      <c r="AT28" s="1782"/>
      <c r="AU28" s="1782"/>
      <c r="AV28" s="1782"/>
      <c r="AW28" s="1782"/>
      <c r="AX28" s="1782"/>
      <c r="AY28" s="1782"/>
      <c r="AZ28" s="1782"/>
      <c r="BA28" s="1782"/>
      <c r="BB28" s="1782"/>
      <c r="BC28" s="1782"/>
      <c r="BD28" s="1782"/>
      <c r="BE28" s="1782"/>
      <c r="BF28" s="1782"/>
      <c r="BG28" s="1782"/>
      <c r="BH28" s="1782"/>
      <c r="BI28" s="1782"/>
      <c r="BJ28" s="1782"/>
      <c r="BK28" s="1782"/>
      <c r="BL28" s="1782"/>
      <c r="BM28" s="1782"/>
      <c r="BN28" s="1782"/>
      <c r="BO28" s="1782"/>
      <c r="BP28" s="1782"/>
      <c r="BQ28" s="1782"/>
      <c r="BR28" s="1782"/>
      <c r="BS28" s="1782"/>
      <c r="BT28" s="1782"/>
      <c r="BU28" s="1782"/>
      <c r="BV28" s="1306"/>
      <c r="BW28" s="1306"/>
      <c r="BX28" s="1306"/>
      <c r="BY28" s="1306"/>
      <c r="BZ28" s="1306"/>
      <c r="CA28" s="1306"/>
      <c r="CB28" s="1306"/>
      <c r="CC28" s="1306"/>
      <c r="CD28" s="1306"/>
      <c r="CE28" s="1306"/>
      <c r="CF28" s="7976"/>
    </row>
    <row customHeight="1" ht="5.25" hidden="1">
      <c r="A29" s="1938"/>
      <c r="B29" s="1782"/>
      <c r="C29" s="1782"/>
      <c r="D29" s="2738"/>
      <c r="E29" s="1185"/>
      <c r="F29" s="1185"/>
      <c r="G29" s="1185"/>
      <c r="H29" s="1185"/>
      <c r="I29" s="1185"/>
      <c r="J29" s="1185"/>
      <c r="K29" s="1185"/>
      <c r="L29" s="1185"/>
      <c r="M29" s="1185"/>
      <c r="N29" s="1185"/>
      <c r="O29" s="1185"/>
      <c r="P29" s="1185"/>
      <c r="Q29" s="1186"/>
      <c r="R29" s="1187"/>
      <c r="S29" s="1188"/>
      <c r="T29" s="863" t="s">
        <v>651</v>
      </c>
      <c r="U29" s="2533">
        <v>1</v>
      </c>
      <c r="V29" s="2533" t="s">
        <v>602</v>
      </c>
      <c r="W29" s="1782"/>
      <c r="X29" s="1782"/>
      <c r="Y29" s="1782"/>
      <c r="Z29" s="1782"/>
      <c r="AA29" s="1782"/>
      <c r="AB29" s="1782"/>
      <c r="AC29" s="1183"/>
      <c r="AD29" s="1184"/>
      <c r="AE29" s="1782"/>
      <c r="AF29" s="1782"/>
      <c r="AG29" s="1782"/>
      <c r="AH29" s="1782"/>
      <c r="AI29" s="1782"/>
      <c r="AJ29" s="1782"/>
      <c r="AK29" s="1782"/>
      <c r="AL29" s="1782"/>
      <c r="AM29" s="1782"/>
      <c r="AN29" s="1782"/>
      <c r="AO29" s="1782"/>
      <c r="AP29" s="1782"/>
      <c r="AQ29" s="1782"/>
      <c r="AR29" s="1782"/>
      <c r="AS29" s="1782"/>
      <c r="AT29" s="1782"/>
      <c r="AU29" s="1782"/>
      <c r="AV29" s="1782"/>
      <c r="AW29" s="1782"/>
      <c r="AX29" s="1782"/>
      <c r="AY29" s="1782"/>
      <c r="AZ29" s="1782"/>
      <c r="BA29" s="1782"/>
      <c r="BB29" s="1782"/>
      <c r="BC29" s="1782"/>
      <c r="BD29" s="1782"/>
      <c r="BE29" s="1782"/>
      <c r="BF29" s="1782"/>
      <c r="BG29" s="1782"/>
      <c r="BH29" s="1782"/>
      <c r="BI29" s="1782"/>
      <c r="BJ29" s="1782"/>
      <c r="BK29" s="1782"/>
      <c r="BL29" s="1782"/>
      <c r="BM29" s="1782"/>
      <c r="BN29" s="1782"/>
      <c r="BO29" s="1782"/>
      <c r="BP29" s="1782"/>
      <c r="BQ29" s="1782"/>
      <c r="BR29" s="1782"/>
      <c r="BS29" s="1782"/>
      <c r="BT29" s="1782"/>
      <c r="BU29" s="1782"/>
      <c r="BV29" s="1782"/>
      <c r="BW29" s="1782"/>
      <c r="BX29" s="1782"/>
      <c r="BY29" s="1782"/>
      <c r="BZ29" s="1782"/>
      <c r="CA29" s="1782"/>
      <c r="CB29" s="1782"/>
      <c r="CC29" s="1782"/>
      <c r="CD29" s="1782"/>
      <c r="CE29" s="1782"/>
      <c r="CF29" s="7936"/>
    </row>
    <row customHeight="1" ht="5.25" hidden="1">
      <c r="A30" s="1938"/>
      <c r="B30" s="1782"/>
      <c r="C30" s="1782"/>
      <c r="D30" s="2738"/>
      <c r="E30" s="781"/>
      <c r="F30" s="781"/>
      <c r="G30" s="781"/>
      <c r="H30" s="781"/>
      <c r="I30" s="781"/>
      <c r="J30" s="781"/>
      <c r="K30" s="781"/>
      <c r="L30" s="781"/>
      <c r="M30" s="781"/>
      <c r="N30" s="781"/>
      <c r="O30" s="781"/>
      <c r="P30" s="781"/>
      <c r="Q30" s="781"/>
      <c r="R30" s="781"/>
      <c r="S30" s="782"/>
      <c r="T30" s="864"/>
      <c r="U30" s="2533"/>
      <c r="V30" s="2533"/>
      <c r="W30" s="1782"/>
      <c r="X30" s="1782"/>
      <c r="Y30" s="1782"/>
      <c r="Z30" s="1782"/>
      <c r="AA30" s="1782"/>
      <c r="AB30" s="1782"/>
      <c r="AC30" s="1183"/>
      <c r="AD30" s="1184"/>
      <c r="AE30" s="1782"/>
      <c r="AF30" s="1782"/>
      <c r="AG30" s="1782"/>
      <c r="AH30" s="1782"/>
      <c r="AI30" s="1782"/>
      <c r="AJ30" s="1782"/>
      <c r="AK30" s="1782"/>
      <c r="AL30" s="1782"/>
      <c r="AM30" s="1782"/>
      <c r="AN30" s="1782"/>
      <c r="AO30" s="1782"/>
      <c r="AP30" s="1782"/>
      <c r="AQ30" s="1782"/>
      <c r="AR30" s="1782"/>
      <c r="AS30" s="1782"/>
      <c r="AT30" s="1782"/>
      <c r="AU30" s="1782"/>
      <c r="AV30" s="1782"/>
      <c r="AW30" s="1782"/>
      <c r="AX30" s="1782"/>
      <c r="AY30" s="1782"/>
      <c r="AZ30" s="1782"/>
      <c r="BA30" s="1782"/>
      <c r="BB30" s="1782"/>
      <c r="BC30" s="1782"/>
      <c r="BD30" s="1782"/>
      <c r="BE30" s="1782"/>
      <c r="BF30" s="1782"/>
      <c r="BG30" s="1782"/>
      <c r="BH30" s="1782"/>
      <c r="BI30" s="1782"/>
      <c r="BJ30" s="1782"/>
      <c r="BK30" s="1782"/>
      <c r="BL30" s="1782"/>
      <c r="BM30" s="1782"/>
      <c r="BN30" s="1782"/>
      <c r="BO30" s="1782"/>
      <c r="BP30" s="1782"/>
      <c r="BQ30" s="1782"/>
      <c r="BR30" s="1782"/>
      <c r="BS30" s="1782"/>
      <c r="BT30" s="1782"/>
      <c r="BU30" s="1782"/>
      <c r="BV30" s="1782"/>
      <c r="BW30" s="1782"/>
      <c r="BX30" s="1782"/>
      <c r="BY30" s="1782"/>
      <c r="BZ30" s="1782"/>
      <c r="CA30" s="1782"/>
      <c r="CB30" s="1782"/>
      <c r="CC30" s="1782"/>
      <c r="CD30" s="1782"/>
      <c r="CE30" s="1782"/>
      <c r="CF30" s="7936"/>
    </row>
    <row customHeight="1" ht="5.25" hidden="1">
      <c r="A31" s="1938"/>
      <c r="B31" s="1782"/>
      <c r="C31" s="1782"/>
      <c r="D31" s="2739"/>
      <c r="E31" s="1189"/>
      <c r="F31" s="1190"/>
      <c r="G31" s="1190"/>
      <c r="H31" s="1191"/>
      <c r="I31" s="1191"/>
      <c r="J31" s="1191"/>
      <c r="K31" s="1191"/>
      <c r="L31" s="1191"/>
      <c r="M31" s="1191"/>
      <c r="N31" s="1191"/>
      <c r="O31" s="1191"/>
      <c r="P31" s="1191"/>
      <c r="Q31" s="1191"/>
      <c r="R31" s="1092"/>
      <c r="S31" s="1192"/>
      <c r="T31" s="864"/>
      <c r="U31" s="2533"/>
      <c r="V31" s="2533"/>
      <c r="W31" s="1782"/>
      <c r="X31" s="1782"/>
      <c r="Y31" s="1782"/>
      <c r="Z31" s="1782"/>
      <c r="AA31" s="1782"/>
      <c r="AB31" s="1782"/>
      <c r="AC31" s="1183"/>
      <c r="AD31" s="1184"/>
      <c r="AE31" s="1782"/>
      <c r="AF31" s="1782"/>
      <c r="AG31" s="1782"/>
      <c r="AH31" s="1782"/>
      <c r="AI31" s="1782"/>
      <c r="AJ31" s="1782"/>
      <c r="AK31" s="1782"/>
      <c r="AL31" s="1782"/>
      <c r="AM31" s="1782"/>
      <c r="AN31" s="1782"/>
      <c r="AO31" s="1782"/>
      <c r="AP31" s="1782"/>
      <c r="AQ31" s="1782"/>
      <c r="AR31" s="1782"/>
      <c r="AS31" s="1782"/>
      <c r="AT31" s="1782"/>
      <c r="AU31" s="1782"/>
      <c r="AV31" s="1782"/>
      <c r="AW31" s="1782"/>
      <c r="AX31" s="1782"/>
      <c r="AY31" s="1782"/>
      <c r="AZ31" s="1782"/>
      <c r="BA31" s="1782"/>
      <c r="BB31" s="1782"/>
      <c r="BC31" s="1782"/>
      <c r="BD31" s="1782"/>
      <c r="BE31" s="1782"/>
      <c r="BF31" s="1782"/>
      <c r="BG31" s="1782"/>
      <c r="BH31" s="1782"/>
      <c r="BI31" s="1782"/>
      <c r="BJ31" s="1782"/>
      <c r="BK31" s="1782"/>
      <c r="BL31" s="1782"/>
      <c r="BM31" s="1782"/>
      <c r="BN31" s="1782"/>
      <c r="BO31" s="1782"/>
      <c r="BP31" s="1782"/>
      <c r="BQ31" s="1782"/>
      <c r="BR31" s="1782"/>
      <c r="BS31" s="1782"/>
      <c r="BT31" s="1782"/>
      <c r="BU31" s="1782"/>
      <c r="BV31" s="1782"/>
      <c r="BW31" s="1782"/>
      <c r="BX31" s="1782"/>
      <c r="BY31" s="1782"/>
      <c r="BZ31" s="1782"/>
      <c r="CA31" s="1782"/>
      <c r="CB31" s="1782"/>
      <c r="CC31" s="1782"/>
      <c r="CD31" s="1782"/>
      <c r="CE31" s="1782"/>
      <c r="CF31" s="7936"/>
    </row>
    <row customHeight="1" ht="15" hidden="1">
      <c r="A32" s="769" t="s">
        <v>139</v>
      </c>
      <c r="B32" s="770"/>
      <c r="C32" s="770" t="s">
        <v>22</v>
      </c>
      <c r="D32" s="2737" t="s">
        <v>655</v>
      </c>
      <c r="E32" s="2536" t="s">
        <v>117</v>
      </c>
      <c r="F32" s="2537"/>
      <c r="G32" s="2538"/>
      <c r="H32" s="2542" t="str">
        <f>IF(A32="","",INDEX(DIFFERENTIATION_UNMERGE_VD,MATCH(A32,DIFFERENTIATION_ID_DIFF,0)))</f>
        <v>Производство. Теплоноситель</v>
      </c>
      <c r="I32" s="2542"/>
      <c r="J32" s="2542"/>
      <c r="K32" s="2542"/>
      <c r="L32" s="2542"/>
      <c r="M32" s="2542"/>
      <c r="N32" s="2542"/>
      <c r="O32" s="2542"/>
      <c r="P32" s="2542"/>
      <c r="Q32" s="2542"/>
      <c r="R32" s="2542"/>
      <c r="S32" s="865"/>
      <c r="T32" s="862"/>
      <c r="U32" s="771"/>
      <c r="V32" s="771"/>
      <c r="W32" s="772"/>
      <c r="X32" s="772"/>
      <c r="Y32" s="772"/>
      <c r="Z32" s="772"/>
      <c r="AA32" s="773"/>
      <c r="AB32" s="774"/>
      <c r="AC32" s="2534"/>
      <c r="AD32" s="775"/>
      <c r="AE32" s="776" t="s">
        <v>22</v>
      </c>
      <c r="AF32" s="776"/>
      <c r="AG32" s="777" t="s">
        <v>648</v>
      </c>
      <c r="AH32" s="778">
        <v>3</v>
      </c>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2"/>
      <c r="BW32" s="772"/>
      <c r="BX32" s="772"/>
      <c r="BY32" s="772"/>
      <c r="BZ32" s="772"/>
      <c r="CA32" s="772"/>
      <c r="CB32" s="772"/>
      <c r="CC32" s="772"/>
      <c r="CD32" s="772"/>
      <c r="CE32" s="772"/>
      <c r="CF32" s="7976"/>
    </row>
    <row customHeight="1" ht="15" hidden="1">
      <c r="A33" s="769"/>
      <c r="B33" s="770"/>
      <c r="C33" s="770"/>
      <c r="D33" s="2738"/>
      <c r="E33" s="2536" t="s">
        <v>586</v>
      </c>
      <c r="F33" s="2537"/>
      <c r="G33" s="2538"/>
      <c r="H33" s="2542" t="str">
        <f>IF(A32="","",INDEX(DIFFERENTIATION_UNMERGE_AREA,MATCH(A32,DIFFERENTIATION_ID_DIFF,0)))</f>
        <v>Территория 1</v>
      </c>
      <c r="I33" s="2542"/>
      <c r="J33" s="2542"/>
      <c r="K33" s="2542"/>
      <c r="L33" s="2542"/>
      <c r="M33" s="2542"/>
      <c r="N33" s="2542"/>
      <c r="O33" s="2542"/>
      <c r="P33" s="2542"/>
      <c r="Q33" s="2542"/>
      <c r="R33" s="2542"/>
      <c r="S33" s="865"/>
      <c r="T33" s="862"/>
      <c r="U33" s="771"/>
      <c r="V33" s="771"/>
      <c r="W33" s="772"/>
      <c r="X33" s="772"/>
      <c r="Y33" s="772"/>
      <c r="Z33" s="772"/>
      <c r="AA33" s="773"/>
      <c r="AB33" s="774"/>
      <c r="AC33" s="2534"/>
      <c r="AD33" s="775"/>
      <c r="AE33" s="776"/>
      <c r="AF33" s="776"/>
      <c r="AG33" s="777"/>
      <c r="AH33" s="778"/>
      <c r="AI33" s="771"/>
      <c r="AJ33" s="771"/>
      <c r="AK33" s="771"/>
      <c r="AL33" s="771"/>
      <c r="AM33" s="771"/>
      <c r="AN33" s="771"/>
      <c r="AO33" s="771"/>
      <c r="AP33" s="771"/>
      <c r="AQ33" s="771"/>
      <c r="AR33" s="771"/>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c r="BO33" s="771"/>
      <c r="BP33" s="771"/>
      <c r="BQ33" s="771"/>
      <c r="BR33" s="771"/>
      <c r="BS33" s="771"/>
      <c r="BT33" s="771"/>
      <c r="BU33" s="771"/>
      <c r="BV33" s="772"/>
      <c r="BW33" s="772"/>
      <c r="BX33" s="772"/>
      <c r="BY33" s="772"/>
      <c r="BZ33" s="772"/>
      <c r="CA33" s="772"/>
      <c r="CB33" s="772"/>
      <c r="CC33" s="772"/>
      <c r="CD33" s="772"/>
      <c r="CE33" s="772"/>
      <c r="CF33" s="7976"/>
    </row>
    <row customHeight="1" ht="15" hidden="1">
      <c r="A34" s="769"/>
      <c r="B34" s="770"/>
      <c r="C34" s="770"/>
      <c r="D34" s="2738"/>
      <c r="E34" s="2536" t="s">
        <v>587</v>
      </c>
      <c r="F34" s="2537"/>
      <c r="G34" s="2538"/>
      <c r="H34" s="2542" t="str">
        <f>IF(A32="","",INDEX(DIFFERENTIATION_UNMERGE_SYSTEM,MATCH(A32,DIFFERENTIATION_ID_DIFF,0)))</f>
        <v>Шерловогорская ТЭЦ</v>
      </c>
      <c r="I34" s="2542"/>
      <c r="J34" s="2542"/>
      <c r="K34" s="2542"/>
      <c r="L34" s="2542"/>
      <c r="M34" s="2542"/>
      <c r="N34" s="2542"/>
      <c r="O34" s="2542"/>
      <c r="P34" s="2542"/>
      <c r="Q34" s="2542"/>
      <c r="R34" s="2542"/>
      <c r="S34" s="865"/>
      <c r="T34" s="862"/>
      <c r="U34" s="771"/>
      <c r="V34" s="771"/>
      <c r="W34" s="772"/>
      <c r="X34" s="772"/>
      <c r="Y34" s="772"/>
      <c r="Z34" s="772"/>
      <c r="AA34" s="773"/>
      <c r="AB34" s="774"/>
      <c r="AC34" s="2534"/>
      <c r="AD34" s="775"/>
      <c r="AE34" s="776"/>
      <c r="AF34" s="776"/>
      <c r="AG34" s="777"/>
      <c r="AH34" s="778"/>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c r="BP34" s="771"/>
      <c r="BQ34" s="771"/>
      <c r="BR34" s="771"/>
      <c r="BS34" s="771"/>
      <c r="BT34" s="771"/>
      <c r="BU34" s="771"/>
      <c r="BV34" s="772"/>
      <c r="BW34" s="772"/>
      <c r="BX34" s="772"/>
      <c r="BY34" s="772"/>
      <c r="BZ34" s="772"/>
      <c r="CA34" s="772"/>
      <c r="CB34" s="772"/>
      <c r="CC34" s="772"/>
      <c r="CD34" s="772"/>
      <c r="CE34" s="772"/>
      <c r="CF34" s="7976"/>
    </row>
    <row customHeight="1" ht="24.75" hidden="1">
      <c r="A35" s="1951"/>
      <c r="B35" s="1306"/>
      <c r="C35" s="558"/>
      <c r="D35" s="2738"/>
      <c r="E35" s="2535" t="s">
        <v>649</v>
      </c>
      <c r="F35" s="2535"/>
      <c r="G35" s="2535"/>
      <c r="H35" s="2535"/>
      <c r="I35" s="2535"/>
      <c r="J35" s="2535"/>
      <c r="K35" s="2535"/>
      <c r="L35" s="2535"/>
      <c r="M35" s="2535"/>
      <c r="N35" s="2535"/>
      <c r="O35" s="2535"/>
      <c r="P35" s="2535"/>
      <c r="Q35" s="704">
        <f>SUMIF(T36:T37,"i",Q36:Q37)</f>
        <v>0</v>
      </c>
      <c r="R35" s="1163"/>
      <c r="S35" s="1943" t="s">
        <v>650</v>
      </c>
      <c r="T35" s="863" t="s">
        <v>651</v>
      </c>
      <c r="U35" s="2533">
        <v>1</v>
      </c>
      <c r="V35" s="2533" t="str">
        <f>INDEX(B_FHD_FLAG_INDEX_1,1,MATCH(A32,B_FHD_FLAG_DIFFERENTIATION,0))</f>
        <v>отсутствует</v>
      </c>
      <c r="W35" s="1306"/>
      <c r="X35" s="1306"/>
      <c r="Y35" s="1306"/>
      <c r="Z35" s="1306"/>
      <c r="AA35" s="1782"/>
      <c r="AB35" s="1306"/>
      <c r="AC35" s="2534"/>
      <c r="AD35" s="775"/>
      <c r="AE35" s="1306"/>
      <c r="AF35" s="1306"/>
      <c r="AG35" s="1782"/>
      <c r="AH35" s="1782"/>
      <c r="AI35" s="1782"/>
      <c r="AJ35" s="1782"/>
      <c r="AK35" s="1782"/>
      <c r="AL35" s="1782"/>
      <c r="AM35" s="1782"/>
      <c r="AN35" s="1782"/>
      <c r="AO35" s="1782"/>
      <c r="AP35" s="1782"/>
      <c r="AQ35" s="1782"/>
      <c r="AR35" s="1782"/>
      <c r="AS35" s="1782"/>
      <c r="AT35" s="1782"/>
      <c r="AU35" s="1782"/>
      <c r="AV35" s="1782"/>
      <c r="AW35" s="1782"/>
      <c r="AX35" s="1782"/>
      <c r="AY35" s="1782"/>
      <c r="AZ35" s="1782"/>
      <c r="BA35" s="1782"/>
      <c r="BB35" s="1782"/>
      <c r="BC35" s="1782"/>
      <c r="BD35" s="1782"/>
      <c r="BE35" s="1782"/>
      <c r="BF35" s="1782"/>
      <c r="BG35" s="1782"/>
      <c r="BH35" s="1782"/>
      <c r="BI35" s="1782"/>
      <c r="BJ35" s="1782"/>
      <c r="BK35" s="1782"/>
      <c r="BL35" s="1782"/>
      <c r="BM35" s="1782"/>
      <c r="BN35" s="1782"/>
      <c r="BO35" s="1782"/>
      <c r="BP35" s="1782"/>
      <c r="BQ35" s="1782"/>
      <c r="BR35" s="1782"/>
      <c r="BS35" s="1782"/>
      <c r="BT35" s="1782"/>
      <c r="BU35" s="1782"/>
      <c r="BV35" s="1306"/>
      <c r="BW35" s="1306"/>
      <c r="BX35" s="1306"/>
      <c r="BY35" s="1306"/>
      <c r="BZ35" s="1306"/>
      <c r="CA35" s="1306"/>
      <c r="CB35" s="1306"/>
      <c r="CC35" s="1306"/>
      <c r="CD35" s="1306"/>
      <c r="CE35" s="1306"/>
      <c r="CF35" s="7976"/>
    </row>
    <row customHeight="1" ht="11.25" hidden="1">
      <c r="A36" s="1938"/>
      <c r="B36" s="1782"/>
      <c r="C36" s="1782"/>
      <c r="D36" s="2738"/>
      <c r="E36" s="781"/>
      <c r="F36" s="781">
        <v>0</v>
      </c>
      <c r="G36" s="781"/>
      <c r="H36" s="781"/>
      <c r="I36" s="781"/>
      <c r="J36" s="781"/>
      <c r="K36" s="781"/>
      <c r="L36" s="781"/>
      <c r="M36" s="781"/>
      <c r="N36" s="781"/>
      <c r="O36" s="781"/>
      <c r="P36" s="781"/>
      <c r="Q36" s="781"/>
      <c r="R36" s="781"/>
      <c r="S36" s="782"/>
      <c r="T36" s="864"/>
      <c r="U36" s="2533"/>
      <c r="V36" s="2533"/>
      <c r="W36" s="1782"/>
      <c r="X36" s="1782"/>
      <c r="Y36" s="1782"/>
      <c r="Z36" s="1782"/>
      <c r="AA36" s="1782"/>
      <c r="AB36" s="1306"/>
      <c r="AC36" s="2534"/>
      <c r="AD36" s="775"/>
      <c r="AE36" s="1306"/>
      <c r="AF36" s="1306"/>
      <c r="AG36" s="1782"/>
      <c r="AH36" s="1782"/>
      <c r="AI36" s="1782"/>
      <c r="AJ36" s="1782"/>
      <c r="AK36" s="1782"/>
      <c r="AL36" s="1782"/>
      <c r="AM36" s="1782"/>
      <c r="AN36" s="1782"/>
      <c r="AO36" s="1782"/>
      <c r="AP36" s="1782"/>
      <c r="AQ36" s="1782"/>
      <c r="AR36" s="1782"/>
      <c r="AS36" s="1782"/>
      <c r="AT36" s="1782"/>
      <c r="AU36" s="1782"/>
      <c r="AV36" s="1782"/>
      <c r="AW36" s="1782"/>
      <c r="AX36" s="1782"/>
      <c r="AY36" s="1782"/>
      <c r="AZ36" s="1782"/>
      <c r="BA36" s="1782"/>
      <c r="BB36" s="1782"/>
      <c r="BC36" s="1782"/>
      <c r="BD36" s="1782"/>
      <c r="BE36" s="1782"/>
      <c r="BF36" s="1782"/>
      <c r="BG36" s="1782"/>
      <c r="BH36" s="1782"/>
      <c r="BI36" s="1782"/>
      <c r="BJ36" s="1782"/>
      <c r="BK36" s="1782"/>
      <c r="BL36" s="1782"/>
      <c r="BM36" s="1782"/>
      <c r="BN36" s="1782"/>
      <c r="BO36" s="1782"/>
      <c r="BP36" s="1782"/>
      <c r="BQ36" s="1782"/>
      <c r="BR36" s="1782"/>
      <c r="BS36" s="1782"/>
      <c r="BT36" s="1782"/>
      <c r="BU36" s="1782"/>
      <c r="BV36" s="1782"/>
      <c r="BW36" s="1782"/>
      <c r="BX36" s="1782"/>
      <c r="BY36" s="1782"/>
      <c r="BZ36" s="1782"/>
      <c r="CA36" s="1782"/>
      <c r="CB36" s="1782"/>
      <c r="CC36" s="1782"/>
      <c r="CD36" s="1782"/>
      <c r="CE36" s="1782"/>
      <c r="CF36" s="7976"/>
    </row>
    <row customHeight="1" ht="11.25" hidden="1">
      <c r="A37" s="1951"/>
      <c r="B37" s="1306"/>
      <c r="C37" s="558"/>
      <c r="D37" s="2738"/>
      <c r="E37" s="795" t="s">
        <v>22</v>
      </c>
      <c r="F37" s="1314" t="s">
        <v>22</v>
      </c>
      <c r="G37" s="1314" t="s">
        <v>654</v>
      </c>
      <c r="H37" s="797" t="s">
        <v>22</v>
      </c>
      <c r="I37" s="797"/>
      <c r="J37" s="797"/>
      <c r="K37" s="797"/>
      <c r="L37" s="797"/>
      <c r="M37" s="797"/>
      <c r="N37" s="797"/>
      <c r="O37" s="797"/>
      <c r="P37" s="797"/>
      <c r="Q37" s="797"/>
      <c r="R37" s="798"/>
      <c r="S37" s="799"/>
      <c r="T37" s="864"/>
      <c r="U37" s="2533"/>
      <c r="V37" s="2533"/>
      <c r="W37" s="1306"/>
      <c r="X37" s="1306"/>
      <c r="Y37" s="1306"/>
      <c r="Z37" s="1306"/>
      <c r="AA37" s="1782"/>
      <c r="AB37" s="1306"/>
      <c r="AC37" s="2534"/>
      <c r="AD37" s="775"/>
      <c r="AE37" s="1306"/>
      <c r="AF37" s="1306"/>
      <c r="AG37" s="1782"/>
      <c r="AH37" s="1782"/>
      <c r="AI37" s="1782"/>
      <c r="AJ37" s="1782"/>
      <c r="AK37" s="1782"/>
      <c r="AL37" s="1782"/>
      <c r="AM37" s="1782"/>
      <c r="AN37" s="1782"/>
      <c r="AO37" s="1782"/>
      <c r="AP37" s="1782"/>
      <c r="AQ37" s="1782"/>
      <c r="AR37" s="1782"/>
      <c r="AS37" s="1782"/>
      <c r="AT37" s="1782"/>
      <c r="AU37" s="1782"/>
      <c r="AV37" s="1782"/>
      <c r="AW37" s="1782"/>
      <c r="AX37" s="1782"/>
      <c r="AY37" s="1782"/>
      <c r="AZ37" s="1782"/>
      <c r="BA37" s="1782"/>
      <c r="BB37" s="1782"/>
      <c r="BC37" s="1782"/>
      <c r="BD37" s="1782"/>
      <c r="BE37" s="1782"/>
      <c r="BF37" s="1782"/>
      <c r="BG37" s="1782"/>
      <c r="BH37" s="1782"/>
      <c r="BI37" s="1782"/>
      <c r="BJ37" s="1782"/>
      <c r="BK37" s="1782"/>
      <c r="BL37" s="1782"/>
      <c r="BM37" s="1782"/>
      <c r="BN37" s="1782"/>
      <c r="BO37" s="1782"/>
      <c r="BP37" s="1782"/>
      <c r="BQ37" s="1782"/>
      <c r="BR37" s="1782"/>
      <c r="BS37" s="1782"/>
      <c r="BT37" s="1782"/>
      <c r="BU37" s="1782"/>
      <c r="BV37" s="1306"/>
      <c r="BW37" s="1306"/>
      <c r="BX37" s="1306"/>
      <c r="BY37" s="1306"/>
      <c r="BZ37" s="1306"/>
      <c r="CA37" s="1306"/>
      <c r="CB37" s="1306"/>
      <c r="CC37" s="1306"/>
      <c r="CD37" s="1306"/>
      <c r="CE37" s="1306"/>
      <c r="CF37" s="7976"/>
    </row>
    <row customHeight="1" ht="5.25" hidden="1">
      <c r="A38" s="1938"/>
      <c r="B38" s="1782"/>
      <c r="C38" s="1782"/>
      <c r="D38" s="2738"/>
      <c r="E38" s="1185"/>
      <c r="F38" s="1185"/>
      <c r="G38" s="1185"/>
      <c r="H38" s="1185"/>
      <c r="I38" s="1185"/>
      <c r="J38" s="1185"/>
      <c r="K38" s="1185"/>
      <c r="L38" s="1185"/>
      <c r="M38" s="1185"/>
      <c r="N38" s="1185"/>
      <c r="O38" s="1185"/>
      <c r="P38" s="1185"/>
      <c r="Q38" s="1186"/>
      <c r="R38" s="1187"/>
      <c r="S38" s="1188"/>
      <c r="T38" s="863" t="s">
        <v>651</v>
      </c>
      <c r="U38" s="2533">
        <v>1</v>
      </c>
      <c r="V38" s="2533" t="s">
        <v>602</v>
      </c>
      <c r="W38" s="1782"/>
      <c r="X38" s="1782"/>
      <c r="Y38" s="1782"/>
      <c r="Z38" s="1782"/>
      <c r="AA38" s="1782"/>
      <c r="AB38" s="1782"/>
      <c r="AC38" s="1183"/>
      <c r="AD38" s="1184"/>
      <c r="AE38" s="1782"/>
      <c r="AF38" s="1782"/>
      <c r="AG38" s="1782"/>
      <c r="AH38" s="1782"/>
      <c r="AI38" s="1782"/>
      <c r="AJ38" s="1782"/>
      <c r="AK38" s="1782"/>
      <c r="AL38" s="1782"/>
      <c r="AM38" s="1782"/>
      <c r="AN38" s="1782"/>
      <c r="AO38" s="1782"/>
      <c r="AP38" s="1782"/>
      <c r="AQ38" s="1782"/>
      <c r="AR38" s="1782"/>
      <c r="AS38" s="1782"/>
      <c r="AT38" s="1782"/>
      <c r="AU38" s="1782"/>
      <c r="AV38" s="1782"/>
      <c r="AW38" s="1782"/>
      <c r="AX38" s="1782"/>
      <c r="AY38" s="1782"/>
      <c r="AZ38" s="1782"/>
      <c r="BA38" s="1782"/>
      <c r="BB38" s="1782"/>
      <c r="BC38" s="1782"/>
      <c r="BD38" s="1782"/>
      <c r="BE38" s="1782"/>
      <c r="BF38" s="1782"/>
      <c r="BG38" s="1782"/>
      <c r="BH38" s="1782"/>
      <c r="BI38" s="1782"/>
      <c r="BJ38" s="1782"/>
      <c r="BK38" s="1782"/>
      <c r="BL38" s="1782"/>
      <c r="BM38" s="1782"/>
      <c r="BN38" s="1782"/>
      <c r="BO38" s="1782"/>
      <c r="BP38" s="1782"/>
      <c r="BQ38" s="1782"/>
      <c r="BR38" s="1782"/>
      <c r="BS38" s="1782"/>
      <c r="BT38" s="1782"/>
      <c r="BU38" s="1782"/>
      <c r="BV38" s="1782"/>
      <c r="BW38" s="1782"/>
      <c r="BX38" s="1782"/>
      <c r="BY38" s="1782"/>
      <c r="BZ38" s="1782"/>
      <c r="CA38" s="1782"/>
      <c r="CB38" s="1782"/>
      <c r="CC38" s="1782"/>
      <c r="CD38" s="1782"/>
      <c r="CE38" s="1782"/>
      <c r="CF38" s="7936"/>
    </row>
    <row customHeight="1" ht="5.25" hidden="1">
      <c r="A39" s="1938"/>
      <c r="B39" s="1782"/>
      <c r="C39" s="1782"/>
      <c r="D39" s="2738"/>
      <c r="E39" s="781"/>
      <c r="F39" s="781"/>
      <c r="G39" s="781"/>
      <c r="H39" s="781"/>
      <c r="I39" s="781"/>
      <c r="J39" s="781"/>
      <c r="K39" s="781"/>
      <c r="L39" s="781"/>
      <c r="M39" s="781"/>
      <c r="N39" s="781"/>
      <c r="O39" s="781"/>
      <c r="P39" s="781"/>
      <c r="Q39" s="781"/>
      <c r="R39" s="781"/>
      <c r="S39" s="782"/>
      <c r="T39" s="864"/>
      <c r="U39" s="2533"/>
      <c r="V39" s="2533"/>
      <c r="W39" s="1782"/>
      <c r="X39" s="1782"/>
      <c r="Y39" s="1782"/>
      <c r="Z39" s="1782"/>
      <c r="AA39" s="1782"/>
      <c r="AB39" s="1782"/>
      <c r="AC39" s="1183"/>
      <c r="AD39" s="1184"/>
      <c r="AE39" s="1782"/>
      <c r="AF39" s="1782"/>
      <c r="AG39" s="1782"/>
      <c r="AH39" s="1782"/>
      <c r="AI39" s="1782"/>
      <c r="AJ39" s="1782"/>
      <c r="AK39" s="1782"/>
      <c r="AL39" s="1782"/>
      <c r="AM39" s="1782"/>
      <c r="AN39" s="1782"/>
      <c r="AO39" s="1782"/>
      <c r="AP39" s="1782"/>
      <c r="AQ39" s="1782"/>
      <c r="AR39" s="1782"/>
      <c r="AS39" s="1782"/>
      <c r="AT39" s="1782"/>
      <c r="AU39" s="1782"/>
      <c r="AV39" s="1782"/>
      <c r="AW39" s="1782"/>
      <c r="AX39" s="1782"/>
      <c r="AY39" s="1782"/>
      <c r="AZ39" s="1782"/>
      <c r="BA39" s="1782"/>
      <c r="BB39" s="1782"/>
      <c r="BC39" s="1782"/>
      <c r="BD39" s="1782"/>
      <c r="BE39" s="1782"/>
      <c r="BF39" s="1782"/>
      <c r="BG39" s="1782"/>
      <c r="BH39" s="1782"/>
      <c r="BI39" s="1782"/>
      <c r="BJ39" s="1782"/>
      <c r="BK39" s="1782"/>
      <c r="BL39" s="1782"/>
      <c r="BM39" s="1782"/>
      <c r="BN39" s="1782"/>
      <c r="BO39" s="1782"/>
      <c r="BP39" s="1782"/>
      <c r="BQ39" s="1782"/>
      <c r="BR39" s="1782"/>
      <c r="BS39" s="1782"/>
      <c r="BT39" s="1782"/>
      <c r="BU39" s="1782"/>
      <c r="BV39" s="1782"/>
      <c r="BW39" s="1782"/>
      <c r="BX39" s="1782"/>
      <c r="BY39" s="1782"/>
      <c r="BZ39" s="1782"/>
      <c r="CA39" s="1782"/>
      <c r="CB39" s="1782"/>
      <c r="CC39" s="1782"/>
      <c r="CD39" s="1782"/>
      <c r="CE39" s="1782"/>
      <c r="CF39" s="7936"/>
    </row>
    <row customHeight="1" ht="5.25" hidden="1">
      <c r="A40" s="1938"/>
      <c r="B40" s="1782"/>
      <c r="C40" s="1782"/>
      <c r="D40" s="2739"/>
      <c r="E40" s="1189"/>
      <c r="F40" s="1190"/>
      <c r="G40" s="1190"/>
      <c r="H40" s="1191"/>
      <c r="I40" s="1191"/>
      <c r="J40" s="1191"/>
      <c r="K40" s="1191"/>
      <c r="L40" s="1191"/>
      <c r="M40" s="1191"/>
      <c r="N40" s="1191"/>
      <c r="O40" s="1191"/>
      <c r="P40" s="1191"/>
      <c r="Q40" s="1191"/>
      <c r="R40" s="1092"/>
      <c r="S40" s="1192"/>
      <c r="T40" s="864"/>
      <c r="U40" s="2533"/>
      <c r="V40" s="2533"/>
      <c r="W40" s="1782"/>
      <c r="X40" s="1782"/>
      <c r="Y40" s="1782"/>
      <c r="Z40" s="1782"/>
      <c r="AA40" s="1782"/>
      <c r="AB40" s="1782"/>
      <c r="AC40" s="1183"/>
      <c r="AD40" s="1184"/>
      <c r="AE40" s="1782"/>
      <c r="AF40" s="1782"/>
      <c r="AG40" s="1782"/>
      <c r="AH40" s="1782"/>
      <c r="AI40" s="1782"/>
      <c r="AJ40" s="1782"/>
      <c r="AK40" s="1782"/>
      <c r="AL40" s="1782"/>
      <c r="AM40" s="1782"/>
      <c r="AN40" s="1782"/>
      <c r="AO40" s="1782"/>
      <c r="AP40" s="1782"/>
      <c r="AQ40" s="1782"/>
      <c r="AR40" s="1782"/>
      <c r="AS40" s="1782"/>
      <c r="AT40" s="1782"/>
      <c r="AU40" s="1782"/>
      <c r="AV40" s="1782"/>
      <c r="AW40" s="1782"/>
      <c r="AX40" s="1782"/>
      <c r="AY40" s="1782"/>
      <c r="AZ40" s="1782"/>
      <c r="BA40" s="1782"/>
      <c r="BB40" s="1782"/>
      <c r="BC40" s="1782"/>
      <c r="BD40" s="1782"/>
      <c r="BE40" s="1782"/>
      <c r="BF40" s="1782"/>
      <c r="BG40" s="1782"/>
      <c r="BH40" s="1782"/>
      <c r="BI40" s="1782"/>
      <c r="BJ40" s="1782"/>
      <c r="BK40" s="1782"/>
      <c r="BL40" s="1782"/>
      <c r="BM40" s="1782"/>
      <c r="BN40" s="1782"/>
      <c r="BO40" s="1782"/>
      <c r="BP40" s="1782"/>
      <c r="BQ40" s="1782"/>
      <c r="BR40" s="1782"/>
      <c r="BS40" s="1782"/>
      <c r="BT40" s="1782"/>
      <c r="BU40" s="1782"/>
      <c r="BV40" s="1782"/>
      <c r="BW40" s="1782"/>
      <c r="BX40" s="1782"/>
      <c r="BY40" s="1782"/>
      <c r="BZ40" s="1782"/>
      <c r="CA40" s="1782"/>
      <c r="CB40" s="1782"/>
      <c r="CC40" s="1782"/>
      <c r="CD40" s="1782"/>
      <c r="CE40" s="1782"/>
      <c r="CF40" s="7936"/>
    </row>
    <row customHeight="1" ht="15" hidden="1">
      <c r="A41" s="769" t="s">
        <v>143</v>
      </c>
      <c r="B41" s="770"/>
      <c r="C41" s="770" t="s">
        <v>22</v>
      </c>
      <c r="D41" s="2737" t="s">
        <v>656</v>
      </c>
      <c r="E41" s="2536" t="s">
        <v>117</v>
      </c>
      <c r="F41" s="2537"/>
      <c r="G41" s="2538"/>
      <c r="H41" s="2542" t="str">
        <f>IF(A41="","",INDEX(DIFFERENTIATION_UNMERGE_VD,MATCH(A41,DIFFERENTIATION_ID_DIFF,0)))</f>
        <v>Производство тепловой энергии. Некомбинированная выработка; Передача. Тепловая энергия; Сбыт. Тепловая энергия</v>
      </c>
      <c r="I41" s="2542"/>
      <c r="J41" s="2542"/>
      <c r="K41" s="2542"/>
      <c r="L41" s="2542"/>
      <c r="M41" s="2542"/>
      <c r="N41" s="2542"/>
      <c r="O41" s="2542"/>
      <c r="P41" s="2542"/>
      <c r="Q41" s="2542"/>
      <c r="R41" s="2542"/>
      <c r="S41" s="865"/>
      <c r="T41" s="862"/>
      <c r="U41" s="771"/>
      <c r="V41" s="771"/>
      <c r="W41" s="772"/>
      <c r="X41" s="772"/>
      <c r="Y41" s="772"/>
      <c r="Z41" s="772"/>
      <c r="AA41" s="773"/>
      <c r="AB41" s="774"/>
      <c r="AC41" s="2534"/>
      <c r="AD41" s="775"/>
      <c r="AE41" s="776" t="s">
        <v>22</v>
      </c>
      <c r="AF41" s="776"/>
      <c r="AG41" s="777" t="s">
        <v>648</v>
      </c>
      <c r="AH41" s="778">
        <v>3</v>
      </c>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771"/>
      <c r="BN41" s="771"/>
      <c r="BO41" s="771"/>
      <c r="BP41" s="771"/>
      <c r="BQ41" s="771"/>
      <c r="BR41" s="771"/>
      <c r="BS41" s="771"/>
      <c r="BT41" s="771"/>
      <c r="BU41" s="771"/>
      <c r="BV41" s="772"/>
      <c r="BW41" s="772"/>
      <c r="BX41" s="772"/>
      <c r="BY41" s="772"/>
      <c r="BZ41" s="772"/>
      <c r="CA41" s="772"/>
      <c r="CB41" s="772"/>
      <c r="CC41" s="772"/>
      <c r="CD41" s="772"/>
      <c r="CE41" s="772"/>
      <c r="CF41" s="7976"/>
    </row>
    <row customHeight="1" ht="15" hidden="1">
      <c r="A42" s="769"/>
      <c r="B42" s="770"/>
      <c r="C42" s="770"/>
      <c r="D42" s="2738"/>
      <c r="E42" s="2536" t="s">
        <v>586</v>
      </c>
      <c r="F42" s="2537"/>
      <c r="G42" s="2538"/>
      <c r="H42" s="2542" t="str">
        <f>IF(A41="","",INDEX(DIFFERENTIATION_UNMERGE_AREA,MATCH(A41,DIFFERENTIATION_ID_DIFF,0)))</f>
        <v>Территория 3</v>
      </c>
      <c r="I42" s="2542"/>
      <c r="J42" s="2542"/>
      <c r="K42" s="2542"/>
      <c r="L42" s="2542"/>
      <c r="M42" s="2542"/>
      <c r="N42" s="2542"/>
      <c r="O42" s="2542"/>
      <c r="P42" s="2542"/>
      <c r="Q42" s="2542"/>
      <c r="R42" s="2542"/>
      <c r="S42" s="865"/>
      <c r="T42" s="862"/>
      <c r="U42" s="771"/>
      <c r="V42" s="771"/>
      <c r="W42" s="772"/>
      <c r="X42" s="772"/>
      <c r="Y42" s="772"/>
      <c r="Z42" s="772"/>
      <c r="AA42" s="773"/>
      <c r="AB42" s="774"/>
      <c r="AC42" s="2534"/>
      <c r="AD42" s="775"/>
      <c r="AE42" s="776"/>
      <c r="AF42" s="776"/>
      <c r="AG42" s="777"/>
      <c r="AH42" s="778"/>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1"/>
      <c r="BJ42" s="771"/>
      <c r="BK42" s="771"/>
      <c r="BL42" s="771"/>
      <c r="BM42" s="771"/>
      <c r="BN42" s="771"/>
      <c r="BO42" s="771"/>
      <c r="BP42" s="771"/>
      <c r="BQ42" s="771"/>
      <c r="BR42" s="771"/>
      <c r="BS42" s="771"/>
      <c r="BT42" s="771"/>
      <c r="BU42" s="771"/>
      <c r="BV42" s="772"/>
      <c r="BW42" s="772"/>
      <c r="BX42" s="772"/>
      <c r="BY42" s="772"/>
      <c r="BZ42" s="772"/>
      <c r="CA42" s="772"/>
      <c r="CB42" s="772"/>
      <c r="CC42" s="772"/>
      <c r="CD42" s="772"/>
      <c r="CE42" s="772"/>
      <c r="CF42" s="7976"/>
    </row>
    <row customHeight="1" ht="15" hidden="1">
      <c r="A43" s="769"/>
      <c r="B43" s="770"/>
      <c r="C43" s="770"/>
      <c r="D43" s="2738"/>
      <c r="E43" s="2536" t="s">
        <v>587</v>
      </c>
      <c r="F43" s="2537"/>
      <c r="G43" s="2538"/>
      <c r="H43" s="2542" t="str">
        <f>IF(A41="","",INDEX(DIFFERENTIATION_UNMERGE_SYSTEM,MATCH(A41,DIFFERENTIATION_ID_DIFF,0)))</f>
        <v>Котельные г. Чита</v>
      </c>
      <c r="I43" s="2542"/>
      <c r="J43" s="2542"/>
      <c r="K43" s="2542"/>
      <c r="L43" s="2542"/>
      <c r="M43" s="2542"/>
      <c r="N43" s="2542"/>
      <c r="O43" s="2542"/>
      <c r="P43" s="2542"/>
      <c r="Q43" s="2542"/>
      <c r="R43" s="2542"/>
      <c r="S43" s="865"/>
      <c r="T43" s="862"/>
      <c r="U43" s="771"/>
      <c r="V43" s="771"/>
      <c r="W43" s="772"/>
      <c r="X43" s="772"/>
      <c r="Y43" s="772"/>
      <c r="Z43" s="772"/>
      <c r="AA43" s="773"/>
      <c r="AB43" s="774"/>
      <c r="AC43" s="2534"/>
      <c r="AD43" s="775"/>
      <c r="AE43" s="776"/>
      <c r="AF43" s="776"/>
      <c r="AG43" s="777"/>
      <c r="AH43" s="778"/>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71"/>
      <c r="BH43" s="771"/>
      <c r="BI43" s="771"/>
      <c r="BJ43" s="771"/>
      <c r="BK43" s="771"/>
      <c r="BL43" s="771"/>
      <c r="BM43" s="771"/>
      <c r="BN43" s="771"/>
      <c r="BO43" s="771"/>
      <c r="BP43" s="771"/>
      <c r="BQ43" s="771"/>
      <c r="BR43" s="771"/>
      <c r="BS43" s="771"/>
      <c r="BT43" s="771"/>
      <c r="BU43" s="771"/>
      <c r="BV43" s="772"/>
      <c r="BW43" s="772"/>
      <c r="BX43" s="772"/>
      <c r="BY43" s="772"/>
      <c r="BZ43" s="772"/>
      <c r="CA43" s="772"/>
      <c r="CB43" s="772"/>
      <c r="CC43" s="772"/>
      <c r="CD43" s="772"/>
      <c r="CE43" s="772"/>
      <c r="CF43" s="7976"/>
    </row>
    <row customHeight="1" ht="24.75" hidden="1">
      <c r="A44" s="1951"/>
      <c r="B44" s="1306"/>
      <c r="C44" s="558"/>
      <c r="D44" s="2738"/>
      <c r="E44" s="2535" t="s">
        <v>649</v>
      </c>
      <c r="F44" s="2535"/>
      <c r="G44" s="2535"/>
      <c r="H44" s="2535"/>
      <c r="I44" s="2535"/>
      <c r="J44" s="2535"/>
      <c r="K44" s="2535"/>
      <c r="L44" s="2535"/>
      <c r="M44" s="2535"/>
      <c r="N44" s="2535"/>
      <c r="O44" s="2535"/>
      <c r="P44" s="2535"/>
      <c r="Q44" s="704">
        <f>SUMIF(T45:T46,"i",Q45:Q46)</f>
        <v>0</v>
      </c>
      <c r="R44" s="1163"/>
      <c r="S44" s="1943" t="s">
        <v>650</v>
      </c>
      <c r="T44" s="863" t="s">
        <v>651</v>
      </c>
      <c r="U44" s="2533">
        <v>1</v>
      </c>
      <c r="V44" s="2533" t="str">
        <f>INDEX(B_FHD_FLAG_INDEX_1,1,MATCH(A41,B_FHD_FLAG_DIFFERENTIATION,0))</f>
        <v>отсутствует</v>
      </c>
      <c r="W44" s="1306"/>
      <c r="X44" s="1306"/>
      <c r="Y44" s="1306"/>
      <c r="Z44" s="1306"/>
      <c r="AA44" s="1782"/>
      <c r="AB44" s="1306"/>
      <c r="AC44" s="2534"/>
      <c r="AD44" s="775"/>
      <c r="AE44" s="1306"/>
      <c r="AF44" s="1306"/>
      <c r="AG44" s="1782"/>
      <c r="AH44" s="1782"/>
      <c r="AI44" s="1782"/>
      <c r="AJ44" s="1782"/>
      <c r="AK44" s="1782"/>
      <c r="AL44" s="1782"/>
      <c r="AM44" s="1782"/>
      <c r="AN44" s="1782"/>
      <c r="AO44" s="1782"/>
      <c r="AP44" s="1782"/>
      <c r="AQ44" s="1782"/>
      <c r="AR44" s="1782"/>
      <c r="AS44" s="1782"/>
      <c r="AT44" s="1782"/>
      <c r="AU44" s="1782"/>
      <c r="AV44" s="1782"/>
      <c r="AW44" s="1782"/>
      <c r="AX44" s="1782"/>
      <c r="AY44" s="1782"/>
      <c r="AZ44" s="1782"/>
      <c r="BA44" s="1782"/>
      <c r="BB44" s="1782"/>
      <c r="BC44" s="1782"/>
      <c r="BD44" s="1782"/>
      <c r="BE44" s="1782"/>
      <c r="BF44" s="1782"/>
      <c r="BG44" s="1782"/>
      <c r="BH44" s="1782"/>
      <c r="BI44" s="1782"/>
      <c r="BJ44" s="1782"/>
      <c r="BK44" s="1782"/>
      <c r="BL44" s="1782"/>
      <c r="BM44" s="1782"/>
      <c r="BN44" s="1782"/>
      <c r="BO44" s="1782"/>
      <c r="BP44" s="1782"/>
      <c r="BQ44" s="1782"/>
      <c r="BR44" s="1782"/>
      <c r="BS44" s="1782"/>
      <c r="BT44" s="1782"/>
      <c r="BU44" s="1782"/>
      <c r="BV44" s="1306"/>
      <c r="BW44" s="1306"/>
      <c r="BX44" s="1306"/>
      <c r="BY44" s="1306"/>
      <c r="BZ44" s="1306"/>
      <c r="CA44" s="1306"/>
      <c r="CB44" s="1306"/>
      <c r="CC44" s="1306"/>
      <c r="CD44" s="1306"/>
      <c r="CE44" s="1306"/>
      <c r="CF44" s="7976"/>
    </row>
    <row customHeight="1" ht="11.25" hidden="1">
      <c r="A45" s="1938"/>
      <c r="B45" s="1782"/>
      <c r="C45" s="1782"/>
      <c r="D45" s="2738"/>
      <c r="E45" s="781"/>
      <c r="F45" s="781">
        <v>0</v>
      </c>
      <c r="G45" s="781"/>
      <c r="H45" s="781"/>
      <c r="I45" s="781"/>
      <c r="J45" s="781"/>
      <c r="K45" s="781"/>
      <c r="L45" s="781"/>
      <c r="M45" s="781"/>
      <c r="N45" s="781"/>
      <c r="O45" s="781"/>
      <c r="P45" s="781"/>
      <c r="Q45" s="781"/>
      <c r="R45" s="781"/>
      <c r="S45" s="782"/>
      <c r="T45" s="864"/>
      <c r="U45" s="2533"/>
      <c r="V45" s="2533"/>
      <c r="W45" s="1782"/>
      <c r="X45" s="1782"/>
      <c r="Y45" s="1782"/>
      <c r="Z45" s="1782"/>
      <c r="AA45" s="1782"/>
      <c r="AB45" s="1306"/>
      <c r="AC45" s="2534"/>
      <c r="AD45" s="775"/>
      <c r="AE45" s="1306"/>
      <c r="AF45" s="1306"/>
      <c r="AG45" s="1782"/>
      <c r="AH45" s="1782"/>
      <c r="AI45" s="1782"/>
      <c r="AJ45" s="1782"/>
      <c r="AK45" s="1782"/>
      <c r="AL45" s="1782"/>
      <c r="AM45" s="1782"/>
      <c r="AN45" s="1782"/>
      <c r="AO45" s="1782"/>
      <c r="AP45" s="1782"/>
      <c r="AQ45" s="1782"/>
      <c r="AR45" s="1782"/>
      <c r="AS45" s="1782"/>
      <c r="AT45" s="1782"/>
      <c r="AU45" s="1782"/>
      <c r="AV45" s="1782"/>
      <c r="AW45" s="1782"/>
      <c r="AX45" s="1782"/>
      <c r="AY45" s="1782"/>
      <c r="AZ45" s="1782"/>
      <c r="BA45" s="1782"/>
      <c r="BB45" s="1782"/>
      <c r="BC45" s="1782"/>
      <c r="BD45" s="1782"/>
      <c r="BE45" s="1782"/>
      <c r="BF45" s="1782"/>
      <c r="BG45" s="1782"/>
      <c r="BH45" s="1782"/>
      <c r="BI45" s="1782"/>
      <c r="BJ45" s="1782"/>
      <c r="BK45" s="1782"/>
      <c r="BL45" s="1782"/>
      <c r="BM45" s="1782"/>
      <c r="BN45" s="1782"/>
      <c r="BO45" s="1782"/>
      <c r="BP45" s="1782"/>
      <c r="BQ45" s="1782"/>
      <c r="BR45" s="1782"/>
      <c r="BS45" s="1782"/>
      <c r="BT45" s="1782"/>
      <c r="BU45" s="1782"/>
      <c r="BV45" s="1782"/>
      <c r="BW45" s="1782"/>
      <c r="BX45" s="1782"/>
      <c r="BY45" s="1782"/>
      <c r="BZ45" s="1782"/>
      <c r="CA45" s="1782"/>
      <c r="CB45" s="1782"/>
      <c r="CC45" s="1782"/>
      <c r="CD45" s="1782"/>
      <c r="CE45" s="1782"/>
      <c r="CF45" s="7976"/>
    </row>
    <row customHeight="1" ht="11.25" hidden="1">
      <c r="A46" s="1951"/>
      <c r="B46" s="1306"/>
      <c r="C46" s="558"/>
      <c r="D46" s="2738"/>
      <c r="E46" s="795" t="s">
        <v>22</v>
      </c>
      <c r="F46" s="1314" t="s">
        <v>22</v>
      </c>
      <c r="G46" s="1314" t="s">
        <v>22</v>
      </c>
      <c r="H46" s="797" t="s">
        <v>22</v>
      </c>
      <c r="I46" s="797"/>
      <c r="J46" s="797"/>
      <c r="K46" s="797"/>
      <c r="L46" s="797"/>
      <c r="M46" s="797"/>
      <c r="N46" s="797"/>
      <c r="O46" s="797"/>
      <c r="P46" s="797"/>
      <c r="Q46" s="797"/>
      <c r="R46" s="798"/>
      <c r="S46" s="799"/>
      <c r="T46" s="864"/>
      <c r="U46" s="2533"/>
      <c r="V46" s="2533"/>
      <c r="W46" s="1306"/>
      <c r="X46" s="1306"/>
      <c r="Y46" s="1306"/>
      <c r="Z46" s="1306"/>
      <c r="AA46" s="1782"/>
      <c r="AB46" s="1306"/>
      <c r="AC46" s="2534"/>
      <c r="AD46" s="775"/>
      <c r="AE46" s="1306"/>
      <c r="AF46" s="1306"/>
      <c r="AG46" s="1782"/>
      <c r="AH46" s="1782"/>
      <c r="AI46" s="1782"/>
      <c r="AJ46" s="1782"/>
      <c r="AK46" s="1782"/>
      <c r="AL46" s="1782"/>
      <c r="AM46" s="1782"/>
      <c r="AN46" s="1782"/>
      <c r="AO46" s="1782"/>
      <c r="AP46" s="1782"/>
      <c r="AQ46" s="1782"/>
      <c r="AR46" s="1782"/>
      <c r="AS46" s="1782"/>
      <c r="AT46" s="1782"/>
      <c r="AU46" s="1782"/>
      <c r="AV46" s="1782"/>
      <c r="AW46" s="1782"/>
      <c r="AX46" s="1782"/>
      <c r="AY46" s="1782"/>
      <c r="AZ46" s="1782"/>
      <c r="BA46" s="1782"/>
      <c r="BB46" s="1782"/>
      <c r="BC46" s="1782"/>
      <c r="BD46" s="1782"/>
      <c r="BE46" s="1782"/>
      <c r="BF46" s="1782"/>
      <c r="BG46" s="1782"/>
      <c r="BH46" s="1782"/>
      <c r="BI46" s="1782"/>
      <c r="BJ46" s="1782"/>
      <c r="BK46" s="1782"/>
      <c r="BL46" s="1782"/>
      <c r="BM46" s="1782"/>
      <c r="BN46" s="1782"/>
      <c r="BO46" s="1782"/>
      <c r="BP46" s="1782"/>
      <c r="BQ46" s="1782"/>
      <c r="BR46" s="1782"/>
      <c r="BS46" s="1782"/>
      <c r="BT46" s="1782"/>
      <c r="BU46" s="1782"/>
      <c r="BV46" s="1306"/>
      <c r="BW46" s="1306"/>
      <c r="BX46" s="1306"/>
      <c r="BY46" s="1306"/>
      <c r="BZ46" s="1306"/>
      <c r="CA46" s="1306"/>
      <c r="CB46" s="1306"/>
      <c r="CC46" s="1306"/>
      <c r="CD46" s="1306"/>
      <c r="CE46" s="1306"/>
      <c r="CF46" s="7976"/>
    </row>
    <row customHeight="1" ht="5.25" hidden="1">
      <c r="A47" s="1938"/>
      <c r="B47" s="1782"/>
      <c r="C47" s="1782"/>
      <c r="D47" s="2738"/>
      <c r="E47" s="1185"/>
      <c r="F47" s="1185"/>
      <c r="G47" s="1185"/>
      <c r="H47" s="1185"/>
      <c r="I47" s="1185"/>
      <c r="J47" s="1185"/>
      <c r="K47" s="1185"/>
      <c r="L47" s="1185"/>
      <c r="M47" s="1185"/>
      <c r="N47" s="1185"/>
      <c r="O47" s="1185"/>
      <c r="P47" s="1185"/>
      <c r="Q47" s="1186"/>
      <c r="R47" s="1187"/>
      <c r="S47" s="1188"/>
      <c r="T47" s="863" t="s">
        <v>651</v>
      </c>
      <c r="U47" s="2533">
        <v>1</v>
      </c>
      <c r="V47" s="2533" t="s">
        <v>602</v>
      </c>
      <c r="W47" s="1782"/>
      <c r="X47" s="1782"/>
      <c r="Y47" s="1782"/>
      <c r="Z47" s="1782"/>
      <c r="AA47" s="1782"/>
      <c r="AB47" s="1782"/>
      <c r="AC47" s="1183"/>
      <c r="AD47" s="1184"/>
      <c r="AE47" s="1782"/>
      <c r="AF47" s="1782"/>
      <c r="AG47" s="1782"/>
      <c r="AH47" s="1782"/>
      <c r="AI47" s="1782"/>
      <c r="AJ47" s="1782"/>
      <c r="AK47" s="1782"/>
      <c r="AL47" s="1782"/>
      <c r="AM47" s="1782"/>
      <c r="AN47" s="1782"/>
      <c r="AO47" s="1782"/>
      <c r="AP47" s="1782"/>
      <c r="AQ47" s="1782"/>
      <c r="AR47" s="1782"/>
      <c r="AS47" s="1782"/>
      <c r="AT47" s="1782"/>
      <c r="AU47" s="1782"/>
      <c r="AV47" s="1782"/>
      <c r="AW47" s="1782"/>
      <c r="AX47" s="1782"/>
      <c r="AY47" s="1782"/>
      <c r="AZ47" s="1782"/>
      <c r="BA47" s="1782"/>
      <c r="BB47" s="1782"/>
      <c r="BC47" s="1782"/>
      <c r="BD47" s="1782"/>
      <c r="BE47" s="1782"/>
      <c r="BF47" s="1782"/>
      <c r="BG47" s="1782"/>
      <c r="BH47" s="1782"/>
      <c r="BI47" s="1782"/>
      <c r="BJ47" s="1782"/>
      <c r="BK47" s="1782"/>
      <c r="BL47" s="1782"/>
      <c r="BM47" s="1782"/>
      <c r="BN47" s="1782"/>
      <c r="BO47" s="1782"/>
      <c r="BP47" s="1782"/>
      <c r="BQ47" s="1782"/>
      <c r="BR47" s="1782"/>
      <c r="BS47" s="1782"/>
      <c r="BT47" s="1782"/>
      <c r="BU47" s="1782"/>
      <c r="BV47" s="1782"/>
      <c r="BW47" s="1782"/>
      <c r="BX47" s="1782"/>
      <c r="BY47" s="1782"/>
      <c r="BZ47" s="1782"/>
      <c r="CA47" s="1782"/>
      <c r="CB47" s="1782"/>
      <c r="CC47" s="1782"/>
      <c r="CD47" s="1782"/>
      <c r="CE47" s="1782"/>
      <c r="CF47" s="7936"/>
    </row>
    <row customHeight="1" ht="5.25" hidden="1">
      <c r="A48" s="1938"/>
      <c r="B48" s="1782"/>
      <c r="C48" s="1782"/>
      <c r="D48" s="2738"/>
      <c r="E48" s="781"/>
      <c r="F48" s="781"/>
      <c r="G48" s="781"/>
      <c r="H48" s="781"/>
      <c r="I48" s="781"/>
      <c r="J48" s="781"/>
      <c r="K48" s="781"/>
      <c r="L48" s="781"/>
      <c r="M48" s="781"/>
      <c r="N48" s="781"/>
      <c r="O48" s="781"/>
      <c r="P48" s="781"/>
      <c r="Q48" s="781"/>
      <c r="R48" s="781"/>
      <c r="S48" s="782"/>
      <c r="T48" s="864"/>
      <c r="U48" s="2533"/>
      <c r="V48" s="2533"/>
      <c r="W48" s="1782"/>
      <c r="X48" s="1782"/>
      <c r="Y48" s="1782"/>
      <c r="Z48" s="1782"/>
      <c r="AA48" s="1782"/>
      <c r="AB48" s="1782"/>
      <c r="AC48" s="1183"/>
      <c r="AD48" s="1184"/>
      <c r="AE48" s="1782"/>
      <c r="AF48" s="1782"/>
      <c r="AG48" s="1782"/>
      <c r="AH48" s="1782"/>
      <c r="AI48" s="1782"/>
      <c r="AJ48" s="1782"/>
      <c r="AK48" s="1782"/>
      <c r="AL48" s="1782"/>
      <c r="AM48" s="1782"/>
      <c r="AN48" s="1782"/>
      <c r="AO48" s="1782"/>
      <c r="AP48" s="1782"/>
      <c r="AQ48" s="1782"/>
      <c r="AR48" s="1782"/>
      <c r="AS48" s="1782"/>
      <c r="AT48" s="1782"/>
      <c r="AU48" s="1782"/>
      <c r="AV48" s="1782"/>
      <c r="AW48" s="1782"/>
      <c r="AX48" s="1782"/>
      <c r="AY48" s="1782"/>
      <c r="AZ48" s="1782"/>
      <c r="BA48" s="1782"/>
      <c r="BB48" s="1782"/>
      <c r="BC48" s="1782"/>
      <c r="BD48" s="1782"/>
      <c r="BE48" s="1782"/>
      <c r="BF48" s="1782"/>
      <c r="BG48" s="1782"/>
      <c r="BH48" s="1782"/>
      <c r="BI48" s="1782"/>
      <c r="BJ48" s="1782"/>
      <c r="BK48" s="1782"/>
      <c r="BL48" s="1782"/>
      <c r="BM48" s="1782"/>
      <c r="BN48" s="1782"/>
      <c r="BO48" s="1782"/>
      <c r="BP48" s="1782"/>
      <c r="BQ48" s="1782"/>
      <c r="BR48" s="1782"/>
      <c r="BS48" s="1782"/>
      <c r="BT48" s="1782"/>
      <c r="BU48" s="1782"/>
      <c r="BV48" s="1782"/>
      <c r="BW48" s="1782"/>
      <c r="BX48" s="1782"/>
      <c r="BY48" s="1782"/>
      <c r="BZ48" s="1782"/>
      <c r="CA48" s="1782"/>
      <c r="CB48" s="1782"/>
      <c r="CC48" s="1782"/>
      <c r="CD48" s="1782"/>
      <c r="CE48" s="1782"/>
      <c r="CF48" s="7936"/>
    </row>
    <row customHeight="1" ht="5.25" hidden="1">
      <c r="A49" s="1938"/>
      <c r="B49" s="1782"/>
      <c r="C49" s="1782"/>
      <c r="D49" s="2739"/>
      <c r="E49" s="1189"/>
      <c r="F49" s="1190"/>
      <c r="G49" s="1190" t="s">
        <v>22</v>
      </c>
      <c r="H49" s="1191"/>
      <c r="I49" s="1191"/>
      <c r="J49" s="1191"/>
      <c r="K49" s="1191"/>
      <c r="L49" s="1191"/>
      <c r="M49" s="1191"/>
      <c r="N49" s="1191"/>
      <c r="O49" s="1191"/>
      <c r="P49" s="1191"/>
      <c r="Q49" s="1191"/>
      <c r="R49" s="1092"/>
      <c r="S49" s="1192"/>
      <c r="T49" s="864"/>
      <c r="U49" s="2533"/>
      <c r="V49" s="2533"/>
      <c r="W49" s="1782"/>
      <c r="X49" s="1782"/>
      <c r="Y49" s="1782"/>
      <c r="Z49" s="1782"/>
      <c r="AA49" s="1782"/>
      <c r="AB49" s="1782"/>
      <c r="AC49" s="1183"/>
      <c r="AD49" s="1184"/>
      <c r="AE49" s="1782"/>
      <c r="AF49" s="1782"/>
      <c r="AG49" s="1782"/>
      <c r="AH49" s="1782"/>
      <c r="AI49" s="1782"/>
      <c r="AJ49" s="1782"/>
      <c r="AK49" s="1782"/>
      <c r="AL49" s="1782"/>
      <c r="AM49" s="1782"/>
      <c r="AN49" s="1782"/>
      <c r="AO49" s="1782"/>
      <c r="AP49" s="1782"/>
      <c r="AQ49" s="1782"/>
      <c r="AR49" s="1782"/>
      <c r="AS49" s="1782"/>
      <c r="AT49" s="1782"/>
      <c r="AU49" s="1782"/>
      <c r="AV49" s="1782"/>
      <c r="AW49" s="1782"/>
      <c r="AX49" s="1782"/>
      <c r="AY49" s="1782"/>
      <c r="AZ49" s="1782"/>
      <c r="BA49" s="1782"/>
      <c r="BB49" s="1782"/>
      <c r="BC49" s="1782"/>
      <c r="BD49" s="1782"/>
      <c r="BE49" s="1782"/>
      <c r="BF49" s="1782"/>
      <c r="BG49" s="1782"/>
      <c r="BH49" s="1782"/>
      <c r="BI49" s="1782"/>
      <c r="BJ49" s="1782"/>
      <c r="BK49" s="1782"/>
      <c r="BL49" s="1782"/>
      <c r="BM49" s="1782"/>
      <c r="BN49" s="1782"/>
      <c r="BO49" s="1782"/>
      <c r="BP49" s="1782"/>
      <c r="BQ49" s="1782"/>
      <c r="BR49" s="1782"/>
      <c r="BS49" s="1782"/>
      <c r="BT49" s="1782"/>
      <c r="BU49" s="1782"/>
      <c r="BV49" s="1782"/>
      <c r="BW49" s="1782"/>
      <c r="BX49" s="1782"/>
      <c r="BY49" s="1782"/>
      <c r="BZ49" s="1782"/>
      <c r="CA49" s="1782"/>
      <c r="CB49" s="1782"/>
      <c r="CC49" s="1782"/>
      <c r="CD49" s="1782"/>
      <c r="CE49" s="1782"/>
      <c r="CF49" s="7936"/>
    </row>
    <row customHeight="1" ht="15" hidden="1">
      <c r="A50" s="769" t="s">
        <v>134</v>
      </c>
      <c r="B50" s="770"/>
      <c r="C50" s="770" t="s">
        <v>22</v>
      </c>
      <c r="D50" s="2737" t="s">
        <v>657</v>
      </c>
      <c r="E50" s="2536" t="s">
        <v>117</v>
      </c>
      <c r="F50" s="2537"/>
      <c r="G50" s="2538"/>
      <c r="H50" s="2542" t="str">
        <f>IF(A50="","",INDEX(DIFFERENTIATION_UNMERGE_VD,MATCH(A50,DIFFERENTIATION_ID_DIFF,0)))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I50" s="2542"/>
      <c r="J50" s="2542"/>
      <c r="K50" s="2542"/>
      <c r="L50" s="2542"/>
      <c r="M50" s="2542"/>
      <c r="N50" s="2542"/>
      <c r="O50" s="2542"/>
      <c r="P50" s="2542"/>
      <c r="Q50" s="2542"/>
      <c r="R50" s="2542"/>
      <c r="S50" s="865"/>
      <c r="T50" s="862"/>
      <c r="U50" s="771"/>
      <c r="V50" s="771"/>
      <c r="W50" s="772"/>
      <c r="X50" s="772"/>
      <c r="Y50" s="772"/>
      <c r="Z50" s="772"/>
      <c r="AA50" s="773"/>
      <c r="AB50" s="774"/>
      <c r="AC50" s="2534"/>
      <c r="AD50" s="775"/>
      <c r="AE50" s="776" t="s">
        <v>22</v>
      </c>
      <c r="AF50" s="776"/>
      <c r="AG50" s="777" t="s">
        <v>648</v>
      </c>
      <c r="AH50" s="778">
        <v>3</v>
      </c>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1"/>
      <c r="BJ50" s="771"/>
      <c r="BK50" s="771"/>
      <c r="BL50" s="771"/>
      <c r="BM50" s="771"/>
      <c r="BN50" s="771"/>
      <c r="BO50" s="771"/>
      <c r="BP50" s="771"/>
      <c r="BQ50" s="771"/>
      <c r="BR50" s="771"/>
      <c r="BS50" s="771"/>
      <c r="BT50" s="771"/>
      <c r="BU50" s="771"/>
      <c r="BV50" s="772"/>
      <c r="BW50" s="772"/>
      <c r="BX50" s="772"/>
      <c r="BY50" s="772"/>
      <c r="BZ50" s="772"/>
      <c r="CA50" s="772"/>
      <c r="CB50" s="772"/>
      <c r="CC50" s="772"/>
      <c r="CD50" s="772"/>
      <c r="CE50" s="772"/>
      <c r="CF50" s="7976"/>
    </row>
    <row customHeight="1" ht="15" hidden="1">
      <c r="A51" s="769"/>
      <c r="B51" s="770"/>
      <c r="C51" s="770"/>
      <c r="D51" s="2738"/>
      <c r="E51" s="2536" t="s">
        <v>586</v>
      </c>
      <c r="F51" s="2537"/>
      <c r="G51" s="2538"/>
      <c r="H51" s="2542" t="str">
        <f>IF(A50="","",INDEX(DIFFERENTIATION_UNMERGE_AREA,MATCH(A50,DIFFERENTIATION_ID_DIFF,0)))</f>
        <v>Территория 2</v>
      </c>
      <c r="I51" s="2542"/>
      <c r="J51" s="2542"/>
      <c r="K51" s="2542"/>
      <c r="L51" s="2542"/>
      <c r="M51" s="2542"/>
      <c r="N51" s="2542"/>
      <c r="O51" s="2542"/>
      <c r="P51" s="2542"/>
      <c r="Q51" s="2542"/>
      <c r="R51" s="2542"/>
      <c r="S51" s="865"/>
      <c r="T51" s="862"/>
      <c r="U51" s="771"/>
      <c r="V51" s="771"/>
      <c r="W51" s="772"/>
      <c r="X51" s="772"/>
      <c r="Y51" s="772"/>
      <c r="Z51" s="772"/>
      <c r="AA51" s="773"/>
      <c r="AB51" s="774"/>
      <c r="AC51" s="2534"/>
      <c r="AD51" s="775"/>
      <c r="AE51" s="776"/>
      <c r="AF51" s="776"/>
      <c r="AG51" s="777"/>
      <c r="AH51" s="778"/>
      <c r="AI51" s="771"/>
      <c r="AJ51" s="771"/>
      <c r="AK51" s="771"/>
      <c r="AL51" s="771"/>
      <c r="AM51" s="771"/>
      <c r="AN51" s="771"/>
      <c r="AO51" s="771"/>
      <c r="AP51" s="771"/>
      <c r="AQ51" s="771"/>
      <c r="AR51" s="771"/>
      <c r="AS51" s="771"/>
      <c r="AT51" s="771"/>
      <c r="AU51" s="771"/>
      <c r="AV51" s="771"/>
      <c r="AW51" s="771"/>
      <c r="AX51" s="771"/>
      <c r="AY51" s="771"/>
      <c r="AZ51" s="771"/>
      <c r="BA51" s="771"/>
      <c r="BB51" s="771"/>
      <c r="BC51" s="771"/>
      <c r="BD51" s="771"/>
      <c r="BE51" s="771"/>
      <c r="BF51" s="771"/>
      <c r="BG51" s="771"/>
      <c r="BH51" s="771"/>
      <c r="BI51" s="771"/>
      <c r="BJ51" s="771"/>
      <c r="BK51" s="771"/>
      <c r="BL51" s="771"/>
      <c r="BM51" s="771"/>
      <c r="BN51" s="771"/>
      <c r="BO51" s="771"/>
      <c r="BP51" s="771"/>
      <c r="BQ51" s="771"/>
      <c r="BR51" s="771"/>
      <c r="BS51" s="771"/>
      <c r="BT51" s="771"/>
      <c r="BU51" s="771"/>
      <c r="BV51" s="772"/>
      <c r="BW51" s="772"/>
      <c r="BX51" s="772"/>
      <c r="BY51" s="772"/>
      <c r="BZ51" s="772"/>
      <c r="CA51" s="772"/>
      <c r="CB51" s="772"/>
      <c r="CC51" s="772"/>
      <c r="CD51" s="772"/>
      <c r="CE51" s="772"/>
      <c r="CF51" s="7976"/>
    </row>
    <row customHeight="1" ht="15" hidden="1">
      <c r="A52" s="769"/>
      <c r="B52" s="770"/>
      <c r="C52" s="770"/>
      <c r="D52" s="2738"/>
      <c r="E52" s="2536" t="s">
        <v>587</v>
      </c>
      <c r="F52" s="2537"/>
      <c r="G52" s="2538"/>
      <c r="H52" s="2542" t="str">
        <f>IF(A50="","",INDEX(DIFFERENTIATION_UNMERGE_SYSTEM,MATCH(A50,DIFFERENTIATION_ID_DIFF,0)))</f>
        <v>Приаргунская ТЭЦ</v>
      </c>
      <c r="I52" s="2542"/>
      <c r="J52" s="2542"/>
      <c r="K52" s="2542"/>
      <c r="L52" s="2542"/>
      <c r="M52" s="2542"/>
      <c r="N52" s="2542"/>
      <c r="O52" s="2542"/>
      <c r="P52" s="2542"/>
      <c r="Q52" s="2542"/>
      <c r="R52" s="2542"/>
      <c r="S52" s="865"/>
      <c r="T52" s="862"/>
      <c r="U52" s="771"/>
      <c r="V52" s="771"/>
      <c r="W52" s="772"/>
      <c r="X52" s="772"/>
      <c r="Y52" s="772"/>
      <c r="Z52" s="772"/>
      <c r="AA52" s="773"/>
      <c r="AB52" s="774"/>
      <c r="AC52" s="2534"/>
      <c r="AD52" s="775"/>
      <c r="AE52" s="776"/>
      <c r="AF52" s="776"/>
      <c r="AG52" s="777"/>
      <c r="AH52" s="778"/>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1"/>
      <c r="BE52" s="771"/>
      <c r="BF52" s="771"/>
      <c r="BG52" s="771"/>
      <c r="BH52" s="771"/>
      <c r="BI52" s="771"/>
      <c r="BJ52" s="771"/>
      <c r="BK52" s="771"/>
      <c r="BL52" s="771"/>
      <c r="BM52" s="771"/>
      <c r="BN52" s="771"/>
      <c r="BO52" s="771"/>
      <c r="BP52" s="771"/>
      <c r="BQ52" s="771"/>
      <c r="BR52" s="771"/>
      <c r="BS52" s="771"/>
      <c r="BT52" s="771"/>
      <c r="BU52" s="771"/>
      <c r="BV52" s="772"/>
      <c r="BW52" s="772"/>
      <c r="BX52" s="772"/>
      <c r="BY52" s="772"/>
      <c r="BZ52" s="772"/>
      <c r="CA52" s="772"/>
      <c r="CB52" s="772"/>
      <c r="CC52" s="772"/>
      <c r="CD52" s="772"/>
      <c r="CE52" s="772"/>
      <c r="CF52" s="7976"/>
    </row>
    <row customHeight="1" ht="24.75" hidden="1">
      <c r="A53" s="1951"/>
      <c r="B53" s="1306"/>
      <c r="C53" s="558"/>
      <c r="D53" s="2738"/>
      <c r="E53" s="2535" t="s">
        <v>649</v>
      </c>
      <c r="F53" s="2535"/>
      <c r="G53" s="2535"/>
      <c r="H53" s="2535"/>
      <c r="I53" s="2535"/>
      <c r="J53" s="2535"/>
      <c r="K53" s="2535"/>
      <c r="L53" s="2535"/>
      <c r="M53" s="2535"/>
      <c r="N53" s="2535"/>
      <c r="O53" s="2535"/>
      <c r="P53" s="2535"/>
      <c r="Q53" s="704">
        <f>SUMIF(T54:T55,"i",Q54:Q55)</f>
        <v>0</v>
      </c>
      <c r="R53" s="1163"/>
      <c r="S53" s="1943" t="s">
        <v>650</v>
      </c>
      <c r="T53" s="863" t="s">
        <v>651</v>
      </c>
      <c r="U53" s="2533">
        <v>1</v>
      </c>
      <c r="V53" s="2533" t="str">
        <f>INDEX(B_FHD_FLAG_INDEX_1,1,MATCH(A50,B_FHD_FLAG_DIFFERENTIATION,0))</f>
        <v>отсутствует</v>
      </c>
      <c r="W53" s="1306"/>
      <c r="X53" s="1306"/>
      <c r="Y53" s="1306"/>
      <c r="Z53" s="1306"/>
      <c r="AA53" s="1782"/>
      <c r="AB53" s="1306"/>
      <c r="AC53" s="2534"/>
      <c r="AD53" s="775"/>
      <c r="AE53" s="1306"/>
      <c r="AF53" s="1306"/>
      <c r="AG53" s="1782"/>
      <c r="AH53" s="1782"/>
      <c r="AI53" s="1782"/>
      <c r="AJ53" s="1782"/>
      <c r="AK53" s="1782"/>
      <c r="AL53" s="1782"/>
      <c r="AM53" s="1782"/>
      <c r="AN53" s="1782"/>
      <c r="AO53" s="1782"/>
      <c r="AP53" s="1782"/>
      <c r="AQ53" s="1782"/>
      <c r="AR53" s="1782"/>
      <c r="AS53" s="1782"/>
      <c r="AT53" s="1782"/>
      <c r="AU53" s="1782"/>
      <c r="AV53" s="1782"/>
      <c r="AW53" s="1782"/>
      <c r="AX53" s="1782"/>
      <c r="AY53" s="1782"/>
      <c r="AZ53" s="1782"/>
      <c r="BA53" s="1782"/>
      <c r="BB53" s="1782"/>
      <c r="BC53" s="1782"/>
      <c r="BD53" s="1782"/>
      <c r="BE53" s="1782"/>
      <c r="BF53" s="1782"/>
      <c r="BG53" s="1782"/>
      <c r="BH53" s="1782"/>
      <c r="BI53" s="1782"/>
      <c r="BJ53" s="1782"/>
      <c r="BK53" s="1782"/>
      <c r="BL53" s="1782"/>
      <c r="BM53" s="1782"/>
      <c r="BN53" s="1782"/>
      <c r="BO53" s="1782"/>
      <c r="BP53" s="1782"/>
      <c r="BQ53" s="1782"/>
      <c r="BR53" s="1782"/>
      <c r="BS53" s="1782"/>
      <c r="BT53" s="1782"/>
      <c r="BU53" s="1782"/>
      <c r="BV53" s="1306"/>
      <c r="BW53" s="1306"/>
      <c r="BX53" s="1306"/>
      <c r="BY53" s="1306"/>
      <c r="BZ53" s="1306"/>
      <c r="CA53" s="1306"/>
      <c r="CB53" s="1306"/>
      <c r="CC53" s="1306"/>
      <c r="CD53" s="1306"/>
      <c r="CE53" s="1306"/>
      <c r="CF53" s="7976"/>
    </row>
    <row customHeight="1" ht="11.25" hidden="1">
      <c r="A54" s="1938"/>
      <c r="B54" s="1782"/>
      <c r="C54" s="1782"/>
      <c r="D54" s="2738"/>
      <c r="E54" s="781"/>
      <c r="F54" s="781">
        <v>0</v>
      </c>
      <c r="G54" s="781"/>
      <c r="H54" s="781"/>
      <c r="I54" s="781"/>
      <c r="J54" s="781"/>
      <c r="K54" s="781"/>
      <c r="L54" s="781"/>
      <c r="M54" s="781"/>
      <c r="N54" s="781"/>
      <c r="O54" s="781"/>
      <c r="P54" s="781"/>
      <c r="Q54" s="781"/>
      <c r="R54" s="781"/>
      <c r="S54" s="782"/>
      <c r="T54" s="864"/>
      <c r="U54" s="2533"/>
      <c r="V54" s="2533"/>
      <c r="W54" s="1782"/>
      <c r="X54" s="1782"/>
      <c r="Y54" s="1782"/>
      <c r="Z54" s="1782"/>
      <c r="AA54" s="1782"/>
      <c r="AB54" s="1306"/>
      <c r="AC54" s="2534"/>
      <c r="AD54" s="775"/>
      <c r="AE54" s="1306"/>
      <c r="AF54" s="1306"/>
      <c r="AG54" s="1782"/>
      <c r="AH54" s="1782"/>
      <c r="AI54" s="1782"/>
      <c r="AJ54" s="1782"/>
      <c r="AK54" s="1782"/>
      <c r="AL54" s="1782"/>
      <c r="AM54" s="1782"/>
      <c r="AN54" s="1782"/>
      <c r="AO54" s="1782"/>
      <c r="AP54" s="1782"/>
      <c r="AQ54" s="1782"/>
      <c r="AR54" s="1782"/>
      <c r="AS54" s="1782"/>
      <c r="AT54" s="1782"/>
      <c r="AU54" s="1782"/>
      <c r="AV54" s="1782"/>
      <c r="AW54" s="1782"/>
      <c r="AX54" s="1782"/>
      <c r="AY54" s="1782"/>
      <c r="AZ54" s="1782"/>
      <c r="BA54" s="1782"/>
      <c r="BB54" s="1782"/>
      <c r="BC54" s="1782"/>
      <c r="BD54" s="1782"/>
      <c r="BE54" s="1782"/>
      <c r="BF54" s="1782"/>
      <c r="BG54" s="1782"/>
      <c r="BH54" s="1782"/>
      <c r="BI54" s="1782"/>
      <c r="BJ54" s="1782"/>
      <c r="BK54" s="1782"/>
      <c r="BL54" s="1782"/>
      <c r="BM54" s="1782"/>
      <c r="BN54" s="1782"/>
      <c r="BO54" s="1782"/>
      <c r="BP54" s="1782"/>
      <c r="BQ54" s="1782"/>
      <c r="BR54" s="1782"/>
      <c r="BS54" s="1782"/>
      <c r="BT54" s="1782"/>
      <c r="BU54" s="1782"/>
      <c r="BV54" s="1782"/>
      <c r="BW54" s="1782"/>
      <c r="BX54" s="1782"/>
      <c r="BY54" s="1782"/>
      <c r="BZ54" s="1782"/>
      <c r="CA54" s="1782"/>
      <c r="CB54" s="1782"/>
      <c r="CC54" s="1782"/>
      <c r="CD54" s="1782"/>
      <c r="CE54" s="1782"/>
      <c r="CF54" s="7976"/>
    </row>
    <row customHeight="1" ht="11.25" hidden="1">
      <c r="A55" s="1951"/>
      <c r="B55" s="1306"/>
      <c r="C55" s="558"/>
      <c r="D55" s="2738"/>
      <c r="E55" s="795" t="s">
        <v>22</v>
      </c>
      <c r="F55" s="1314" t="s">
        <v>22</v>
      </c>
      <c r="G55" s="1314" t="s">
        <v>654</v>
      </c>
      <c r="H55" s="797" t="s">
        <v>22</v>
      </c>
      <c r="I55" s="797"/>
      <c r="J55" s="797"/>
      <c r="K55" s="797"/>
      <c r="L55" s="797"/>
      <c r="M55" s="797"/>
      <c r="N55" s="797"/>
      <c r="O55" s="797"/>
      <c r="P55" s="797"/>
      <c r="Q55" s="797"/>
      <c r="R55" s="798"/>
      <c r="S55" s="799"/>
      <c r="T55" s="864"/>
      <c r="U55" s="2533"/>
      <c r="V55" s="2533"/>
      <c r="W55" s="1306"/>
      <c r="X55" s="1306"/>
      <c r="Y55" s="1306"/>
      <c r="Z55" s="1306"/>
      <c r="AA55" s="1782"/>
      <c r="AB55" s="1306"/>
      <c r="AC55" s="2534"/>
      <c r="AD55" s="775"/>
      <c r="AE55" s="1306"/>
      <c r="AF55" s="1306"/>
      <c r="AG55" s="1782"/>
      <c r="AH55" s="1782"/>
      <c r="AI55" s="1782"/>
      <c r="AJ55" s="1782"/>
      <c r="AK55" s="1782"/>
      <c r="AL55" s="1782"/>
      <c r="AM55" s="1782"/>
      <c r="AN55" s="1782"/>
      <c r="AO55" s="1782"/>
      <c r="AP55" s="1782"/>
      <c r="AQ55" s="1782"/>
      <c r="AR55" s="1782"/>
      <c r="AS55" s="1782"/>
      <c r="AT55" s="1782"/>
      <c r="AU55" s="1782"/>
      <c r="AV55" s="1782"/>
      <c r="AW55" s="1782"/>
      <c r="AX55" s="1782"/>
      <c r="AY55" s="1782"/>
      <c r="AZ55" s="1782"/>
      <c r="BA55" s="1782"/>
      <c r="BB55" s="1782"/>
      <c r="BC55" s="1782"/>
      <c r="BD55" s="1782"/>
      <c r="BE55" s="1782"/>
      <c r="BF55" s="1782"/>
      <c r="BG55" s="1782"/>
      <c r="BH55" s="1782"/>
      <c r="BI55" s="1782"/>
      <c r="BJ55" s="1782"/>
      <c r="BK55" s="1782"/>
      <c r="BL55" s="1782"/>
      <c r="BM55" s="1782"/>
      <c r="BN55" s="1782"/>
      <c r="BO55" s="1782"/>
      <c r="BP55" s="1782"/>
      <c r="BQ55" s="1782"/>
      <c r="BR55" s="1782"/>
      <c r="BS55" s="1782"/>
      <c r="BT55" s="1782"/>
      <c r="BU55" s="1782"/>
      <c r="BV55" s="1306"/>
      <c r="BW55" s="1306"/>
      <c r="BX55" s="1306"/>
      <c r="BY55" s="1306"/>
      <c r="BZ55" s="1306"/>
      <c r="CA55" s="1306"/>
      <c r="CB55" s="1306"/>
      <c r="CC55" s="1306"/>
      <c r="CD55" s="1306"/>
      <c r="CE55" s="1306"/>
      <c r="CF55" s="7976"/>
    </row>
    <row customHeight="1" ht="5.25" hidden="1">
      <c r="A56" s="1938"/>
      <c r="B56" s="1782"/>
      <c r="C56" s="1782"/>
      <c r="D56" s="2738"/>
      <c r="E56" s="1185"/>
      <c r="F56" s="1185"/>
      <c r="G56" s="1185"/>
      <c r="H56" s="1185"/>
      <c r="I56" s="1185"/>
      <c r="J56" s="1185"/>
      <c r="K56" s="1185"/>
      <c r="L56" s="1185"/>
      <c r="M56" s="1185"/>
      <c r="N56" s="1185"/>
      <c r="O56" s="1185"/>
      <c r="P56" s="1185"/>
      <c r="Q56" s="1186"/>
      <c r="R56" s="1187"/>
      <c r="S56" s="1188"/>
      <c r="T56" s="863" t="s">
        <v>651</v>
      </c>
      <c r="U56" s="2533">
        <v>1</v>
      </c>
      <c r="V56" s="2533" t="s">
        <v>602</v>
      </c>
      <c r="W56" s="1782"/>
      <c r="X56" s="1782"/>
      <c r="Y56" s="1782"/>
      <c r="Z56" s="1782"/>
      <c r="AA56" s="1782"/>
      <c r="AB56" s="1782"/>
      <c r="AC56" s="1183"/>
      <c r="AD56" s="1184"/>
      <c r="AE56" s="1782"/>
      <c r="AF56" s="1782"/>
      <c r="AG56" s="1782"/>
      <c r="AH56" s="1782"/>
      <c r="AI56" s="1782"/>
      <c r="AJ56" s="1782"/>
      <c r="AK56" s="1782"/>
      <c r="AL56" s="1782"/>
      <c r="AM56" s="1782"/>
      <c r="AN56" s="1782"/>
      <c r="AO56" s="1782"/>
      <c r="AP56" s="1782"/>
      <c r="AQ56" s="1782"/>
      <c r="AR56" s="1782"/>
      <c r="AS56" s="1782"/>
      <c r="AT56" s="1782"/>
      <c r="AU56" s="1782"/>
      <c r="AV56" s="1782"/>
      <c r="AW56" s="1782"/>
      <c r="AX56" s="1782"/>
      <c r="AY56" s="1782"/>
      <c r="AZ56" s="1782"/>
      <c r="BA56" s="1782"/>
      <c r="BB56" s="1782"/>
      <c r="BC56" s="1782"/>
      <c r="BD56" s="1782"/>
      <c r="BE56" s="1782"/>
      <c r="BF56" s="1782"/>
      <c r="BG56" s="1782"/>
      <c r="BH56" s="1782"/>
      <c r="BI56" s="1782"/>
      <c r="BJ56" s="1782"/>
      <c r="BK56" s="1782"/>
      <c r="BL56" s="1782"/>
      <c r="BM56" s="1782"/>
      <c r="BN56" s="1782"/>
      <c r="BO56" s="1782"/>
      <c r="BP56" s="1782"/>
      <c r="BQ56" s="1782"/>
      <c r="BR56" s="1782"/>
      <c r="BS56" s="1782"/>
      <c r="BT56" s="1782"/>
      <c r="BU56" s="1782"/>
      <c r="BV56" s="1782"/>
      <c r="BW56" s="1782"/>
      <c r="BX56" s="1782"/>
      <c r="BY56" s="1782"/>
      <c r="BZ56" s="1782"/>
      <c r="CA56" s="1782"/>
      <c r="CB56" s="1782"/>
      <c r="CC56" s="1782"/>
      <c r="CD56" s="1782"/>
      <c r="CE56" s="1782"/>
      <c r="CF56" s="7936"/>
    </row>
    <row customHeight="1" ht="5.25" hidden="1">
      <c r="A57" s="1938"/>
      <c r="B57" s="1782"/>
      <c r="C57" s="1782"/>
      <c r="D57" s="2738"/>
      <c r="E57" s="781"/>
      <c r="F57" s="781"/>
      <c r="G57" s="781"/>
      <c r="H57" s="781"/>
      <c r="I57" s="781"/>
      <c r="J57" s="781"/>
      <c r="K57" s="781"/>
      <c r="L57" s="781"/>
      <c r="M57" s="781"/>
      <c r="N57" s="781"/>
      <c r="O57" s="781"/>
      <c r="P57" s="781"/>
      <c r="Q57" s="781"/>
      <c r="R57" s="781"/>
      <c r="S57" s="782"/>
      <c r="T57" s="864"/>
      <c r="U57" s="2533"/>
      <c r="V57" s="2533"/>
      <c r="W57" s="1782"/>
      <c r="X57" s="1782"/>
      <c r="Y57" s="1782"/>
      <c r="Z57" s="1782"/>
      <c r="AA57" s="1782"/>
      <c r="AB57" s="1782"/>
      <c r="AC57" s="1183"/>
      <c r="AD57" s="1184"/>
      <c r="AE57" s="1782"/>
      <c r="AF57" s="1782"/>
      <c r="AG57" s="1782"/>
      <c r="AH57" s="1782"/>
      <c r="AI57" s="1782"/>
      <c r="AJ57" s="1782"/>
      <c r="AK57" s="1782"/>
      <c r="AL57" s="1782"/>
      <c r="AM57" s="1782"/>
      <c r="AN57" s="1782"/>
      <c r="AO57" s="1782"/>
      <c r="AP57" s="1782"/>
      <c r="AQ57" s="1782"/>
      <c r="AR57" s="1782"/>
      <c r="AS57" s="1782"/>
      <c r="AT57" s="1782"/>
      <c r="AU57" s="1782"/>
      <c r="AV57" s="1782"/>
      <c r="AW57" s="1782"/>
      <c r="AX57" s="1782"/>
      <c r="AY57" s="1782"/>
      <c r="AZ57" s="1782"/>
      <c r="BA57" s="1782"/>
      <c r="BB57" s="1782"/>
      <c r="BC57" s="1782"/>
      <c r="BD57" s="1782"/>
      <c r="BE57" s="1782"/>
      <c r="BF57" s="1782"/>
      <c r="BG57" s="1782"/>
      <c r="BH57" s="1782"/>
      <c r="BI57" s="1782"/>
      <c r="BJ57" s="1782"/>
      <c r="BK57" s="1782"/>
      <c r="BL57" s="1782"/>
      <c r="BM57" s="1782"/>
      <c r="BN57" s="1782"/>
      <c r="BO57" s="1782"/>
      <c r="BP57" s="1782"/>
      <c r="BQ57" s="1782"/>
      <c r="BR57" s="1782"/>
      <c r="BS57" s="1782"/>
      <c r="BT57" s="1782"/>
      <c r="BU57" s="1782"/>
      <c r="BV57" s="1782"/>
      <c r="BW57" s="1782"/>
      <c r="BX57" s="1782"/>
      <c r="BY57" s="1782"/>
      <c r="BZ57" s="1782"/>
      <c r="CA57" s="1782"/>
      <c r="CB57" s="1782"/>
      <c r="CC57" s="1782"/>
      <c r="CD57" s="1782"/>
      <c r="CE57" s="1782"/>
      <c r="CF57" s="7936"/>
    </row>
    <row customHeight="1" ht="5.25" hidden="1">
      <c r="A58" s="1938"/>
      <c r="B58" s="1782"/>
      <c r="C58" s="1782"/>
      <c r="D58" s="2739"/>
      <c r="E58" s="1189"/>
      <c r="F58" s="1190"/>
      <c r="G58" s="1190"/>
      <c r="H58" s="1191"/>
      <c r="I58" s="1191"/>
      <c r="J58" s="1191"/>
      <c r="K58" s="1191"/>
      <c r="L58" s="1191"/>
      <c r="M58" s="1191"/>
      <c r="N58" s="1191"/>
      <c r="O58" s="1191"/>
      <c r="P58" s="1191"/>
      <c r="Q58" s="1191"/>
      <c r="R58" s="1092"/>
      <c r="S58" s="1192"/>
      <c r="T58" s="864"/>
      <c r="U58" s="2533"/>
      <c r="V58" s="2533"/>
      <c r="W58" s="1782"/>
      <c r="X58" s="1782"/>
      <c r="Y58" s="1782"/>
      <c r="Z58" s="1782"/>
      <c r="AA58" s="1782"/>
      <c r="AB58" s="1782"/>
      <c r="AC58" s="1183"/>
      <c r="AD58" s="1184"/>
      <c r="AE58" s="1782"/>
      <c r="AF58" s="1782"/>
      <c r="AG58" s="1782"/>
      <c r="AH58" s="1782"/>
      <c r="AI58" s="1782"/>
      <c r="AJ58" s="1782"/>
      <c r="AK58" s="1782"/>
      <c r="AL58" s="1782"/>
      <c r="AM58" s="1782"/>
      <c r="AN58" s="1782"/>
      <c r="AO58" s="1782"/>
      <c r="AP58" s="1782"/>
      <c r="AQ58" s="1782"/>
      <c r="AR58" s="1782"/>
      <c r="AS58" s="1782"/>
      <c r="AT58" s="1782"/>
      <c r="AU58" s="1782"/>
      <c r="AV58" s="1782"/>
      <c r="AW58" s="1782"/>
      <c r="AX58" s="1782"/>
      <c r="AY58" s="1782"/>
      <c r="AZ58" s="1782"/>
      <c r="BA58" s="1782"/>
      <c r="BB58" s="1782"/>
      <c r="BC58" s="1782"/>
      <c r="BD58" s="1782"/>
      <c r="BE58" s="1782"/>
      <c r="BF58" s="1782"/>
      <c r="BG58" s="1782"/>
      <c r="BH58" s="1782"/>
      <c r="BI58" s="1782"/>
      <c r="BJ58" s="1782"/>
      <c r="BK58" s="1782"/>
      <c r="BL58" s="1782"/>
      <c r="BM58" s="1782"/>
      <c r="BN58" s="1782"/>
      <c r="BO58" s="1782"/>
      <c r="BP58" s="1782"/>
      <c r="BQ58" s="1782"/>
      <c r="BR58" s="1782"/>
      <c r="BS58" s="1782"/>
      <c r="BT58" s="1782"/>
      <c r="BU58" s="1782"/>
      <c r="BV58" s="1782"/>
      <c r="BW58" s="1782"/>
      <c r="BX58" s="1782"/>
      <c r="BY58" s="1782"/>
      <c r="BZ58" s="1782"/>
      <c r="CA58" s="1782"/>
      <c r="CB58" s="1782"/>
      <c r="CC58" s="1782"/>
      <c r="CD58" s="1782"/>
      <c r="CE58" s="1782"/>
      <c r="CF58" s="7936"/>
    </row>
    <row customHeight="1" ht="15" hidden="1">
      <c r="A59" s="769" t="s">
        <v>141</v>
      </c>
      <c r="B59" s="770"/>
      <c r="C59" s="770" t="s">
        <v>22</v>
      </c>
      <c r="D59" s="2737" t="s">
        <v>658</v>
      </c>
      <c r="E59" s="2536" t="s">
        <v>117</v>
      </c>
      <c r="F59" s="2537"/>
      <c r="G59" s="2538"/>
      <c r="H59" s="2542" t="str">
        <f>IF(A59="","",INDEX(DIFFERENTIATION_UNMERGE_VD,MATCH(A59,DIFFERENTIATION_ID_DIFF,0)))</f>
        <v>Производство. Теплоноситель</v>
      </c>
      <c r="I59" s="2542"/>
      <c r="J59" s="2542"/>
      <c r="K59" s="2542"/>
      <c r="L59" s="2542"/>
      <c r="M59" s="2542"/>
      <c r="N59" s="2542"/>
      <c r="O59" s="2542"/>
      <c r="P59" s="2542"/>
      <c r="Q59" s="2542"/>
      <c r="R59" s="2542"/>
      <c r="S59" s="865"/>
      <c r="T59" s="862"/>
      <c r="U59" s="771"/>
      <c r="V59" s="771"/>
      <c r="W59" s="772"/>
      <c r="X59" s="772"/>
      <c r="Y59" s="772"/>
      <c r="Z59" s="772"/>
      <c r="AA59" s="773"/>
      <c r="AB59" s="774"/>
      <c r="AC59" s="2534"/>
      <c r="AD59" s="775"/>
      <c r="AE59" s="776" t="s">
        <v>22</v>
      </c>
      <c r="AF59" s="776"/>
      <c r="AG59" s="777" t="s">
        <v>648</v>
      </c>
      <c r="AH59" s="778">
        <v>3</v>
      </c>
      <c r="AI59" s="771"/>
      <c r="AJ59" s="771"/>
      <c r="AK59" s="771"/>
      <c r="AL59" s="771"/>
      <c r="AM59" s="771"/>
      <c r="AN59" s="771"/>
      <c r="AO59" s="771"/>
      <c r="AP59" s="771"/>
      <c r="AQ59" s="771"/>
      <c r="AR59" s="771"/>
      <c r="AS59" s="771"/>
      <c r="AT59" s="771"/>
      <c r="AU59" s="771"/>
      <c r="AV59" s="771"/>
      <c r="AW59" s="771"/>
      <c r="AX59" s="771"/>
      <c r="AY59" s="771"/>
      <c r="AZ59" s="771"/>
      <c r="BA59" s="771"/>
      <c r="BB59" s="771"/>
      <c r="BC59" s="771"/>
      <c r="BD59" s="771"/>
      <c r="BE59" s="771"/>
      <c r="BF59" s="771"/>
      <c r="BG59" s="771"/>
      <c r="BH59" s="771"/>
      <c r="BI59" s="771"/>
      <c r="BJ59" s="771"/>
      <c r="BK59" s="771"/>
      <c r="BL59" s="771"/>
      <c r="BM59" s="771"/>
      <c r="BN59" s="771"/>
      <c r="BO59" s="771"/>
      <c r="BP59" s="771"/>
      <c r="BQ59" s="771"/>
      <c r="BR59" s="771"/>
      <c r="BS59" s="771"/>
      <c r="BT59" s="771"/>
      <c r="BU59" s="771"/>
      <c r="BV59" s="772"/>
      <c r="BW59" s="772"/>
      <c r="BX59" s="772"/>
      <c r="BY59" s="772"/>
      <c r="BZ59" s="772"/>
      <c r="CA59" s="772"/>
      <c r="CB59" s="772"/>
      <c r="CC59" s="772"/>
      <c r="CD59" s="772"/>
      <c r="CE59" s="772"/>
      <c r="CF59" s="7976"/>
    </row>
    <row customHeight="1" ht="15" hidden="1">
      <c r="A60" s="769"/>
      <c r="B60" s="770"/>
      <c r="C60" s="770"/>
      <c r="D60" s="2738"/>
      <c r="E60" s="2536" t="s">
        <v>586</v>
      </c>
      <c r="F60" s="2537"/>
      <c r="G60" s="2538"/>
      <c r="H60" s="2542" t="str">
        <f>IF(A59="","",INDEX(DIFFERENTIATION_UNMERGE_AREA,MATCH(A59,DIFFERENTIATION_ID_DIFF,0)))</f>
        <v>Территория 2</v>
      </c>
      <c r="I60" s="2542"/>
      <c r="J60" s="2542"/>
      <c r="K60" s="2542"/>
      <c r="L60" s="2542"/>
      <c r="M60" s="2542"/>
      <c r="N60" s="2542"/>
      <c r="O60" s="2542"/>
      <c r="P60" s="2542"/>
      <c r="Q60" s="2542"/>
      <c r="R60" s="2542"/>
      <c r="S60" s="865"/>
      <c r="T60" s="862"/>
      <c r="U60" s="771"/>
      <c r="V60" s="771"/>
      <c r="W60" s="772"/>
      <c r="X60" s="772"/>
      <c r="Y60" s="772"/>
      <c r="Z60" s="772"/>
      <c r="AA60" s="773"/>
      <c r="AB60" s="774"/>
      <c r="AC60" s="2534"/>
      <c r="AD60" s="775"/>
      <c r="AE60" s="776"/>
      <c r="AF60" s="776"/>
      <c r="AG60" s="777"/>
      <c r="AH60" s="778"/>
      <c r="AI60" s="771"/>
      <c r="AJ60" s="771"/>
      <c r="AK60" s="771"/>
      <c r="AL60" s="771"/>
      <c r="AM60" s="771"/>
      <c r="AN60" s="771"/>
      <c r="AO60" s="771"/>
      <c r="AP60" s="771"/>
      <c r="AQ60" s="771"/>
      <c r="AR60" s="771"/>
      <c r="AS60" s="771"/>
      <c r="AT60" s="771"/>
      <c r="AU60" s="771"/>
      <c r="AV60" s="771"/>
      <c r="AW60" s="771"/>
      <c r="AX60" s="771"/>
      <c r="AY60" s="771"/>
      <c r="AZ60" s="771"/>
      <c r="BA60" s="771"/>
      <c r="BB60" s="771"/>
      <c r="BC60" s="771"/>
      <c r="BD60" s="771"/>
      <c r="BE60" s="771"/>
      <c r="BF60" s="771"/>
      <c r="BG60" s="771"/>
      <c r="BH60" s="771"/>
      <c r="BI60" s="771"/>
      <c r="BJ60" s="771"/>
      <c r="BK60" s="771"/>
      <c r="BL60" s="771"/>
      <c r="BM60" s="771"/>
      <c r="BN60" s="771"/>
      <c r="BO60" s="771"/>
      <c r="BP60" s="771"/>
      <c r="BQ60" s="771"/>
      <c r="BR60" s="771"/>
      <c r="BS60" s="771"/>
      <c r="BT60" s="771"/>
      <c r="BU60" s="771"/>
      <c r="BV60" s="772"/>
      <c r="BW60" s="772"/>
      <c r="BX60" s="772"/>
      <c r="BY60" s="772"/>
      <c r="BZ60" s="772"/>
      <c r="CA60" s="772"/>
      <c r="CB60" s="772"/>
      <c r="CC60" s="772"/>
      <c r="CD60" s="772"/>
      <c r="CE60" s="772"/>
      <c r="CF60" s="7976"/>
    </row>
    <row customHeight="1" ht="15" hidden="1">
      <c r="A61" s="769"/>
      <c r="B61" s="770"/>
      <c r="C61" s="770"/>
      <c r="D61" s="2738"/>
      <c r="E61" s="2536" t="s">
        <v>587</v>
      </c>
      <c r="F61" s="2537"/>
      <c r="G61" s="2538"/>
      <c r="H61" s="2542" t="str">
        <f>IF(A59="","",INDEX(DIFFERENTIATION_UNMERGE_SYSTEM,MATCH(A59,DIFFERENTIATION_ID_DIFF,0)))</f>
        <v>Приаргунская ТЭЦ</v>
      </c>
      <c r="I61" s="2542"/>
      <c r="J61" s="2542"/>
      <c r="K61" s="2542"/>
      <c r="L61" s="2542"/>
      <c r="M61" s="2542"/>
      <c r="N61" s="2542"/>
      <c r="O61" s="2542"/>
      <c r="P61" s="2542"/>
      <c r="Q61" s="2542"/>
      <c r="R61" s="2542"/>
      <c r="S61" s="865"/>
      <c r="T61" s="862"/>
      <c r="U61" s="771"/>
      <c r="V61" s="771"/>
      <c r="W61" s="772"/>
      <c r="X61" s="772"/>
      <c r="Y61" s="772"/>
      <c r="Z61" s="772"/>
      <c r="AA61" s="773"/>
      <c r="AB61" s="774"/>
      <c r="AC61" s="2534"/>
      <c r="AD61" s="775"/>
      <c r="AE61" s="776"/>
      <c r="AF61" s="776"/>
      <c r="AG61" s="777"/>
      <c r="AH61" s="778"/>
      <c r="AI61" s="771"/>
      <c r="AJ61" s="771"/>
      <c r="AK61" s="771"/>
      <c r="AL61" s="771"/>
      <c r="AM61" s="771"/>
      <c r="AN61" s="771"/>
      <c r="AO61" s="771"/>
      <c r="AP61" s="771"/>
      <c r="AQ61" s="771"/>
      <c r="AR61" s="771"/>
      <c r="AS61" s="771"/>
      <c r="AT61" s="771"/>
      <c r="AU61" s="771"/>
      <c r="AV61" s="771"/>
      <c r="AW61" s="771"/>
      <c r="AX61" s="771"/>
      <c r="AY61" s="771"/>
      <c r="AZ61" s="771"/>
      <c r="BA61" s="771"/>
      <c r="BB61" s="771"/>
      <c r="BC61" s="771"/>
      <c r="BD61" s="771"/>
      <c r="BE61" s="771"/>
      <c r="BF61" s="771"/>
      <c r="BG61" s="771"/>
      <c r="BH61" s="771"/>
      <c r="BI61" s="771"/>
      <c r="BJ61" s="771"/>
      <c r="BK61" s="771"/>
      <c r="BL61" s="771"/>
      <c r="BM61" s="771"/>
      <c r="BN61" s="771"/>
      <c r="BO61" s="771"/>
      <c r="BP61" s="771"/>
      <c r="BQ61" s="771"/>
      <c r="BR61" s="771"/>
      <c r="BS61" s="771"/>
      <c r="BT61" s="771"/>
      <c r="BU61" s="771"/>
      <c r="BV61" s="772"/>
      <c r="BW61" s="772"/>
      <c r="BX61" s="772"/>
      <c r="BY61" s="772"/>
      <c r="BZ61" s="772"/>
      <c r="CA61" s="772"/>
      <c r="CB61" s="772"/>
      <c r="CC61" s="772"/>
      <c r="CD61" s="772"/>
      <c r="CE61" s="772"/>
      <c r="CF61" s="7976"/>
    </row>
    <row customHeight="1" ht="24.75" hidden="1">
      <c r="A62" s="1951"/>
      <c r="B62" s="1306"/>
      <c r="C62" s="558"/>
      <c r="D62" s="2738"/>
      <c r="E62" s="2535" t="s">
        <v>649</v>
      </c>
      <c r="F62" s="2535"/>
      <c r="G62" s="2535"/>
      <c r="H62" s="2535"/>
      <c r="I62" s="2535"/>
      <c r="J62" s="2535"/>
      <c r="K62" s="2535"/>
      <c r="L62" s="2535"/>
      <c r="M62" s="2535"/>
      <c r="N62" s="2535"/>
      <c r="O62" s="2535"/>
      <c r="P62" s="2535"/>
      <c r="Q62" s="704">
        <f>SUMIF(T63:T64,"i",Q63:Q64)</f>
        <v>0</v>
      </c>
      <c r="R62" s="1163"/>
      <c r="S62" s="1943" t="s">
        <v>650</v>
      </c>
      <c r="T62" s="863" t="s">
        <v>651</v>
      </c>
      <c r="U62" s="2533">
        <v>1</v>
      </c>
      <c r="V62" s="2533" t="str">
        <f>INDEX(B_FHD_FLAG_INDEX_1,1,MATCH(A59,B_FHD_FLAG_DIFFERENTIATION,0))</f>
        <v>отсутствует</v>
      </c>
      <c r="W62" s="1306"/>
      <c r="X62" s="1306"/>
      <c r="Y62" s="1306"/>
      <c r="Z62" s="1306"/>
      <c r="AA62" s="1782"/>
      <c r="AB62" s="1306"/>
      <c r="AC62" s="2534"/>
      <c r="AD62" s="775"/>
      <c r="AE62" s="1306"/>
      <c r="AF62" s="1306"/>
      <c r="AG62" s="1782"/>
      <c r="AH62" s="1782"/>
      <c r="AI62" s="1782"/>
      <c r="AJ62" s="1782"/>
      <c r="AK62" s="1782"/>
      <c r="AL62" s="1782"/>
      <c r="AM62" s="1782"/>
      <c r="AN62" s="1782"/>
      <c r="AO62" s="1782"/>
      <c r="AP62" s="1782"/>
      <c r="AQ62" s="1782"/>
      <c r="AR62" s="1782"/>
      <c r="AS62" s="1782"/>
      <c r="AT62" s="1782"/>
      <c r="AU62" s="1782"/>
      <c r="AV62" s="1782"/>
      <c r="AW62" s="1782"/>
      <c r="AX62" s="1782"/>
      <c r="AY62" s="1782"/>
      <c r="AZ62" s="1782"/>
      <c r="BA62" s="1782"/>
      <c r="BB62" s="1782"/>
      <c r="BC62" s="1782"/>
      <c r="BD62" s="1782"/>
      <c r="BE62" s="1782"/>
      <c r="BF62" s="1782"/>
      <c r="BG62" s="1782"/>
      <c r="BH62" s="1782"/>
      <c r="BI62" s="1782"/>
      <c r="BJ62" s="1782"/>
      <c r="BK62" s="1782"/>
      <c r="BL62" s="1782"/>
      <c r="BM62" s="1782"/>
      <c r="BN62" s="1782"/>
      <c r="BO62" s="1782"/>
      <c r="BP62" s="1782"/>
      <c r="BQ62" s="1782"/>
      <c r="BR62" s="1782"/>
      <c r="BS62" s="1782"/>
      <c r="BT62" s="1782"/>
      <c r="BU62" s="1782"/>
      <c r="BV62" s="1306"/>
      <c r="BW62" s="1306"/>
      <c r="BX62" s="1306"/>
      <c r="BY62" s="1306"/>
      <c r="BZ62" s="1306"/>
      <c r="CA62" s="1306"/>
      <c r="CB62" s="1306"/>
      <c r="CC62" s="1306"/>
      <c r="CD62" s="1306"/>
      <c r="CE62" s="1306"/>
      <c r="CF62" s="7976"/>
    </row>
    <row customHeight="1" ht="11.25" hidden="1">
      <c r="A63" s="1938"/>
      <c r="B63" s="1782"/>
      <c r="C63" s="1782"/>
      <c r="D63" s="2738"/>
      <c r="E63" s="781"/>
      <c r="F63" s="781">
        <v>0</v>
      </c>
      <c r="G63" s="781"/>
      <c r="H63" s="781"/>
      <c r="I63" s="781"/>
      <c r="J63" s="781"/>
      <c r="K63" s="781"/>
      <c r="L63" s="781"/>
      <c r="M63" s="781"/>
      <c r="N63" s="781"/>
      <c r="O63" s="781"/>
      <c r="P63" s="781"/>
      <c r="Q63" s="781"/>
      <c r="R63" s="781"/>
      <c r="S63" s="782"/>
      <c r="T63" s="864"/>
      <c r="U63" s="2533"/>
      <c r="V63" s="2533"/>
      <c r="W63" s="1782"/>
      <c r="X63" s="1782"/>
      <c r="Y63" s="1782"/>
      <c r="Z63" s="1782"/>
      <c r="AA63" s="1782"/>
      <c r="AB63" s="1306"/>
      <c r="AC63" s="2534"/>
      <c r="AD63" s="775"/>
      <c r="AE63" s="1306"/>
      <c r="AF63" s="1306"/>
      <c r="AG63" s="1782"/>
      <c r="AH63" s="1782"/>
      <c r="AI63" s="1782"/>
      <c r="AJ63" s="1782"/>
      <c r="AK63" s="1782"/>
      <c r="AL63" s="1782"/>
      <c r="AM63" s="1782"/>
      <c r="AN63" s="1782"/>
      <c r="AO63" s="1782"/>
      <c r="AP63" s="1782"/>
      <c r="AQ63" s="1782"/>
      <c r="AR63" s="1782"/>
      <c r="AS63" s="1782"/>
      <c r="AT63" s="1782"/>
      <c r="AU63" s="1782"/>
      <c r="AV63" s="1782"/>
      <c r="AW63" s="1782"/>
      <c r="AX63" s="1782"/>
      <c r="AY63" s="1782"/>
      <c r="AZ63" s="1782"/>
      <c r="BA63" s="1782"/>
      <c r="BB63" s="1782"/>
      <c r="BC63" s="1782"/>
      <c r="BD63" s="1782"/>
      <c r="BE63" s="1782"/>
      <c r="BF63" s="1782"/>
      <c r="BG63" s="1782"/>
      <c r="BH63" s="1782"/>
      <c r="BI63" s="1782"/>
      <c r="BJ63" s="1782"/>
      <c r="BK63" s="1782"/>
      <c r="BL63" s="1782"/>
      <c r="BM63" s="1782"/>
      <c r="BN63" s="1782"/>
      <c r="BO63" s="1782"/>
      <c r="BP63" s="1782"/>
      <c r="BQ63" s="1782"/>
      <c r="BR63" s="1782"/>
      <c r="BS63" s="1782"/>
      <c r="BT63" s="1782"/>
      <c r="BU63" s="1782"/>
      <c r="BV63" s="1782"/>
      <c r="BW63" s="1782"/>
      <c r="BX63" s="1782"/>
      <c r="BY63" s="1782"/>
      <c r="BZ63" s="1782"/>
      <c r="CA63" s="1782"/>
      <c r="CB63" s="1782"/>
      <c r="CC63" s="1782"/>
      <c r="CD63" s="1782"/>
      <c r="CE63" s="1782"/>
      <c r="CF63" s="7976"/>
    </row>
    <row customHeight="1" ht="11.25" hidden="1">
      <c r="A64" s="1951"/>
      <c r="B64" s="1306"/>
      <c r="C64" s="558"/>
      <c r="D64" s="2738"/>
      <c r="E64" s="795" t="s">
        <v>22</v>
      </c>
      <c r="F64" s="1314" t="s">
        <v>22</v>
      </c>
      <c r="G64" s="1314" t="s">
        <v>654</v>
      </c>
      <c r="H64" s="797" t="s">
        <v>22</v>
      </c>
      <c r="I64" s="797"/>
      <c r="J64" s="797"/>
      <c r="K64" s="797"/>
      <c r="L64" s="797"/>
      <c r="M64" s="797"/>
      <c r="N64" s="797"/>
      <c r="O64" s="797"/>
      <c r="P64" s="797"/>
      <c r="Q64" s="797"/>
      <c r="R64" s="798"/>
      <c r="S64" s="799"/>
      <c r="T64" s="864"/>
      <c r="U64" s="2533"/>
      <c r="V64" s="2533"/>
      <c r="W64" s="1306"/>
      <c r="X64" s="1306"/>
      <c r="Y64" s="1306"/>
      <c r="Z64" s="1306"/>
      <c r="AA64" s="1782"/>
      <c r="AB64" s="1306"/>
      <c r="AC64" s="2534"/>
      <c r="AD64" s="775"/>
      <c r="AE64" s="1306"/>
      <c r="AF64" s="1306"/>
      <c r="AG64" s="1782"/>
      <c r="AH64" s="1782"/>
      <c r="AI64" s="1782"/>
      <c r="AJ64" s="1782"/>
      <c r="AK64" s="1782"/>
      <c r="AL64" s="1782"/>
      <c r="AM64" s="1782"/>
      <c r="AN64" s="1782"/>
      <c r="AO64" s="1782"/>
      <c r="AP64" s="1782"/>
      <c r="AQ64" s="1782"/>
      <c r="AR64" s="1782"/>
      <c r="AS64" s="1782"/>
      <c r="AT64" s="1782"/>
      <c r="AU64" s="1782"/>
      <c r="AV64" s="1782"/>
      <c r="AW64" s="1782"/>
      <c r="AX64" s="1782"/>
      <c r="AY64" s="1782"/>
      <c r="AZ64" s="1782"/>
      <c r="BA64" s="1782"/>
      <c r="BB64" s="1782"/>
      <c r="BC64" s="1782"/>
      <c r="BD64" s="1782"/>
      <c r="BE64" s="1782"/>
      <c r="BF64" s="1782"/>
      <c r="BG64" s="1782"/>
      <c r="BH64" s="1782"/>
      <c r="BI64" s="1782"/>
      <c r="BJ64" s="1782"/>
      <c r="BK64" s="1782"/>
      <c r="BL64" s="1782"/>
      <c r="BM64" s="1782"/>
      <c r="BN64" s="1782"/>
      <c r="BO64" s="1782"/>
      <c r="BP64" s="1782"/>
      <c r="BQ64" s="1782"/>
      <c r="BR64" s="1782"/>
      <c r="BS64" s="1782"/>
      <c r="BT64" s="1782"/>
      <c r="BU64" s="1782"/>
      <c r="BV64" s="1306"/>
      <c r="BW64" s="1306"/>
      <c r="BX64" s="1306"/>
      <c r="BY64" s="1306"/>
      <c r="BZ64" s="1306"/>
      <c r="CA64" s="1306"/>
      <c r="CB64" s="1306"/>
      <c r="CC64" s="1306"/>
      <c r="CD64" s="1306"/>
      <c r="CE64" s="1306"/>
      <c r="CF64" s="7976"/>
    </row>
    <row customHeight="1" ht="5.25" hidden="1">
      <c r="A65" s="1938"/>
      <c r="B65" s="1782"/>
      <c r="C65" s="1782"/>
      <c r="D65" s="2738"/>
      <c r="E65" s="1185"/>
      <c r="F65" s="1185"/>
      <c r="G65" s="1185"/>
      <c r="H65" s="1185"/>
      <c r="I65" s="1185"/>
      <c r="J65" s="1185"/>
      <c r="K65" s="1185"/>
      <c r="L65" s="1185"/>
      <c r="M65" s="1185"/>
      <c r="N65" s="1185"/>
      <c r="O65" s="1185"/>
      <c r="P65" s="1185"/>
      <c r="Q65" s="1186"/>
      <c r="R65" s="1187"/>
      <c r="S65" s="1188"/>
      <c r="T65" s="863" t="s">
        <v>651</v>
      </c>
      <c r="U65" s="2533">
        <v>1</v>
      </c>
      <c r="V65" s="2533" t="s">
        <v>602</v>
      </c>
      <c r="W65" s="1782"/>
      <c r="X65" s="1782"/>
      <c r="Y65" s="1782"/>
      <c r="Z65" s="1782"/>
      <c r="AA65" s="1782"/>
      <c r="AB65" s="1782"/>
      <c r="AC65" s="1183"/>
      <c r="AD65" s="1184"/>
      <c r="AE65" s="1782"/>
      <c r="AF65" s="1782"/>
      <c r="AG65" s="1782"/>
      <c r="AH65" s="1782"/>
      <c r="AI65" s="1782"/>
      <c r="AJ65" s="1782"/>
      <c r="AK65" s="1782"/>
      <c r="AL65" s="1782"/>
      <c r="AM65" s="1782"/>
      <c r="AN65" s="1782"/>
      <c r="AO65" s="1782"/>
      <c r="AP65" s="1782"/>
      <c r="AQ65" s="1782"/>
      <c r="AR65" s="1782"/>
      <c r="AS65" s="1782"/>
      <c r="AT65" s="1782"/>
      <c r="AU65" s="1782"/>
      <c r="AV65" s="1782"/>
      <c r="AW65" s="1782"/>
      <c r="AX65" s="1782"/>
      <c r="AY65" s="1782"/>
      <c r="AZ65" s="1782"/>
      <c r="BA65" s="1782"/>
      <c r="BB65" s="1782"/>
      <c r="BC65" s="1782"/>
      <c r="BD65" s="1782"/>
      <c r="BE65" s="1782"/>
      <c r="BF65" s="1782"/>
      <c r="BG65" s="1782"/>
      <c r="BH65" s="1782"/>
      <c r="BI65" s="1782"/>
      <c r="BJ65" s="1782"/>
      <c r="BK65" s="1782"/>
      <c r="BL65" s="1782"/>
      <c r="BM65" s="1782"/>
      <c r="BN65" s="1782"/>
      <c r="BO65" s="1782"/>
      <c r="BP65" s="1782"/>
      <c r="BQ65" s="1782"/>
      <c r="BR65" s="1782"/>
      <c r="BS65" s="1782"/>
      <c r="BT65" s="1782"/>
      <c r="BU65" s="1782"/>
      <c r="BV65" s="1782"/>
      <c r="BW65" s="1782"/>
      <c r="BX65" s="1782"/>
      <c r="BY65" s="1782"/>
      <c r="BZ65" s="1782"/>
      <c r="CA65" s="1782"/>
      <c r="CB65" s="1782"/>
      <c r="CC65" s="1782"/>
      <c r="CD65" s="1782"/>
      <c r="CE65" s="1782"/>
      <c r="CF65" s="7936"/>
    </row>
    <row customHeight="1" ht="5.25" hidden="1">
      <c r="A66" s="1938"/>
      <c r="B66" s="1782"/>
      <c r="C66" s="1782"/>
      <c r="D66" s="2738"/>
      <c r="E66" s="781"/>
      <c r="F66" s="781"/>
      <c r="G66" s="781"/>
      <c r="H66" s="781"/>
      <c r="I66" s="781"/>
      <c r="J66" s="781"/>
      <c r="K66" s="781"/>
      <c r="L66" s="781"/>
      <c r="M66" s="781"/>
      <c r="N66" s="781"/>
      <c r="O66" s="781"/>
      <c r="P66" s="781"/>
      <c r="Q66" s="781"/>
      <c r="R66" s="781"/>
      <c r="S66" s="782"/>
      <c r="T66" s="864"/>
      <c r="U66" s="2533"/>
      <c r="V66" s="2533"/>
      <c r="W66" s="1782"/>
      <c r="X66" s="1782"/>
      <c r="Y66" s="1782"/>
      <c r="Z66" s="1782"/>
      <c r="AA66" s="1782"/>
      <c r="AB66" s="1782"/>
      <c r="AC66" s="1183"/>
      <c r="AD66" s="1184"/>
      <c r="AE66" s="1782"/>
      <c r="AF66" s="1782"/>
      <c r="AG66" s="1782"/>
      <c r="AH66" s="1782"/>
      <c r="AI66" s="1782"/>
      <c r="AJ66" s="1782"/>
      <c r="AK66" s="1782"/>
      <c r="AL66" s="1782"/>
      <c r="AM66" s="1782"/>
      <c r="AN66" s="1782"/>
      <c r="AO66" s="1782"/>
      <c r="AP66" s="1782"/>
      <c r="AQ66" s="1782"/>
      <c r="AR66" s="1782"/>
      <c r="AS66" s="1782"/>
      <c r="AT66" s="1782"/>
      <c r="AU66" s="1782"/>
      <c r="AV66" s="1782"/>
      <c r="AW66" s="1782"/>
      <c r="AX66" s="1782"/>
      <c r="AY66" s="1782"/>
      <c r="AZ66" s="1782"/>
      <c r="BA66" s="1782"/>
      <c r="BB66" s="1782"/>
      <c r="BC66" s="1782"/>
      <c r="BD66" s="1782"/>
      <c r="BE66" s="1782"/>
      <c r="BF66" s="1782"/>
      <c r="BG66" s="1782"/>
      <c r="BH66" s="1782"/>
      <c r="BI66" s="1782"/>
      <c r="BJ66" s="1782"/>
      <c r="BK66" s="1782"/>
      <c r="BL66" s="1782"/>
      <c r="BM66" s="1782"/>
      <c r="BN66" s="1782"/>
      <c r="BO66" s="1782"/>
      <c r="BP66" s="1782"/>
      <c r="BQ66" s="1782"/>
      <c r="BR66" s="1782"/>
      <c r="BS66" s="1782"/>
      <c r="BT66" s="1782"/>
      <c r="BU66" s="1782"/>
      <c r="BV66" s="1782"/>
      <c r="BW66" s="1782"/>
      <c r="BX66" s="1782"/>
      <c r="BY66" s="1782"/>
      <c r="BZ66" s="1782"/>
      <c r="CA66" s="1782"/>
      <c r="CB66" s="1782"/>
      <c r="CC66" s="1782"/>
      <c r="CD66" s="1782"/>
      <c r="CE66" s="1782"/>
      <c r="CF66" s="7936"/>
    </row>
    <row customHeight="1" ht="5.25" hidden="1">
      <c r="A67" s="1938"/>
      <c r="B67" s="1782"/>
      <c r="C67" s="1782"/>
      <c r="D67" s="2739"/>
      <c r="E67" s="1189"/>
      <c r="F67" s="1190"/>
      <c r="G67" s="1190"/>
      <c r="H67" s="1191"/>
      <c r="I67" s="1191"/>
      <c r="J67" s="1191"/>
      <c r="K67" s="1191"/>
      <c r="L67" s="1191"/>
      <c r="M67" s="1191"/>
      <c r="N67" s="1191"/>
      <c r="O67" s="1191"/>
      <c r="P67" s="1191"/>
      <c r="Q67" s="1191"/>
      <c r="R67" s="1092"/>
      <c r="S67" s="1192"/>
      <c r="T67" s="864"/>
      <c r="U67" s="2533"/>
      <c r="V67" s="2533"/>
      <c r="W67" s="1782"/>
      <c r="X67" s="1782"/>
      <c r="Y67" s="1782"/>
      <c r="Z67" s="1782"/>
      <c r="AA67" s="1782"/>
      <c r="AB67" s="1782"/>
      <c r="AC67" s="1183"/>
      <c r="AD67" s="1184"/>
      <c r="AE67" s="1782"/>
      <c r="AF67" s="1782"/>
      <c r="AG67" s="1782"/>
      <c r="AH67" s="1782"/>
      <c r="AI67" s="1782"/>
      <c r="AJ67" s="1782"/>
      <c r="AK67" s="1782"/>
      <c r="AL67" s="1782"/>
      <c r="AM67" s="1782"/>
      <c r="AN67" s="1782"/>
      <c r="AO67" s="1782"/>
      <c r="AP67" s="1782"/>
      <c r="AQ67" s="1782"/>
      <c r="AR67" s="1782"/>
      <c r="AS67" s="1782"/>
      <c r="AT67" s="1782"/>
      <c r="AU67" s="1782"/>
      <c r="AV67" s="1782"/>
      <c r="AW67" s="1782"/>
      <c r="AX67" s="1782"/>
      <c r="AY67" s="1782"/>
      <c r="AZ67" s="1782"/>
      <c r="BA67" s="1782"/>
      <c r="BB67" s="1782"/>
      <c r="BC67" s="1782"/>
      <c r="BD67" s="1782"/>
      <c r="BE67" s="1782"/>
      <c r="BF67" s="1782"/>
      <c r="BG67" s="1782"/>
      <c r="BH67" s="1782"/>
      <c r="BI67" s="1782"/>
      <c r="BJ67" s="1782"/>
      <c r="BK67" s="1782"/>
      <c r="BL67" s="1782"/>
      <c r="BM67" s="1782"/>
      <c r="BN67" s="1782"/>
      <c r="BO67" s="1782"/>
      <c r="BP67" s="1782"/>
      <c r="BQ67" s="1782"/>
      <c r="BR67" s="1782"/>
      <c r="BS67" s="1782"/>
      <c r="BT67" s="1782"/>
      <c r="BU67" s="1782"/>
      <c r="BV67" s="1782"/>
      <c r="BW67" s="1782"/>
      <c r="BX67" s="1782"/>
      <c r="BY67" s="1782"/>
      <c r="BZ67" s="1782"/>
      <c r="CA67" s="1782"/>
      <c r="CB67" s="1782"/>
      <c r="CC67" s="1782"/>
      <c r="CD67" s="1782"/>
      <c r="CE67" s="1782"/>
      <c r="CF67" s="7936"/>
    </row>
    <row customHeight="1" ht="19.95">
      <c r="D68" s="1193"/>
      <c r="E68" s="1193"/>
      <c r="F68" s="1193"/>
      <c r="G68" s="1193"/>
      <c r="H68" s="1193"/>
      <c r="I68" s="1193"/>
      <c r="J68" s="1193"/>
      <c r="K68" s="1193"/>
      <c r="L68" s="1193"/>
      <c r="M68" s="1193"/>
      <c r="N68" s="1193"/>
      <c r="O68" s="1193"/>
      <c r="P68" s="1193"/>
      <c r="Q68" s="1193"/>
      <c r="R68" s="1193"/>
      <c r="S68" s="1193"/>
      <c r="T68" s="480"/>
      <c r="CF68" s="651">
        <v>19</v>
      </c>
    </row>
    <row customHeight="1" ht="11.549999999999999">
      <c r="D69" s="655"/>
      <c r="CF69" s="651">
        <v>11</v>
      </c>
    </row>
    <row customHeight="1" ht="11.549999999999999">
      <c r="D70" s="800"/>
      <c r="E70" s="800"/>
      <c r="F70" s="800"/>
      <c r="G70" s="801"/>
      <c r="CF70" s="651">
        <v>11</v>
      </c>
    </row>
    <row customHeight="1" ht="11.549999999999999">
      <c r="CF71" s="651">
        <v>11</v>
      </c>
    </row>
    <row customHeight="1" ht="11.549999999999999">
      <c r="D72" s="802"/>
      <c r="E72" s="2543"/>
      <c r="F72" s="2543"/>
      <c r="G72" s="2543"/>
      <c r="H72" s="2543"/>
      <c r="I72" s="2543"/>
      <c r="J72" s="2543"/>
      <c r="K72" s="2543"/>
      <c r="L72" s="2543"/>
      <c r="M72" s="2543"/>
      <c r="N72" s="2543"/>
      <c r="O72" s="2543"/>
      <c r="P72" s="2543"/>
      <c r="Q72" s="2543"/>
      <c r="R72" s="2543"/>
      <c r="CF72" s="651">
        <v>11</v>
      </c>
    </row>
    <row customHeight="1" ht="11.549999999999999">
      <c r="F73" s="904"/>
      <c r="G73" s="904"/>
      <c r="CF73" s="651">
        <v>11</v>
      </c>
    </row>
    <row customHeight="1" ht="11.25" hidden="1">
      <c r="A74" s="756" t="s">
        <v>83</v>
      </c>
      <c r="B74" s="595">
        <v>0</v>
      </c>
      <c r="C74" s="651">
        <v>3</v>
      </c>
      <c r="D74" s="651">
        <v>0</v>
      </c>
      <c r="E74" s="651">
        <v>7</v>
      </c>
      <c r="F74" s="651">
        <v>7</v>
      </c>
      <c r="G74" s="651">
        <v>29</v>
      </c>
      <c r="H74" s="651">
        <v>3</v>
      </c>
      <c r="I74" s="651">
        <v>5</v>
      </c>
      <c r="J74" s="651">
        <v>24</v>
      </c>
      <c r="K74" s="651">
        <v>24</v>
      </c>
      <c r="L74" s="651">
        <v>3</v>
      </c>
      <c r="M74" s="651">
        <v>6</v>
      </c>
      <c r="N74" s="651">
        <v>25</v>
      </c>
      <c r="O74" s="651">
        <v>18</v>
      </c>
      <c r="P74" s="651">
        <v>18</v>
      </c>
      <c r="Q74" s="651">
        <v>18</v>
      </c>
      <c r="R74" s="651">
        <v>18</v>
      </c>
      <c r="S74" s="651">
        <v>93</v>
      </c>
      <c r="T74" s="651">
        <v>10</v>
      </c>
      <c r="U74" s="757">
        <v>10</v>
      </c>
      <c r="V74" s="757">
        <v>11</v>
      </c>
      <c r="W74" s="758">
        <v>10</v>
      </c>
      <c r="X74" s="595">
        <v>10</v>
      </c>
      <c r="Y74" s="595">
        <v>10</v>
      </c>
      <c r="Z74" s="595">
        <v>10</v>
      </c>
      <c r="AA74" s="595">
        <v>10</v>
      </c>
      <c r="AB74" s="651">
        <v>8</v>
      </c>
      <c r="AC74" s="651">
        <v>8</v>
      </c>
      <c r="AD74" s="651">
        <v>8</v>
      </c>
      <c r="AE74" s="651">
        <v>8</v>
      </c>
      <c r="AF74" s="651">
        <v>8</v>
      </c>
      <c r="AG74" s="651">
        <v>8</v>
      </c>
      <c r="AH74" s="651">
        <v>8</v>
      </c>
      <c r="AI74" s="651">
        <v>8</v>
      </c>
      <c r="AJ74" s="651">
        <v>8</v>
      </c>
      <c r="AK74" s="651">
        <v>8</v>
      </c>
      <c r="AL74" s="651">
        <v>8</v>
      </c>
      <c r="AM74" s="651">
        <v>8</v>
      </c>
      <c r="AN74" s="651">
        <v>8</v>
      </c>
      <c r="AO74" s="651">
        <v>8</v>
      </c>
      <c r="AP74" s="651">
        <v>8</v>
      </c>
      <c r="AQ74" s="651">
        <v>8</v>
      </c>
      <c r="AR74" s="651">
        <v>8</v>
      </c>
      <c r="AS74" s="651">
        <v>8</v>
      </c>
      <c r="AT74" s="651">
        <v>8</v>
      </c>
      <c r="AU74" s="651">
        <v>8</v>
      </c>
      <c r="AV74" s="651">
        <v>8</v>
      </c>
      <c r="AW74" s="651">
        <v>8</v>
      </c>
      <c r="AX74" s="651">
        <v>8</v>
      </c>
      <c r="AY74" s="651">
        <v>8</v>
      </c>
      <c r="AZ74" s="651">
        <v>8</v>
      </c>
      <c r="BA74" s="651">
        <v>8</v>
      </c>
      <c r="BB74" s="651">
        <v>8</v>
      </c>
      <c r="BC74" s="651">
        <v>8</v>
      </c>
      <c r="BD74" s="651">
        <v>8</v>
      </c>
      <c r="BE74" s="651">
        <v>8</v>
      </c>
      <c r="BF74" s="651">
        <v>8</v>
      </c>
      <c r="BG74" s="651">
        <v>8</v>
      </c>
      <c r="BH74" s="651">
        <v>8</v>
      </c>
      <c r="BI74" s="651">
        <v>8</v>
      </c>
      <c r="BJ74" s="651">
        <v>8</v>
      </c>
      <c r="BK74" s="651">
        <v>8</v>
      </c>
      <c r="BL74" s="651">
        <v>8</v>
      </c>
      <c r="BM74" s="651">
        <v>8</v>
      </c>
      <c r="BN74" s="651">
        <v>8</v>
      </c>
      <c r="BO74" s="651">
        <v>8</v>
      </c>
      <c r="BP74" s="651">
        <v>8</v>
      </c>
      <c r="BQ74" s="651">
        <v>8</v>
      </c>
      <c r="BR74" s="651">
        <v>8</v>
      </c>
      <c r="BS74" s="651">
        <v>8</v>
      </c>
      <c r="BT74" s="651">
        <v>8</v>
      </c>
      <c r="BU74" s="651">
        <v>8</v>
      </c>
      <c r="BV74" s="651">
        <v>8</v>
      </c>
      <c r="BW74" s="651">
        <v>8</v>
      </c>
      <c r="BX74" s="651">
        <v>8</v>
      </c>
      <c r="BY74" s="651">
        <v>8</v>
      </c>
      <c r="BZ74" s="651">
        <v>8</v>
      </c>
      <c r="CA74" s="651">
        <v>8</v>
      </c>
      <c r="CB74" s="651">
        <v>8</v>
      </c>
      <c r="CC74" s="651">
        <v>8</v>
      </c>
      <c r="CD74" s="651">
        <v>8</v>
      </c>
      <c r="CE74" s="651">
        <v>8</v>
      </c>
      <c r="CF74" s="651">
        <v>11</v>
      </c>
    </row>
  </sheetData>
  <sheetProtection formatColumns="0" formatRows="0" autoFilter="0" sort="0" insertRows="0" insertColumns="1" deleteRows="0" deleteColumns="0"/>
  <mergeCells count="87">
    <mergeCell ref="E5:K5"/>
    <mergeCell ref="E6:K6"/>
    <mergeCell ref="E9:R9"/>
    <mergeCell ref="S9:S10"/>
    <mergeCell ref="E10:F10"/>
    <mergeCell ref="H10:I10"/>
    <mergeCell ref="L10:M10"/>
    <mergeCell ref="D14:D22"/>
    <mergeCell ref="H14:R14"/>
    <mergeCell ref="H15:R15"/>
    <mergeCell ref="H16:R16"/>
    <mergeCell ref="E72:R72"/>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15562F-1FAC-DC5C-527B-0.4008B8CB}" mc:Ignorable="x14ac xr xr2 xr3">
  <sheetPr>
    <tabColor theme="9" tint="-0.25"/>
  </sheetPr>
  <dimension ref="A1:AP204"/>
  <sheetViews>
    <sheetView topLeftCell="A1" showGridLines="0" zoomScale="90" workbookViewId="0">
      <selection activeCell="R9" sqref="R9"/>
    </sheetView>
  </sheetViews>
  <sheetFormatPr defaultColWidth="9.140625" customHeight="1" defaultRowHeight="11.25"/>
  <cols>
    <col min="1" max="5" style="6697" width="10.7109375" hidden="1" customWidth="1"/>
    <col min="6" max="6" style="7180" width="16.8515625" hidden="1" customWidth="1"/>
    <col min="7" max="7" style="6720" width="5.57421875" hidden="1" customWidth="1"/>
    <col min="8" max="8" style="7235" width="3.00390625" customWidth="1"/>
    <col min="9" max="9" style="7235" width="7.00390625" customWidth="1"/>
    <col min="10" max="10" style="7235" width="56.00390625" customWidth="1"/>
    <col min="11" max="11" style="7235" width="10.00390625" customWidth="1"/>
    <col min="12" max="12" style="7235" width="40.57421875" hidden="1" customWidth="1"/>
    <col min="13" max="13" style="7235" width="40.7109375" customWidth="1"/>
    <col min="14" max="18" style="7235" width="40.57421875" customWidth="1"/>
    <col min="19" max="19" style="7180" width="9.7109375" hidden="1" customWidth="1"/>
    <col min="20" max="20" style="7235" width="102.00390625" customWidth="1"/>
    <col min="21" max="21" style="7180" width="9.00390625" customWidth="1"/>
    <col min="22" max="22" style="6720" width="5.00390625" customWidth="1"/>
    <col min="23" max="23" style="6720" width="3.00390625" customWidth="1"/>
    <col min="24" max="27" style="7180" width="3.00390625" customWidth="1"/>
    <col min="28" max="28" style="6720" width="10.00390625" customWidth="1"/>
    <col min="29" max="29" style="7180" width="34.00390625" customWidth="1"/>
    <col min="30" max="30" style="7180" width="9.00390625" customWidth="1"/>
    <col min="31" max="31" style="6698" width="8.00390625" customWidth="1"/>
    <col min="32" max="36" style="7180" width="8.00390625" customWidth="1"/>
    <col min="37" max="41" style="7486" width="8.00390625" customWidth="1"/>
    <col min="42" max="42" style="7235" width="5.421875" hidden="1" customWidth="1"/>
  </cols>
  <sheetData>
    <row s="7180" customFormat="1" customHeight="1" ht="33.75" hidden="1">
      <c r="A1" s="1133"/>
      <c r="B1" s="1133"/>
      <c r="C1" s="1133"/>
      <c r="D1" s="1133"/>
      <c r="E1" s="1133"/>
      <c r="G1" s="1782"/>
      <c r="H1" s="1024"/>
      <c r="L1" s="1512">
        <v>4</v>
      </c>
      <c r="M1" s="1512">
        <v>4</v>
      </c>
      <c r="N1" s="7180">
        <v>4</v>
      </c>
      <c r="O1" s="7180">
        <v>4</v>
      </c>
      <c r="P1" s="7180">
        <v>4</v>
      </c>
      <c r="Q1" s="7180">
        <v>4</v>
      </c>
      <c r="R1" s="7180">
        <v>4</v>
      </c>
      <c r="V1" s="1782"/>
      <c r="W1" s="1782"/>
      <c r="AB1" s="1782"/>
      <c r="AP1" s="1512" t="s">
        <v>14</v>
      </c>
    </row>
    <row s="7180" customFormat="1" customHeight="1" ht="78.75" hidden="1">
      <c r="A2" s="1133"/>
      <c r="B2" s="2196" t="s">
        <v>659</v>
      </c>
      <c r="C2" s="2196" t="s">
        <v>660</v>
      </c>
      <c r="D2" s="2195" t="s">
        <v>661</v>
      </c>
      <c r="E2" s="2199">
        <f>RIGHT(I2,LEN(I2)-SEARCH("#",SUBSTITUTE(I2,".","#",LEN(I2)-LEN(SUBSTITUTE(I2,".","")))))</f>
      </c>
      <c r="F2" s="2201">
        <f>J2</f>
        <v>0</v>
      </c>
      <c r="G2" s="1782"/>
      <c r="H2" s="2202"/>
      <c r="I2" s="2192"/>
      <c r="J2" s="686"/>
      <c r="K2" s="2162" t="s">
        <v>578</v>
      </c>
      <c r="L2" s="897"/>
      <c r="M2" s="897"/>
      <c r="N2" s="6588"/>
      <c r="O2" s="6588"/>
      <c r="P2" s="6588"/>
      <c r="Q2" s="6588"/>
      <c r="R2" s="6588"/>
      <c r="S2" s="689"/>
      <c r="T2" s="1671" t="s">
        <v>579</v>
      </c>
      <c r="U2" s="689"/>
      <c r="V2" s="1782"/>
      <c r="W2" s="1782"/>
      <c r="AB2" s="1782"/>
      <c r="AE2" s="690"/>
      <c r="AK2" s="1778"/>
      <c r="AL2" s="1778"/>
      <c r="AM2" s="1778"/>
      <c r="AN2" s="1778"/>
      <c r="AO2" s="1778"/>
      <c r="AP2" s="1512">
        <v>0</v>
      </c>
    </row>
    <row customHeight="1" ht="11.25" hidden="1">
      <c r="E3" s="2194" t="s">
        <v>662</v>
      </c>
      <c r="L3" s="1777">
        <f>0</f>
        <v>0</v>
      </c>
      <c r="M3" s="1777">
        <v>1</v>
      </c>
      <c r="N3" s="7235">
        <f>0</f>
        <v>0</v>
      </c>
      <c r="O3" s="7235">
        <f>0</f>
        <v>0</v>
      </c>
      <c r="P3" s="7235">
        <f>0</f>
        <v>0</v>
      </c>
      <c r="Q3" s="7235">
        <f>0</f>
        <v>0</v>
      </c>
      <c r="R3" s="7235">
        <f>0</f>
        <v>0</v>
      </c>
      <c r="AP3" s="1777">
        <v>0</v>
      </c>
    </row>
    <row s="7486" customFormat="1" customHeight="1" ht="11.25" hidden="1">
      <c r="A4" s="1133"/>
      <c r="B4" s="1133"/>
      <c r="C4" s="1133"/>
      <c r="E4" s="1133"/>
      <c r="F4" s="1512"/>
      <c r="G4" s="1782"/>
      <c r="H4" s="766"/>
      <c r="N4" s="7486"/>
      <c r="O4" s="7486"/>
      <c r="P4" s="7486"/>
      <c r="Q4" s="7486"/>
      <c r="R4" s="7486"/>
      <c r="S4" s="1512"/>
      <c r="T4" s="1778">
        <v>4</v>
      </c>
      <c r="U4" s="1512"/>
      <c r="V4" s="1782"/>
      <c r="W4" s="1782"/>
      <c r="X4" s="1512"/>
      <c r="Y4" s="1512"/>
      <c r="Z4" s="1512"/>
      <c r="AA4" s="1512"/>
      <c r="AB4" s="1782"/>
      <c r="AC4" s="1512"/>
      <c r="AD4" s="1512"/>
      <c r="AE4" s="690"/>
      <c r="AF4" s="1512"/>
      <c r="AG4" s="1512"/>
      <c r="AH4" s="1512"/>
      <c r="AI4" s="1512"/>
      <c r="AJ4" s="1512"/>
      <c r="AP4" s="1778">
        <v>0</v>
      </c>
    </row>
    <row customHeight="1" ht="11.549999999999999">
      <c r="N5" s="7235"/>
      <c r="O5" s="7235"/>
      <c r="P5" s="7235"/>
      <c r="Q5" s="7235"/>
      <c r="R5" s="7235"/>
      <c r="AP5" s="1777">
        <v>11</v>
      </c>
    </row>
    <row customHeight="1" ht="57.75">
      <c r="I6" s="2466" t="s">
        <v>663</v>
      </c>
      <c r="J6" s="2466"/>
      <c r="K6" s="2466"/>
      <c r="L6" s="2466"/>
      <c r="M6" s="2466"/>
      <c r="N6" s="6363"/>
      <c r="O6" s="6363"/>
      <c r="P6" s="6363"/>
      <c r="Q6" s="6363"/>
      <c r="R6" s="6363"/>
      <c r="T6" s="702"/>
      <c r="AP6" s="1777">
        <v>55</v>
      </c>
    </row>
    <row customHeight="1" ht="25.2">
      <c r="I7" s="2408" t="str">
        <f>IF(org=0,"Не определено",org)</f>
        <v>ПАО "ТГК-14"</v>
      </c>
      <c r="J7" s="2408"/>
      <c r="K7" s="2408"/>
      <c r="L7" s="2408"/>
      <c r="M7" s="2408"/>
      <c r="N7" s="6204"/>
      <c r="O7" s="6204"/>
      <c r="P7" s="6204"/>
      <c r="Q7" s="6204"/>
      <c r="R7" s="6204"/>
      <c r="AP7" s="1777">
        <v>24</v>
      </c>
    </row>
    <row customHeight="1" ht="11.549999999999999">
      <c r="I8" s="1281"/>
      <c r="J8" s="1281"/>
      <c r="K8" s="1281"/>
      <c r="L8" s="1281"/>
      <c r="M8" s="1281"/>
      <c r="N8" s="6991" t="s">
        <v>22</v>
      </c>
      <c r="O8" s="6991" t="s">
        <v>22</v>
      </c>
      <c r="P8" s="6991" t="s">
        <v>22</v>
      </c>
      <c r="Q8" s="6991" t="s">
        <v>22</v>
      </c>
      <c r="R8" s="6991" t="s">
        <v>22</v>
      </c>
      <c r="AP8" s="1777">
        <v>11</v>
      </c>
    </row>
    <row s="6720" customFormat="1" customHeight="1" ht="30" hidden="1">
      <c r="A9" s="1313"/>
      <c r="B9" s="1313"/>
      <c r="C9" s="1313"/>
      <c r="E9" s="1313"/>
      <c r="H9" s="1788"/>
      <c r="L9" s="1035"/>
      <c r="M9" s="1035" t="s">
        <v>129</v>
      </c>
      <c r="N9" s="6601" t="s">
        <v>137</v>
      </c>
      <c r="O9" s="6601" t="s">
        <v>139</v>
      </c>
      <c r="P9" s="6601" t="s">
        <v>143</v>
      </c>
      <c r="Q9" s="6601" t="s">
        <v>134</v>
      </c>
      <c r="R9" s="6601" t="s">
        <v>141</v>
      </c>
      <c r="AP9" s="1782">
        <v>1</v>
      </c>
    </row>
    <row customHeight="1" ht="11.549999999999999">
      <c r="E10" s="2193" t="s">
        <v>664</v>
      </c>
      <c r="I10" s="857"/>
      <c r="J10" s="2526" t="s">
        <v>117</v>
      </c>
      <c r="K10" s="2527"/>
      <c r="L10" s="2172" t="str">
        <f>IF(L9="","",INDEX(DIFFERENTIATION_UNMERGE_VD,MATCH(L9,DIFFERENTIATION_ID_DIFF,0)))</f>
        <v/>
      </c>
      <c r="M10" s="2172"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10" s="6869" t="str">
        <f>IF(N9="","",INDEX(DIFFERENTIATION_UNMERGE_VD,MATCH(N9,DIFFERENTIATION_ID_DIFF,0)))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O10" s="6869" t="str">
        <f>IF(O9="","",INDEX(DIFFERENTIATION_UNMERGE_VD,MATCH(O9,DIFFERENTIATION_ID_DIFF,0)))</f>
        <v>Производство. Теплоноситель</v>
      </c>
      <c r="P10" s="6869" t="str">
        <f>IF(P9="","",INDEX(DIFFERENTIATION_UNMERGE_VD,MATCH(P9,DIFFERENTIATION_ID_DIFF,0)))</f>
        <v>Производство тепловой энергии. Некомбинированная выработка; Передача. Тепловая энергия; Сбыт. Тепловая энергия</v>
      </c>
      <c r="Q10" s="6869" t="str">
        <f>IF(Q9="","",INDEX(DIFFERENTIATION_UNMERGE_VD,MATCH(Q9,DIFFERENTIATION_ID_DIFF,0)))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10" s="6869" t="str">
        <f>IF(R9="","",INDEX(DIFFERENTIATION_UNMERGE_VD,MATCH(R9,DIFFERENTIATION_ID_DIFF,0)))</f>
        <v>Производство. Теплоноситель</v>
      </c>
      <c r="T10" s="2286" t="s">
        <v>323</v>
      </c>
      <c r="AP10" s="1777">
        <v>11</v>
      </c>
    </row>
    <row customHeight="1" ht="11.549999999999999">
      <c r="E11" s="2193" t="s">
        <v>665</v>
      </c>
      <c r="I11" s="857"/>
      <c r="J11" s="2526" t="s">
        <v>586</v>
      </c>
      <c r="K11" s="2527"/>
      <c r="L11" s="2172" t="str">
        <f>IF(L9="","",INDEX(DIFFERENTIATION_UNMERGE_AREA,MATCH(L9,DIFFERENTIATION_ID_DIFF,0)))</f>
        <v/>
      </c>
      <c r="M11" s="2172" t="str">
        <f>IF(M9="","",INDEX(DIFFERENTIATION_UNMERGE_AREA,MATCH(M9,DIFFERENTIATION_ID_DIFF,0)))</f>
        <v>Территория 1</v>
      </c>
      <c r="N11" s="6869" t="str">
        <f>IF(N9="","",INDEX(DIFFERENTIATION_UNMERGE_AREA,MATCH(N9,DIFFERENTIATION_ID_DIFF,0)))</f>
        <v>Территория 3</v>
      </c>
      <c r="O11" s="6869" t="str">
        <f>IF(O9="","",INDEX(DIFFERENTIATION_UNMERGE_AREA,MATCH(O9,DIFFERENTIATION_ID_DIFF,0)))</f>
        <v>Территория 1</v>
      </c>
      <c r="P11" s="6869" t="str">
        <f>IF(P9="","",INDEX(DIFFERENTIATION_UNMERGE_AREA,MATCH(P9,DIFFERENTIATION_ID_DIFF,0)))</f>
        <v>Территория 3</v>
      </c>
      <c r="Q11" s="6869" t="str">
        <f>IF(Q9="","",INDEX(DIFFERENTIATION_UNMERGE_AREA,MATCH(Q9,DIFFERENTIATION_ID_DIFF,0)))</f>
        <v>Территория 2</v>
      </c>
      <c r="R11" s="6869" t="str">
        <f>IF(R9="","",INDEX(DIFFERENTIATION_UNMERGE_AREA,MATCH(R9,DIFFERENTIATION_ID_DIFF,0)))</f>
        <v>Территория 2</v>
      </c>
      <c r="T11" s="2286"/>
      <c r="AP11" s="1777">
        <v>11</v>
      </c>
    </row>
    <row customHeight="1" ht="11.549999999999999">
      <c r="E12" s="2193" t="s">
        <v>666</v>
      </c>
      <c r="I12" s="1808"/>
      <c r="J12" s="2526" t="s">
        <v>587</v>
      </c>
      <c r="K12" s="2527"/>
      <c r="L12" s="2172" t="str">
        <f>IF(L9="","",INDEX(DIFFERENTIATION_UNMERGE_SYSTEM,MATCH(L9,DIFFERENTIATION_ID_DIFF,0)))</f>
        <v/>
      </c>
      <c r="M12" s="2172" t="str">
        <f>IF(M9="","",INDEX(DIFFERENTIATION_UNMERGE_SYSTEM,MATCH(M9,DIFFERENTIATION_ID_DIFF,0)))</f>
        <v>Шерловогорская ТЭЦ</v>
      </c>
      <c r="N12" s="6869" t="str">
        <f>IF(N9="","",INDEX(DIFFERENTIATION_UNMERGE_SYSTEM,MATCH(N9,DIFFERENTIATION_ID_DIFF,0)))</f>
        <v>ЦТС г. Чита (ЧТЭЦ-1, ЧТЭЦ-2)</v>
      </c>
      <c r="O12" s="6869" t="str">
        <f>IF(O9="","",INDEX(DIFFERENTIATION_UNMERGE_SYSTEM,MATCH(O9,DIFFERENTIATION_ID_DIFF,0)))</f>
        <v>Шерловогорская ТЭЦ</v>
      </c>
      <c r="P12" s="6869" t="str">
        <f>IF(P9="","",INDEX(DIFFERENTIATION_UNMERGE_SYSTEM,MATCH(P9,DIFFERENTIATION_ID_DIFF,0)))</f>
        <v>Котельные г. Чита</v>
      </c>
      <c r="Q12" s="6869" t="str">
        <f>IF(Q9="","",INDEX(DIFFERENTIATION_UNMERGE_SYSTEM,MATCH(Q9,DIFFERENTIATION_ID_DIFF,0)))</f>
        <v>Приаргунская ТЭЦ</v>
      </c>
      <c r="R12" s="6869" t="str">
        <f>IF(R9="","",INDEX(DIFFERENTIATION_UNMERGE_SYSTEM,MATCH(R9,DIFFERENTIATION_ID_DIFF,0)))</f>
        <v>Приаргунская ТЭЦ</v>
      </c>
      <c r="T12" s="2286"/>
      <c r="AP12" s="1777">
        <v>11</v>
      </c>
    </row>
    <row customHeight="1" ht="11.549999999999999">
      <c r="E13" s="2193" t="s">
        <v>667</v>
      </c>
      <c r="F13" s="2193" t="s">
        <v>668</v>
      </c>
      <c r="I13" s="2528" t="s">
        <v>322</v>
      </c>
      <c r="J13" s="2529"/>
      <c r="K13" s="2529"/>
      <c r="L13" s="2170"/>
      <c r="M13" s="2210"/>
      <c r="N13" s="6942"/>
      <c r="O13" s="6942"/>
      <c r="P13" s="6942"/>
      <c r="Q13" s="6942"/>
      <c r="R13" s="6942"/>
      <c r="T13" s="2286"/>
      <c r="AP13" s="1777">
        <v>11</v>
      </c>
    </row>
    <row customHeight="1" ht="24">
      <c r="I14" s="2163" t="s">
        <v>89</v>
      </c>
      <c r="J14" s="2163" t="s">
        <v>324</v>
      </c>
      <c r="K14" s="2163" t="s">
        <v>588</v>
      </c>
      <c r="L14" s="2203" t="s">
        <v>325</v>
      </c>
      <c r="M14" s="2204" t="s">
        <v>325</v>
      </c>
      <c r="N14" s="7452" t="s">
        <v>325</v>
      </c>
      <c r="O14" s="7452" t="s">
        <v>325</v>
      </c>
      <c r="P14" s="7452" t="s">
        <v>325</v>
      </c>
      <c r="Q14" s="7452" t="s">
        <v>325</v>
      </c>
      <c r="R14" s="7452" t="s">
        <v>325</v>
      </c>
      <c r="T14" s="2286"/>
      <c r="AP14" s="1777">
        <v>23</v>
      </c>
    </row>
    <row customHeight="1" ht="24">
      <c r="A15" s="2197"/>
      <c r="B15" s="2196" t="s">
        <v>669</v>
      </c>
      <c r="C15" s="2196" t="s">
        <v>670</v>
      </c>
      <c r="D15" s="2195" t="s">
        <v>671</v>
      </c>
      <c r="E15" s="2199" t="s">
        <v>672</v>
      </c>
      <c r="F15" s="2199" t="s">
        <v>672</v>
      </c>
      <c r="G15" s="1782" t="s">
        <v>616</v>
      </c>
      <c r="H15" s="2164"/>
      <c r="I15" s="1776">
        <v>1</v>
      </c>
      <c r="J15" s="2165" t="s">
        <v>673</v>
      </c>
      <c r="K15" s="2163" t="s">
        <v>328</v>
      </c>
      <c r="L15" s="8019"/>
      <c r="M15" s="7998"/>
      <c r="N15" s="8019"/>
      <c r="O15" s="8019"/>
      <c r="P15" s="8019"/>
      <c r="Q15" s="8019"/>
      <c r="R15" s="8019"/>
      <c r="S15" s="689" t="s">
        <v>674</v>
      </c>
      <c r="T15" s="1671" t="s">
        <v>675</v>
      </c>
      <c r="U15" s="689" t="s">
        <v>674</v>
      </c>
      <c r="AP15" s="1777">
        <v>23</v>
      </c>
    </row>
    <row customHeight="1" ht="35.699999999999996">
      <c r="A16" s="2197"/>
      <c r="B16" s="2196" t="s">
        <v>676</v>
      </c>
      <c r="C16" s="2196" t="s">
        <v>677</v>
      </c>
      <c r="D16" s="2195" t="s">
        <v>661</v>
      </c>
      <c r="E16" s="2199" t="s">
        <v>672</v>
      </c>
      <c r="F16" s="2199" t="s">
        <v>672</v>
      </c>
      <c r="H16" s="2164"/>
      <c r="I16" s="1775">
        <v>2</v>
      </c>
      <c r="J16" s="2206" t="s">
        <v>678</v>
      </c>
      <c r="K16" s="2205" t="s">
        <v>578</v>
      </c>
      <c r="L16" s="2211"/>
      <c r="M16" s="1821"/>
      <c r="N16" s="6790"/>
      <c r="O16" s="6790"/>
      <c r="P16" s="6790"/>
      <c r="Q16" s="6790"/>
      <c r="R16" s="6790"/>
      <c r="S16" s="689" t="s">
        <v>674</v>
      </c>
      <c r="T16" s="1671" t="s">
        <v>679</v>
      </c>
      <c r="U16" s="689" t="s">
        <v>674</v>
      </c>
      <c r="AP16" s="1777">
        <v>34</v>
      </c>
    </row>
    <row s="6720" customFormat="1" customHeight="1" ht="17.25" hidden="1">
      <c r="A17" s="1313"/>
      <c r="B17" s="1313"/>
      <c r="C17" s="1313"/>
      <c r="D17" s="1313"/>
      <c r="E17" s="1313"/>
      <c r="H17" s="1470"/>
      <c r="I17" s="1159" t="s">
        <v>680</v>
      </c>
      <c r="J17" s="1137"/>
      <c r="K17" s="1159"/>
      <c r="L17" s="1138"/>
      <c r="M17" s="1138"/>
      <c r="N17" s="6646"/>
      <c r="O17" s="6646"/>
      <c r="P17" s="6646"/>
      <c r="Q17" s="6646"/>
      <c r="R17" s="6646"/>
      <c r="T17" s="1531"/>
      <c r="AP17" s="1782">
        <v>1</v>
      </c>
    </row>
    <row s="7180" customFormat="1" customHeight="1" ht="24">
      <c r="A18" s="1133"/>
      <c r="B18" s="1133"/>
      <c r="C18" s="1133"/>
      <c r="D18" s="1133"/>
      <c r="E18" s="1133"/>
      <c r="G18" s="1782"/>
      <c r="H18" s="1779"/>
      <c r="I18" s="716"/>
      <c r="J18" s="717" t="s">
        <v>624</v>
      </c>
      <c r="K18" s="718"/>
      <c r="L18" s="2213"/>
      <c r="M18" s="719"/>
      <c r="N18" s="8020"/>
      <c r="O18" s="8021"/>
      <c r="P18" s="8022"/>
      <c r="Q18" s="8023"/>
      <c r="R18" s="8024"/>
      <c r="S18" s="689"/>
      <c r="T18" s="1671" t="s">
        <v>625</v>
      </c>
      <c r="U18" s="689"/>
      <c r="V18" s="1782"/>
      <c r="W18" s="1782"/>
      <c r="AB18" s="1782"/>
      <c r="AE18" s="690"/>
      <c r="AK18" s="1778"/>
      <c r="AL18" s="1778"/>
      <c r="AM18" s="1778"/>
      <c r="AN18" s="1778"/>
      <c r="AO18" s="1778"/>
      <c r="AP18" s="1512">
        <v>23</v>
      </c>
    </row>
    <row customHeight="1" ht="19.95">
      <c r="A19" s="2197"/>
      <c r="B19" s="2196" t="s">
        <v>681</v>
      </c>
      <c r="C19" s="2196" t="s">
        <v>682</v>
      </c>
      <c r="D19" s="2195" t="s">
        <v>661</v>
      </c>
      <c r="E19" s="2199" t="s">
        <v>672</v>
      </c>
      <c r="F19" s="2199" t="s">
        <v>672</v>
      </c>
      <c r="H19" s="2164"/>
      <c r="I19" s="1810">
        <v>3</v>
      </c>
      <c r="J19" s="2165" t="s">
        <v>682</v>
      </c>
      <c r="K19" s="2161" t="s">
        <v>578</v>
      </c>
      <c r="L19" s="873"/>
      <c r="M19" s="703"/>
      <c r="N19" s="6795"/>
      <c r="O19" s="6795"/>
      <c r="P19" s="6795"/>
      <c r="Q19" s="6795"/>
      <c r="R19" s="6795"/>
      <c r="S19" s="689"/>
      <c r="T19" s="1671" t="s">
        <v>683</v>
      </c>
      <c r="U19" s="689"/>
      <c r="AP19" s="1777">
        <v>19</v>
      </c>
    </row>
    <row customHeight="1" ht="77.7">
      <c r="A20" s="2197"/>
      <c r="B20" s="2196" t="s">
        <v>684</v>
      </c>
      <c r="C20" s="2196" t="s">
        <v>685</v>
      </c>
      <c r="D20" s="2195" t="s">
        <v>661</v>
      </c>
      <c r="E20" s="2199" t="s">
        <v>672</v>
      </c>
      <c r="F20" s="2199" t="s">
        <v>672</v>
      </c>
      <c r="H20" s="2164"/>
      <c r="I20" s="1810">
        <v>4</v>
      </c>
      <c r="J20" s="2165" t="s">
        <v>686</v>
      </c>
      <c r="K20" s="2161" t="s">
        <v>621</v>
      </c>
      <c r="L20" s="873"/>
      <c r="M20" s="703"/>
      <c r="N20" s="6795"/>
      <c r="O20" s="6795"/>
      <c r="P20" s="6795"/>
      <c r="Q20" s="6795"/>
      <c r="R20" s="6795"/>
      <c r="S20" s="689"/>
      <c r="T20" s="1671"/>
      <c r="U20" s="689"/>
      <c r="AP20" s="1777">
        <v>74</v>
      </c>
    </row>
    <row customHeight="1" ht="35.699999999999996">
      <c r="A21" s="2197"/>
      <c r="B21" s="2196" t="s">
        <v>687</v>
      </c>
      <c r="C21" s="2196" t="s">
        <v>688</v>
      </c>
      <c r="D21" s="2195" t="s">
        <v>661</v>
      </c>
      <c r="E21" s="2199" t="s">
        <v>672</v>
      </c>
      <c r="F21" s="2199" t="s">
        <v>672</v>
      </c>
      <c r="H21" s="2164"/>
      <c r="I21" s="1810">
        <v>5</v>
      </c>
      <c r="J21" s="2165" t="s">
        <v>689</v>
      </c>
      <c r="K21" s="2161" t="s">
        <v>621</v>
      </c>
      <c r="L21" s="873"/>
      <c r="M21" s="703"/>
      <c r="N21" s="6795"/>
      <c r="O21" s="6795"/>
      <c r="P21" s="6795"/>
      <c r="Q21" s="6795"/>
      <c r="R21" s="6795"/>
      <c r="S21" s="689"/>
      <c r="T21" s="1671" t="s">
        <v>683</v>
      </c>
      <c r="U21" s="689"/>
      <c r="AP21" s="1777">
        <v>34</v>
      </c>
    </row>
    <row customHeight="1" ht="48.29999999999999">
      <c r="A22" s="2197"/>
      <c r="B22" s="2196" t="s">
        <v>690</v>
      </c>
      <c r="C22" s="2196" t="s">
        <v>691</v>
      </c>
      <c r="D22" s="2195" t="s">
        <v>661</v>
      </c>
      <c r="E22" s="2199" t="s">
        <v>672</v>
      </c>
      <c r="F22" s="2199" t="s">
        <v>672</v>
      </c>
      <c r="H22" s="2164"/>
      <c r="I22" s="1810">
        <v>6</v>
      </c>
      <c r="J22" s="2165" t="s">
        <v>692</v>
      </c>
      <c r="K22" s="2161" t="s">
        <v>621</v>
      </c>
      <c r="L22" s="873"/>
      <c r="M22" s="703"/>
      <c r="N22" s="6795"/>
      <c r="O22" s="6795"/>
      <c r="P22" s="6795"/>
      <c r="Q22" s="6795"/>
      <c r="R22" s="6795"/>
      <c r="S22" s="689"/>
      <c r="T22" s="1671" t="s">
        <v>693</v>
      </c>
      <c r="U22" s="689"/>
      <c r="AP22" s="1777">
        <v>46</v>
      </c>
    </row>
    <row customHeight="1" ht="19.95">
      <c r="A23" s="2197"/>
      <c r="B23" s="2196" t="s">
        <v>694</v>
      </c>
      <c r="C23" s="2196" t="s">
        <v>695</v>
      </c>
      <c r="D23" s="2195" t="s">
        <v>661</v>
      </c>
      <c r="E23" s="2199" t="s">
        <v>672</v>
      </c>
      <c r="F23" s="2199" t="s">
        <v>672</v>
      </c>
      <c r="H23" s="2164"/>
      <c r="I23" s="1810" t="s">
        <v>696</v>
      </c>
      <c r="J23" s="1670" t="s">
        <v>697</v>
      </c>
      <c r="K23" s="2161" t="s">
        <v>621</v>
      </c>
      <c r="L23" s="873"/>
      <c r="M23" s="703"/>
      <c r="N23" s="6795"/>
      <c r="O23" s="6795"/>
      <c r="P23" s="6795"/>
      <c r="Q23" s="6795"/>
      <c r="R23" s="6795"/>
      <c r="S23" s="689"/>
      <c r="T23" s="1671" t="s">
        <v>683</v>
      </c>
      <c r="U23" s="689"/>
      <c r="AP23" s="1777">
        <v>19</v>
      </c>
    </row>
    <row customHeight="1" ht="19.95">
      <c r="A24" s="2197"/>
      <c r="B24" s="2196" t="s">
        <v>698</v>
      </c>
      <c r="C24" s="2196" t="s">
        <v>699</v>
      </c>
      <c r="D24" s="2195" t="s">
        <v>661</v>
      </c>
      <c r="E24" s="2199" t="s">
        <v>672</v>
      </c>
      <c r="F24" s="2199" t="s">
        <v>672</v>
      </c>
      <c r="H24" s="2164"/>
      <c r="I24" s="1810" t="s">
        <v>700</v>
      </c>
      <c r="J24" s="1670" t="s">
        <v>701</v>
      </c>
      <c r="K24" s="2161" t="s">
        <v>621</v>
      </c>
      <c r="L24" s="873"/>
      <c r="M24" s="703"/>
      <c r="N24" s="6795"/>
      <c r="O24" s="6795"/>
      <c r="P24" s="6795"/>
      <c r="Q24" s="6795"/>
      <c r="R24" s="6795"/>
      <c r="S24" s="689"/>
      <c r="T24" s="1671"/>
      <c r="U24" s="689"/>
      <c r="AP24" s="1777">
        <v>19</v>
      </c>
    </row>
    <row customHeight="1" ht="24">
      <c r="A25" s="2197"/>
      <c r="B25" s="2196" t="s">
        <v>702</v>
      </c>
      <c r="C25" s="2196" t="s">
        <v>703</v>
      </c>
      <c r="D25" s="2195" t="s">
        <v>661</v>
      </c>
      <c r="E25" s="2199" t="s">
        <v>672</v>
      </c>
      <c r="F25" s="2199" t="s">
        <v>672</v>
      </c>
      <c r="H25" s="2164"/>
      <c r="I25" s="1810" t="s">
        <v>704</v>
      </c>
      <c r="J25" s="1670" t="s">
        <v>705</v>
      </c>
      <c r="K25" s="2161" t="s">
        <v>621</v>
      </c>
      <c r="L25" s="873"/>
      <c r="M25" s="703"/>
      <c r="N25" s="6795"/>
      <c r="O25" s="6795"/>
      <c r="P25" s="6795"/>
      <c r="Q25" s="6795"/>
      <c r="R25" s="6795"/>
      <c r="S25" s="689"/>
      <c r="T25" s="1671"/>
      <c r="U25" s="689"/>
      <c r="AP25" s="1777">
        <v>23</v>
      </c>
    </row>
    <row customHeight="1" ht="24">
      <c r="A26" s="2197"/>
      <c r="B26" s="2196" t="s">
        <v>706</v>
      </c>
      <c r="C26" s="2196" t="s">
        <v>707</v>
      </c>
      <c r="D26" s="2195" t="s">
        <v>661</v>
      </c>
      <c r="E26" s="2199" t="s">
        <v>672</v>
      </c>
      <c r="F26" s="2199" t="s">
        <v>672</v>
      </c>
      <c r="H26" s="2164"/>
      <c r="I26" s="1810">
        <v>7</v>
      </c>
      <c r="J26" s="2165" t="s">
        <v>707</v>
      </c>
      <c r="K26" s="2161" t="s">
        <v>708</v>
      </c>
      <c r="L26" s="873"/>
      <c r="M26" s="703"/>
      <c r="N26" s="6795"/>
      <c r="O26" s="6795"/>
      <c r="P26" s="6795"/>
      <c r="Q26" s="6795"/>
      <c r="R26" s="6795"/>
      <c r="S26" s="689"/>
      <c r="T26" s="1671"/>
      <c r="U26" s="689"/>
      <c r="AP26" s="1777">
        <v>23</v>
      </c>
    </row>
    <row customHeight="1" ht="24">
      <c r="A27" s="2197"/>
      <c r="B27" s="2196" t="s">
        <v>709</v>
      </c>
      <c r="C27" s="2196" t="s">
        <v>710</v>
      </c>
      <c r="D27" s="2195" t="s">
        <v>661</v>
      </c>
      <c r="E27" s="2199" t="s">
        <v>672</v>
      </c>
      <c r="F27" s="2199" t="s">
        <v>672</v>
      </c>
      <c r="H27" s="2164"/>
      <c r="I27" s="1810">
        <v>8</v>
      </c>
      <c r="J27" s="2165" t="s">
        <v>710</v>
      </c>
      <c r="K27" s="2161" t="s">
        <v>626</v>
      </c>
      <c r="L27" s="873"/>
      <c r="M27" s="703"/>
      <c r="N27" s="6795"/>
      <c r="O27" s="6795"/>
      <c r="P27" s="6795"/>
      <c r="Q27" s="6795"/>
      <c r="R27" s="6795"/>
      <c r="S27" s="689"/>
      <c r="T27" s="1671"/>
      <c r="U27" s="689"/>
      <c r="AP27" s="1777">
        <v>23</v>
      </c>
    </row>
    <row customHeight="1" ht="35.699999999999996">
      <c r="A28" s="2197"/>
      <c r="B28" s="2196" t="s">
        <v>711</v>
      </c>
      <c r="C28" s="2196" t="s">
        <v>712</v>
      </c>
      <c r="D28" s="2195" t="s">
        <v>661</v>
      </c>
      <c r="E28" s="2199" t="s">
        <v>672</v>
      </c>
      <c r="F28" s="2199" t="s">
        <v>672</v>
      </c>
      <c r="H28" s="2164"/>
      <c r="I28" s="1820">
        <v>9</v>
      </c>
      <c r="J28" s="2165" t="s">
        <v>713</v>
      </c>
      <c r="K28" s="2161" t="s">
        <v>582</v>
      </c>
      <c r="L28" s="873"/>
      <c r="M28" s="703"/>
      <c r="N28" s="6795"/>
      <c r="O28" s="6795"/>
      <c r="P28" s="6795"/>
      <c r="Q28" s="6795"/>
      <c r="R28" s="6795"/>
      <c r="S28" s="689"/>
      <c r="T28" s="1671"/>
      <c r="U28" s="689"/>
      <c r="AP28" s="1777">
        <v>34</v>
      </c>
    </row>
    <row customHeight="1" ht="35.699999999999996">
      <c r="A29" s="2197"/>
      <c r="B29" s="2196" t="s">
        <v>714</v>
      </c>
      <c r="C29" s="2196" t="s">
        <v>715</v>
      </c>
      <c r="D29" s="2195" t="s">
        <v>661</v>
      </c>
      <c r="E29" s="2199" t="s">
        <v>672</v>
      </c>
      <c r="F29" s="2199" t="s">
        <v>672</v>
      </c>
      <c r="H29" s="2164"/>
      <c r="I29" s="1820">
        <v>10</v>
      </c>
      <c r="J29" s="2165" t="s">
        <v>716</v>
      </c>
      <c r="K29" s="2161" t="s">
        <v>582</v>
      </c>
      <c r="L29" s="873"/>
      <c r="M29" s="703"/>
      <c r="N29" s="6795"/>
      <c r="O29" s="6795"/>
      <c r="P29" s="6795"/>
      <c r="Q29" s="6795"/>
      <c r="R29" s="6795"/>
      <c r="S29" s="689"/>
      <c r="T29" s="1671"/>
      <c r="U29" s="689"/>
      <c r="AP29" s="1777">
        <v>34</v>
      </c>
    </row>
    <row customHeight="1" ht="24">
      <c r="A30" s="2197"/>
      <c r="B30" s="2196" t="s">
        <v>717</v>
      </c>
      <c r="C30" s="2196" t="s">
        <v>718</v>
      </c>
      <c r="D30" s="2195" t="s">
        <v>661</v>
      </c>
      <c r="E30" s="2199" t="s">
        <v>672</v>
      </c>
      <c r="F30" s="2199" t="s">
        <v>672</v>
      </c>
      <c r="H30" s="2164"/>
      <c r="I30" s="1820">
        <v>11</v>
      </c>
      <c r="J30" s="2165" t="s">
        <v>718</v>
      </c>
      <c r="K30" s="2161" t="s">
        <v>627</v>
      </c>
      <c r="L30" s="2212"/>
      <c r="M30" s="1767"/>
      <c r="N30" s="6797"/>
      <c r="O30" s="6797"/>
      <c r="P30" s="6797"/>
      <c r="Q30" s="6797"/>
      <c r="R30" s="6797"/>
      <c r="S30" s="689"/>
      <c r="T30" s="1671"/>
      <c r="U30" s="689"/>
      <c r="AP30" s="1777">
        <v>23</v>
      </c>
    </row>
    <row customHeight="1" ht="24">
      <c r="A31" s="2197"/>
      <c r="B31" s="2196" t="s">
        <v>719</v>
      </c>
      <c r="C31" s="2196" t="s">
        <v>720</v>
      </c>
      <c r="D31" s="2195" t="s">
        <v>661</v>
      </c>
      <c r="E31" s="2199" t="s">
        <v>672</v>
      </c>
      <c r="F31" s="2199" t="s">
        <v>672</v>
      </c>
      <c r="H31" s="2164"/>
      <c r="I31" s="1820">
        <v>12</v>
      </c>
      <c r="J31" s="2165" t="s">
        <v>720</v>
      </c>
      <c r="K31" s="2161" t="s">
        <v>627</v>
      </c>
      <c r="L31" s="2212"/>
      <c r="M31" s="1767"/>
      <c r="N31" s="6797"/>
      <c r="O31" s="6797"/>
      <c r="P31" s="6797"/>
      <c r="Q31" s="6797"/>
      <c r="R31" s="6797"/>
      <c r="S31" s="689"/>
      <c r="T31" s="1671"/>
      <c r="U31" s="689"/>
      <c r="AP31" s="1777">
        <v>23</v>
      </c>
    </row>
    <row customHeight="1" ht="48.29999999999999">
      <c r="A32" s="2197"/>
      <c r="B32" s="2196" t="s">
        <v>721</v>
      </c>
      <c r="C32" s="2196" t="s">
        <v>722</v>
      </c>
      <c r="D32" s="2195" t="s">
        <v>661</v>
      </c>
      <c r="E32" s="2199" t="s">
        <v>672</v>
      </c>
      <c r="F32" s="2199" t="s">
        <v>672</v>
      </c>
      <c r="H32" s="2164"/>
      <c r="I32" s="1820">
        <v>13</v>
      </c>
      <c r="J32" s="2165" t="s">
        <v>723</v>
      </c>
      <c r="K32" s="2161" t="s">
        <v>639</v>
      </c>
      <c r="L32" s="873"/>
      <c r="M32" s="703"/>
      <c r="N32" s="6795"/>
      <c r="O32" s="6795"/>
      <c r="P32" s="6795"/>
      <c r="Q32" s="6795"/>
      <c r="R32" s="6795"/>
      <c r="S32" s="689"/>
      <c r="T32" s="1671" t="s">
        <v>683</v>
      </c>
      <c r="U32" s="689"/>
      <c r="AP32" s="1777">
        <v>46</v>
      </c>
    </row>
    <row s="7180" customFormat="1" customHeight="1" ht="48.29999999999999">
      <c r="A33" s="2197"/>
      <c r="B33" s="2196" t="s">
        <v>724</v>
      </c>
      <c r="C33" s="2196" t="s">
        <v>725</v>
      </c>
      <c r="D33" s="2195" t="s">
        <v>661</v>
      </c>
      <c r="E33" s="2199" t="s">
        <v>672</v>
      </c>
      <c r="F33" s="2199" t="s">
        <v>672</v>
      </c>
      <c r="G33" s="1782"/>
      <c r="H33" s="2164"/>
      <c r="I33" s="1820">
        <v>14</v>
      </c>
      <c r="J33" s="2177" t="s">
        <v>726</v>
      </c>
      <c r="K33" s="2166" t="s">
        <v>727</v>
      </c>
      <c r="L33" s="873"/>
      <c r="M33" s="703"/>
      <c r="N33" s="6795"/>
      <c r="O33" s="6795"/>
      <c r="P33" s="6795"/>
      <c r="Q33" s="6795"/>
      <c r="R33" s="6795"/>
      <c r="S33" s="689"/>
      <c r="T33" s="1671" t="s">
        <v>683</v>
      </c>
      <c r="U33" s="689"/>
      <c r="V33" s="1782"/>
      <c r="W33" s="1782"/>
      <c r="AB33" s="1782"/>
      <c r="AE33" s="690"/>
      <c r="AK33" s="1778"/>
      <c r="AL33" s="1778"/>
      <c r="AM33" s="1778"/>
      <c r="AN33" s="1778"/>
      <c r="AO33" s="1778"/>
      <c r="AP33" s="1512">
        <v>46</v>
      </c>
    </row>
    <row customHeight="1" ht="108">
      <c r="A34" s="2197"/>
      <c r="B34" s="2196" t="s">
        <v>728</v>
      </c>
      <c r="C34" s="2196" t="s">
        <v>729</v>
      </c>
      <c r="D34" s="2195" t="s">
        <v>671</v>
      </c>
      <c r="E34" s="2199" t="s">
        <v>672</v>
      </c>
      <c r="F34" s="2199" t="s">
        <v>672</v>
      </c>
      <c r="G34" s="1782" t="s">
        <v>616</v>
      </c>
      <c r="H34" s="2164"/>
      <c r="I34" s="2175">
        <v>15</v>
      </c>
      <c r="J34" s="2176" t="s">
        <v>730</v>
      </c>
      <c r="K34" s="2161" t="s">
        <v>328</v>
      </c>
      <c r="L34" s="531"/>
      <c r="M34" s="1310"/>
      <c r="N34" s="6802"/>
      <c r="O34" s="6802"/>
      <c r="P34" s="6802"/>
      <c r="Q34" s="6802"/>
      <c r="R34" s="6802"/>
      <c r="S34" s="689"/>
      <c r="T34" s="1671" t="s">
        <v>675</v>
      </c>
      <c r="U34" s="689"/>
      <c r="AP34" s="1777">
        <v>103</v>
      </c>
    </row>
    <row s="6314" customFormat="1" customHeight="1" ht="11.549999999999999">
      <c r="A35" s="1133"/>
      <c r="B35" s="1133"/>
      <c r="C35" s="1133"/>
      <c r="D35" s="1133"/>
      <c r="E35" s="1133"/>
      <c r="F35" s="1782"/>
      <c r="G35" s="1782"/>
      <c r="H35" s="497"/>
      <c r="N35" s="6314"/>
      <c r="O35" s="6314"/>
      <c r="P35" s="6314"/>
      <c r="Q35" s="6314"/>
      <c r="R35" s="6314"/>
      <c r="S35" s="1512"/>
      <c r="U35" s="1512"/>
      <c r="V35" s="1782"/>
      <c r="W35" s="1782"/>
      <c r="X35" s="1512"/>
      <c r="Y35" s="1512"/>
      <c r="Z35" s="1512"/>
      <c r="AA35" s="1512"/>
      <c r="AB35" s="1782"/>
      <c r="AC35" s="1512"/>
      <c r="AD35" s="1512"/>
      <c r="AE35" s="690"/>
      <c r="AF35" s="1512"/>
      <c r="AG35" s="1512"/>
      <c r="AH35" s="1512"/>
      <c r="AI35" s="1512"/>
      <c r="AJ35" s="1512"/>
      <c r="AK35" s="1778"/>
      <c r="AL35" s="768"/>
      <c r="AM35" s="768"/>
      <c r="AN35" s="768"/>
      <c r="AO35" s="768"/>
      <c r="AP35" s="1787">
        <v>11</v>
      </c>
    </row>
    <row s="6314" customFormat="1" customHeight="1" ht="11.549999999999999">
      <c r="A36" s="1133"/>
      <c r="B36" s="1133"/>
      <c r="C36" s="1133"/>
      <c r="D36" s="1133"/>
      <c r="E36" s="1133"/>
      <c r="F36" s="1782"/>
      <c r="G36" s="1782"/>
      <c r="H36" s="497"/>
      <c r="N36" s="6314"/>
      <c r="O36" s="6314"/>
      <c r="P36" s="6314"/>
      <c r="Q36" s="6314"/>
      <c r="R36" s="6314"/>
      <c r="S36" s="1512"/>
      <c r="U36" s="1512"/>
      <c r="V36" s="1782"/>
      <c r="W36" s="1782"/>
      <c r="X36" s="1512"/>
      <c r="Y36" s="1512"/>
      <c r="Z36" s="1512"/>
      <c r="AA36" s="1512"/>
      <c r="AB36" s="1782"/>
      <c r="AC36" s="1512"/>
      <c r="AD36" s="1512"/>
      <c r="AE36" s="690"/>
      <c r="AF36" s="1512"/>
      <c r="AG36" s="1512"/>
      <c r="AH36" s="1512"/>
      <c r="AI36" s="1512"/>
      <c r="AJ36" s="1512"/>
      <c r="AK36" s="1778"/>
      <c r="AL36" s="768"/>
      <c r="AM36" s="768"/>
      <c r="AN36" s="768"/>
      <c r="AO36" s="768"/>
      <c r="AP36" s="1787">
        <v>11</v>
      </c>
    </row>
    <row s="6314" customFormat="1" customHeight="1" ht="11.549999999999999">
      <c r="A37" s="1133"/>
      <c r="B37" s="1133"/>
      <c r="C37" s="1133"/>
      <c r="D37" s="1133"/>
      <c r="E37" s="1133"/>
      <c r="F37" s="1782"/>
      <c r="G37" s="1782"/>
      <c r="H37" s="497"/>
      <c r="L37" s="768"/>
      <c r="M37" s="768"/>
      <c r="N37" s="6710"/>
      <c r="O37" s="6710"/>
      <c r="P37" s="6710"/>
      <c r="Q37" s="6710"/>
      <c r="R37" s="6710"/>
      <c r="S37" s="1512"/>
      <c r="U37" s="1512"/>
      <c r="V37" s="1782"/>
      <c r="W37" s="1782"/>
      <c r="X37" s="1512"/>
      <c r="Y37" s="1512"/>
      <c r="Z37" s="1512"/>
      <c r="AA37" s="1512"/>
      <c r="AB37" s="1782"/>
      <c r="AC37" s="1512"/>
      <c r="AD37" s="1512"/>
      <c r="AE37" s="690"/>
      <c r="AF37" s="1512"/>
      <c r="AG37" s="1512"/>
      <c r="AH37" s="1512"/>
      <c r="AI37" s="1512"/>
      <c r="AJ37" s="1512"/>
      <c r="AK37" s="1778"/>
      <c r="AL37" s="768"/>
      <c r="AM37" s="768"/>
      <c r="AN37" s="768"/>
      <c r="AO37" s="768"/>
      <c r="AP37" s="1787">
        <v>11</v>
      </c>
    </row>
    <row s="6314" customFormat="1" customHeight="1" ht="11.549999999999999">
      <c r="A38" s="1133"/>
      <c r="B38" s="1133"/>
      <c r="C38" s="1133"/>
      <c r="D38" s="1133"/>
      <c r="E38" s="1133"/>
      <c r="F38" s="1782"/>
      <c r="G38" s="1782"/>
      <c r="H38" s="497"/>
      <c r="N38" s="6314"/>
      <c r="O38" s="6314"/>
      <c r="P38" s="6314"/>
      <c r="Q38" s="6314"/>
      <c r="R38" s="6314"/>
      <c r="S38" s="1512"/>
      <c r="U38" s="1512"/>
      <c r="V38" s="1782"/>
      <c r="W38" s="1782"/>
      <c r="X38" s="1512"/>
      <c r="Y38" s="1512"/>
      <c r="Z38" s="1512"/>
      <c r="AA38" s="1512"/>
      <c r="AB38" s="1782"/>
      <c r="AC38" s="1512"/>
      <c r="AD38" s="1512"/>
      <c r="AE38" s="690"/>
      <c r="AF38" s="1512"/>
      <c r="AG38" s="1512"/>
      <c r="AH38" s="1512"/>
      <c r="AI38" s="1512"/>
      <c r="AJ38" s="1512"/>
      <c r="AK38" s="1778"/>
      <c r="AL38" s="768"/>
      <c r="AM38" s="768"/>
      <c r="AN38" s="768"/>
      <c r="AO38" s="768"/>
      <c r="AP38" s="1787">
        <v>11</v>
      </c>
    </row>
    <row s="6314" customFormat="1" customHeight="1" ht="11.549999999999999">
      <c r="A39" s="1133"/>
      <c r="B39" s="1133"/>
      <c r="C39" s="1133"/>
      <c r="D39" s="1133"/>
      <c r="E39" s="1133"/>
      <c r="F39" s="1782"/>
      <c r="G39" s="1782"/>
      <c r="H39" s="497"/>
      <c r="N39" s="6314"/>
      <c r="O39" s="6314"/>
      <c r="P39" s="6314"/>
      <c r="Q39" s="6314"/>
      <c r="R39" s="6314"/>
      <c r="S39" s="1512"/>
      <c r="U39" s="1512"/>
      <c r="V39" s="1782"/>
      <c r="W39" s="1782"/>
      <c r="X39" s="1512"/>
      <c r="Y39" s="1512"/>
      <c r="Z39" s="1512"/>
      <c r="AA39" s="1512"/>
      <c r="AB39" s="1782"/>
      <c r="AC39" s="1512"/>
      <c r="AD39" s="1512"/>
      <c r="AE39" s="690"/>
      <c r="AF39" s="1512"/>
      <c r="AG39" s="1512"/>
      <c r="AH39" s="1512"/>
      <c r="AI39" s="1512"/>
      <c r="AJ39" s="1512"/>
      <c r="AK39" s="1778"/>
      <c r="AL39" s="768"/>
      <c r="AM39" s="768"/>
      <c r="AN39" s="768"/>
      <c r="AO39" s="768"/>
      <c r="AP39" s="1787">
        <v>11</v>
      </c>
    </row>
    <row s="6314" customFormat="1" customHeight="1" ht="11.549999999999999">
      <c r="A40" s="1133"/>
      <c r="B40" s="1133"/>
      <c r="C40" s="1133"/>
      <c r="D40" s="1133"/>
      <c r="E40" s="1133"/>
      <c r="F40" s="1782"/>
      <c r="G40" s="1782"/>
      <c r="H40" s="497"/>
      <c r="N40" s="6314"/>
      <c r="O40" s="6314"/>
      <c r="P40" s="6314"/>
      <c r="Q40" s="6314"/>
      <c r="R40" s="6314"/>
      <c r="S40" s="1512"/>
      <c r="U40" s="1512"/>
      <c r="V40" s="1782"/>
      <c r="W40" s="1782"/>
      <c r="X40" s="1512"/>
      <c r="Y40" s="1512"/>
      <c r="Z40" s="1512"/>
      <c r="AA40" s="1512"/>
      <c r="AB40" s="1782"/>
      <c r="AC40" s="1512"/>
      <c r="AD40" s="1512"/>
      <c r="AE40" s="690"/>
      <c r="AF40" s="1512"/>
      <c r="AG40" s="1512"/>
      <c r="AH40" s="1512"/>
      <c r="AI40" s="1512"/>
      <c r="AJ40" s="1512"/>
      <c r="AK40" s="1778"/>
      <c r="AL40" s="768"/>
      <c r="AM40" s="768"/>
      <c r="AN40" s="768"/>
      <c r="AO40" s="768"/>
      <c r="AP40" s="1787">
        <v>11</v>
      </c>
    </row>
    <row s="6314" customFormat="1" customHeight="1" ht="11.549999999999999">
      <c r="A41" s="1133"/>
      <c r="B41" s="1133"/>
      <c r="C41" s="1133"/>
      <c r="D41" s="1133"/>
      <c r="E41" s="1133"/>
      <c r="F41" s="1782"/>
      <c r="G41" s="1782"/>
      <c r="H41" s="497"/>
      <c r="N41" s="6314"/>
      <c r="O41" s="6314"/>
      <c r="P41" s="6314"/>
      <c r="Q41" s="6314"/>
      <c r="R41" s="6314"/>
      <c r="S41" s="1512"/>
      <c r="U41" s="1512"/>
      <c r="V41" s="1782"/>
      <c r="W41" s="1782"/>
      <c r="X41" s="1512"/>
      <c r="Y41" s="1512"/>
      <c r="Z41" s="1512"/>
      <c r="AA41" s="1512"/>
      <c r="AB41" s="1782"/>
      <c r="AC41" s="1512"/>
      <c r="AD41" s="1512"/>
      <c r="AE41" s="690"/>
      <c r="AF41" s="1512"/>
      <c r="AG41" s="1512"/>
      <c r="AH41" s="1512"/>
      <c r="AI41" s="1512"/>
      <c r="AJ41" s="1512"/>
      <c r="AK41" s="1778"/>
      <c r="AL41" s="768"/>
      <c r="AM41" s="768"/>
      <c r="AN41" s="768"/>
      <c r="AO41" s="768"/>
      <c r="AP41" s="1787">
        <v>11</v>
      </c>
    </row>
    <row s="6314" customFormat="1" customHeight="1" ht="11.549999999999999">
      <c r="A42" s="1133"/>
      <c r="B42" s="1133"/>
      <c r="C42" s="1133"/>
      <c r="D42" s="1133"/>
      <c r="E42" s="1133"/>
      <c r="F42" s="1782"/>
      <c r="G42" s="1782"/>
      <c r="H42" s="497"/>
      <c r="N42" s="6314"/>
      <c r="O42" s="6314"/>
      <c r="P42" s="6314"/>
      <c r="Q42" s="6314"/>
      <c r="R42" s="6314"/>
      <c r="S42" s="1512"/>
      <c r="U42" s="1512"/>
      <c r="V42" s="1782"/>
      <c r="W42" s="1782"/>
      <c r="X42" s="1512"/>
      <c r="Y42" s="1512"/>
      <c r="Z42" s="1512"/>
      <c r="AA42" s="1512"/>
      <c r="AB42" s="1782"/>
      <c r="AC42" s="1512"/>
      <c r="AD42" s="1512"/>
      <c r="AE42" s="690"/>
      <c r="AF42" s="1512"/>
      <c r="AG42" s="1512"/>
      <c r="AH42" s="1512"/>
      <c r="AI42" s="1512"/>
      <c r="AJ42" s="1512"/>
      <c r="AK42" s="1778"/>
      <c r="AL42" s="768"/>
      <c r="AM42" s="768"/>
      <c r="AN42" s="768"/>
      <c r="AO42" s="768"/>
      <c r="AP42" s="1787">
        <v>11</v>
      </c>
    </row>
    <row s="6314" customFormat="1" customHeight="1" ht="11.549999999999999">
      <c r="A43" s="1133"/>
      <c r="B43" s="1133"/>
      <c r="C43" s="1133"/>
      <c r="D43" s="1133"/>
      <c r="E43" s="1133"/>
      <c r="F43" s="1782"/>
      <c r="G43" s="1782"/>
      <c r="H43" s="497"/>
      <c r="N43" s="6314"/>
      <c r="O43" s="6314"/>
      <c r="P43" s="6314"/>
      <c r="Q43" s="6314"/>
      <c r="R43" s="6314"/>
      <c r="S43" s="1512"/>
      <c r="U43" s="1512"/>
      <c r="V43" s="1782"/>
      <c r="W43" s="1782"/>
      <c r="X43" s="1512"/>
      <c r="Y43" s="1512"/>
      <c r="Z43" s="1512"/>
      <c r="AA43" s="1512"/>
      <c r="AB43" s="1782"/>
      <c r="AC43" s="1512"/>
      <c r="AD43" s="1512"/>
      <c r="AE43" s="690"/>
      <c r="AF43" s="1512"/>
      <c r="AG43" s="1512"/>
      <c r="AH43" s="1512"/>
      <c r="AI43" s="1512"/>
      <c r="AJ43" s="1512"/>
      <c r="AK43" s="1778"/>
      <c r="AL43" s="768"/>
      <c r="AM43" s="768"/>
      <c r="AN43" s="768"/>
      <c r="AO43" s="768"/>
      <c r="AP43" s="1787">
        <v>11</v>
      </c>
    </row>
    <row s="6314" customFormat="1" customHeight="1" ht="11.549999999999999">
      <c r="A44" s="1133"/>
      <c r="B44" s="1133"/>
      <c r="C44" s="1133"/>
      <c r="D44" s="1133"/>
      <c r="E44" s="1133"/>
      <c r="F44" s="1782"/>
      <c r="G44" s="1782"/>
      <c r="H44" s="497"/>
      <c r="N44" s="6314"/>
      <c r="O44" s="6314"/>
      <c r="P44" s="6314"/>
      <c r="Q44" s="6314"/>
      <c r="R44" s="6314"/>
      <c r="S44" s="1512"/>
      <c r="U44" s="1512"/>
      <c r="V44" s="1782"/>
      <c r="W44" s="1782"/>
      <c r="X44" s="1512"/>
      <c r="Y44" s="1512"/>
      <c r="Z44" s="1512"/>
      <c r="AA44" s="1512"/>
      <c r="AB44" s="1782"/>
      <c r="AC44" s="1512"/>
      <c r="AD44" s="1512"/>
      <c r="AE44" s="690"/>
      <c r="AF44" s="1512"/>
      <c r="AG44" s="1512"/>
      <c r="AH44" s="1512"/>
      <c r="AI44" s="1512"/>
      <c r="AJ44" s="1512"/>
      <c r="AK44" s="1778"/>
      <c r="AL44" s="768"/>
      <c r="AM44" s="768"/>
      <c r="AN44" s="768"/>
      <c r="AO44" s="768"/>
      <c r="AP44" s="1787">
        <v>11</v>
      </c>
    </row>
    <row s="6314" customFormat="1" customHeight="1" ht="11.549999999999999">
      <c r="A45" s="1133"/>
      <c r="B45" s="1133"/>
      <c r="C45" s="1133"/>
      <c r="D45" s="1133"/>
      <c r="E45" s="1133"/>
      <c r="F45" s="1782"/>
      <c r="G45" s="1782"/>
      <c r="H45" s="497"/>
      <c r="N45" s="6314"/>
      <c r="O45" s="6314"/>
      <c r="P45" s="6314"/>
      <c r="Q45" s="6314"/>
      <c r="R45" s="6314"/>
      <c r="S45" s="1512"/>
      <c r="U45" s="1512"/>
      <c r="V45" s="1782"/>
      <c r="W45" s="1782"/>
      <c r="X45" s="1512"/>
      <c r="Y45" s="1512"/>
      <c r="Z45" s="1512"/>
      <c r="AA45" s="1512"/>
      <c r="AB45" s="1782"/>
      <c r="AC45" s="1512"/>
      <c r="AD45" s="1512"/>
      <c r="AE45" s="690"/>
      <c r="AF45" s="1512"/>
      <c r="AG45" s="1512"/>
      <c r="AH45" s="1512"/>
      <c r="AI45" s="1512"/>
      <c r="AJ45" s="1512"/>
      <c r="AK45" s="1778"/>
      <c r="AL45" s="768"/>
      <c r="AM45" s="768"/>
      <c r="AN45" s="768"/>
      <c r="AO45" s="768"/>
      <c r="AP45" s="1787">
        <v>11</v>
      </c>
    </row>
    <row s="6314" customFormat="1" customHeight="1" ht="11.549999999999999">
      <c r="A46" s="1133"/>
      <c r="B46" s="1133"/>
      <c r="C46" s="1133"/>
      <c r="D46" s="1133"/>
      <c r="E46" s="1133"/>
      <c r="F46" s="1782"/>
      <c r="G46" s="1782"/>
      <c r="H46" s="497"/>
      <c r="N46" s="6314"/>
      <c r="O46" s="6314"/>
      <c r="P46" s="6314"/>
      <c r="Q46" s="6314"/>
      <c r="R46" s="6314"/>
      <c r="S46" s="1512"/>
      <c r="U46" s="1512"/>
      <c r="V46" s="1782"/>
      <c r="W46" s="1782"/>
      <c r="X46" s="1512"/>
      <c r="Y46" s="1512"/>
      <c r="Z46" s="1512"/>
      <c r="AA46" s="1512"/>
      <c r="AB46" s="1782"/>
      <c r="AC46" s="1512"/>
      <c r="AD46" s="1512"/>
      <c r="AE46" s="690"/>
      <c r="AF46" s="1512"/>
      <c r="AG46" s="1512"/>
      <c r="AH46" s="1512"/>
      <c r="AI46" s="1512"/>
      <c r="AJ46" s="1512"/>
      <c r="AK46" s="1778"/>
      <c r="AL46" s="768"/>
      <c r="AM46" s="768"/>
      <c r="AN46" s="768"/>
      <c r="AO46" s="768"/>
      <c r="AP46" s="1787">
        <v>11</v>
      </c>
    </row>
    <row s="6314" customFormat="1" customHeight="1" ht="11.549999999999999">
      <c r="A47" s="1133"/>
      <c r="B47" s="1133"/>
      <c r="C47" s="1133"/>
      <c r="D47" s="1133"/>
      <c r="E47" s="1133"/>
      <c r="F47" s="1782"/>
      <c r="G47" s="1782"/>
      <c r="H47" s="497"/>
      <c r="N47" s="6314"/>
      <c r="O47" s="6314"/>
      <c r="P47" s="6314"/>
      <c r="Q47" s="6314"/>
      <c r="R47" s="6314"/>
      <c r="S47" s="1512"/>
      <c r="U47" s="1512"/>
      <c r="V47" s="1782"/>
      <c r="W47" s="1782"/>
      <c r="X47" s="1512"/>
      <c r="Y47" s="1512"/>
      <c r="Z47" s="1512"/>
      <c r="AA47" s="1512"/>
      <c r="AB47" s="1782"/>
      <c r="AC47" s="1512"/>
      <c r="AD47" s="1512"/>
      <c r="AE47" s="690"/>
      <c r="AF47" s="1512"/>
      <c r="AG47" s="1512"/>
      <c r="AH47" s="1512"/>
      <c r="AI47" s="1512"/>
      <c r="AJ47" s="1512"/>
      <c r="AK47" s="1778"/>
      <c r="AL47" s="768"/>
      <c r="AM47" s="768"/>
      <c r="AN47" s="768"/>
      <c r="AO47" s="768"/>
      <c r="AP47" s="1787">
        <v>11</v>
      </c>
    </row>
    <row s="6314" customFormat="1" customHeight="1" ht="11.549999999999999">
      <c r="A48" s="1133"/>
      <c r="B48" s="1133"/>
      <c r="C48" s="1133"/>
      <c r="D48" s="1133"/>
      <c r="E48" s="1133"/>
      <c r="F48" s="1782"/>
      <c r="G48" s="1782"/>
      <c r="H48" s="497"/>
      <c r="N48" s="6314"/>
      <c r="O48" s="6314"/>
      <c r="P48" s="6314"/>
      <c r="Q48" s="6314"/>
      <c r="R48" s="6314"/>
      <c r="S48" s="1512"/>
      <c r="U48" s="1512"/>
      <c r="V48" s="1782"/>
      <c r="W48" s="1782"/>
      <c r="X48" s="1512"/>
      <c r="Y48" s="1512"/>
      <c r="Z48" s="1512"/>
      <c r="AA48" s="1512"/>
      <c r="AB48" s="1782"/>
      <c r="AC48" s="1512"/>
      <c r="AD48" s="1512"/>
      <c r="AE48" s="690"/>
      <c r="AF48" s="1512"/>
      <c r="AG48" s="1512"/>
      <c r="AH48" s="1512"/>
      <c r="AI48" s="1512"/>
      <c r="AJ48" s="1512"/>
      <c r="AK48" s="1778"/>
      <c r="AL48" s="768"/>
      <c r="AM48" s="768"/>
      <c r="AN48" s="768"/>
      <c r="AO48" s="768"/>
      <c r="AP48" s="1787">
        <v>11</v>
      </c>
    </row>
    <row s="6314" customFormat="1" customHeight="1" ht="11.549999999999999">
      <c r="A49" s="1133"/>
      <c r="B49" s="1133"/>
      <c r="C49" s="1133"/>
      <c r="D49" s="1133"/>
      <c r="E49" s="1133"/>
      <c r="F49" s="1782"/>
      <c r="G49" s="1782"/>
      <c r="H49" s="497"/>
      <c r="N49" s="6314"/>
      <c r="O49" s="6314"/>
      <c r="P49" s="6314"/>
      <c r="Q49" s="6314"/>
      <c r="R49" s="6314"/>
      <c r="S49" s="1512"/>
      <c r="U49" s="1512"/>
      <c r="V49" s="1782"/>
      <c r="W49" s="1782"/>
      <c r="X49" s="1512"/>
      <c r="Y49" s="1512"/>
      <c r="Z49" s="1512"/>
      <c r="AA49" s="1512"/>
      <c r="AB49" s="1782"/>
      <c r="AC49" s="1512"/>
      <c r="AD49" s="1512"/>
      <c r="AE49" s="690"/>
      <c r="AF49" s="1512"/>
      <c r="AG49" s="1512"/>
      <c r="AH49" s="1512"/>
      <c r="AI49" s="1512"/>
      <c r="AJ49" s="1512"/>
      <c r="AK49" s="1778"/>
      <c r="AL49" s="768"/>
      <c r="AM49" s="768"/>
      <c r="AN49" s="768"/>
      <c r="AO49" s="768"/>
      <c r="AP49" s="1787">
        <v>11</v>
      </c>
    </row>
    <row s="6314" customFormat="1" customHeight="1" ht="11.549999999999999">
      <c r="A50" s="1133"/>
      <c r="B50" s="1133"/>
      <c r="C50" s="1133"/>
      <c r="D50" s="1133"/>
      <c r="E50" s="1133"/>
      <c r="F50" s="1782"/>
      <c r="G50" s="1782"/>
      <c r="H50" s="497"/>
      <c r="N50" s="6314"/>
      <c r="O50" s="6314"/>
      <c r="P50" s="6314"/>
      <c r="Q50" s="6314"/>
      <c r="R50" s="6314"/>
      <c r="S50" s="1512"/>
      <c r="U50" s="1512"/>
      <c r="V50" s="1782"/>
      <c r="W50" s="1782"/>
      <c r="X50" s="1512"/>
      <c r="Y50" s="1512"/>
      <c r="Z50" s="1512"/>
      <c r="AA50" s="1512"/>
      <c r="AB50" s="1782"/>
      <c r="AC50" s="1512"/>
      <c r="AD50" s="1512"/>
      <c r="AE50" s="690"/>
      <c r="AF50" s="1512"/>
      <c r="AG50" s="1512"/>
      <c r="AH50" s="1512"/>
      <c r="AI50" s="1512"/>
      <c r="AJ50" s="1512"/>
      <c r="AK50" s="1778"/>
      <c r="AL50" s="768"/>
      <c r="AM50" s="768"/>
      <c r="AN50" s="768"/>
      <c r="AO50" s="768"/>
      <c r="AP50" s="1787">
        <v>11</v>
      </c>
    </row>
    <row s="6314" customFormat="1" customHeight="1" ht="11.549999999999999">
      <c r="A51" s="1133"/>
      <c r="B51" s="1133"/>
      <c r="C51" s="1133"/>
      <c r="D51" s="1133"/>
      <c r="E51" s="1133"/>
      <c r="F51" s="1782"/>
      <c r="G51" s="1782"/>
      <c r="H51" s="497"/>
      <c r="N51" s="6314"/>
      <c r="O51" s="6314"/>
      <c r="P51" s="6314"/>
      <c r="Q51" s="6314"/>
      <c r="R51" s="6314"/>
      <c r="S51" s="1512"/>
      <c r="U51" s="1512"/>
      <c r="V51" s="1782"/>
      <c r="W51" s="1782"/>
      <c r="X51" s="1512"/>
      <c r="Y51" s="1512"/>
      <c r="Z51" s="1512"/>
      <c r="AA51" s="1512"/>
      <c r="AB51" s="1782"/>
      <c r="AC51" s="1512"/>
      <c r="AD51" s="1512"/>
      <c r="AE51" s="690"/>
      <c r="AF51" s="1512"/>
      <c r="AG51" s="1512"/>
      <c r="AH51" s="1512"/>
      <c r="AI51" s="1512"/>
      <c r="AJ51" s="1512"/>
      <c r="AK51" s="1778"/>
      <c r="AL51" s="768"/>
      <c r="AM51" s="768"/>
      <c r="AN51" s="768"/>
      <c r="AO51" s="768"/>
      <c r="AP51" s="1787">
        <v>11</v>
      </c>
    </row>
    <row s="6314" customFormat="1" customHeight="1" ht="11.549999999999999">
      <c r="A52" s="1133"/>
      <c r="B52" s="1133"/>
      <c r="C52" s="1133"/>
      <c r="D52" s="1133"/>
      <c r="E52" s="1133"/>
      <c r="F52" s="1782"/>
      <c r="G52" s="1782"/>
      <c r="H52" s="497"/>
      <c r="N52" s="6314"/>
      <c r="O52" s="6314"/>
      <c r="P52" s="6314"/>
      <c r="Q52" s="6314"/>
      <c r="R52" s="6314"/>
      <c r="S52" s="1512"/>
      <c r="U52" s="1512"/>
      <c r="V52" s="1782"/>
      <c r="W52" s="1782"/>
      <c r="X52" s="1512"/>
      <c r="Y52" s="1512"/>
      <c r="Z52" s="1512"/>
      <c r="AA52" s="1512"/>
      <c r="AB52" s="1782"/>
      <c r="AC52" s="1512"/>
      <c r="AD52" s="1512"/>
      <c r="AE52" s="690"/>
      <c r="AF52" s="1512"/>
      <c r="AG52" s="1512"/>
      <c r="AH52" s="1512"/>
      <c r="AI52" s="1512"/>
      <c r="AJ52" s="1512"/>
      <c r="AK52" s="1778"/>
      <c r="AL52" s="768"/>
      <c r="AM52" s="768"/>
      <c r="AN52" s="768"/>
      <c r="AO52" s="768"/>
      <c r="AP52" s="1787">
        <v>11</v>
      </c>
    </row>
    <row s="6314" customFormat="1" customHeight="1" ht="11.549999999999999">
      <c r="A53" s="1133"/>
      <c r="B53" s="1133"/>
      <c r="C53" s="1133"/>
      <c r="D53" s="1133"/>
      <c r="E53" s="1133"/>
      <c r="F53" s="1782"/>
      <c r="G53" s="1782"/>
      <c r="H53" s="497"/>
      <c r="N53" s="6314"/>
      <c r="O53" s="6314"/>
      <c r="P53" s="6314"/>
      <c r="Q53" s="6314"/>
      <c r="R53" s="6314"/>
      <c r="S53" s="1512"/>
      <c r="U53" s="1512"/>
      <c r="V53" s="1782"/>
      <c r="W53" s="1782"/>
      <c r="X53" s="1512"/>
      <c r="Y53" s="1512"/>
      <c r="Z53" s="1512"/>
      <c r="AA53" s="1512"/>
      <c r="AB53" s="1782"/>
      <c r="AC53" s="1512"/>
      <c r="AD53" s="1512"/>
      <c r="AE53" s="690"/>
      <c r="AF53" s="1512"/>
      <c r="AG53" s="1512"/>
      <c r="AH53" s="1512"/>
      <c r="AI53" s="1512"/>
      <c r="AJ53" s="1512"/>
      <c r="AK53" s="1778"/>
      <c r="AL53" s="768"/>
      <c r="AM53" s="768"/>
      <c r="AN53" s="768"/>
      <c r="AO53" s="768"/>
      <c r="AP53" s="1787">
        <v>11</v>
      </c>
    </row>
    <row s="6314" customFormat="1" customHeight="1" ht="11.549999999999999">
      <c r="A54" s="1133"/>
      <c r="B54" s="1133"/>
      <c r="C54" s="1133"/>
      <c r="D54" s="1133"/>
      <c r="E54" s="1133"/>
      <c r="F54" s="1782"/>
      <c r="G54" s="1782"/>
      <c r="H54" s="497"/>
      <c r="N54" s="6314"/>
      <c r="O54" s="6314"/>
      <c r="P54" s="6314"/>
      <c r="Q54" s="6314"/>
      <c r="R54" s="6314"/>
      <c r="S54" s="1512"/>
      <c r="U54" s="1512"/>
      <c r="V54" s="1782"/>
      <c r="W54" s="1782"/>
      <c r="X54" s="1512"/>
      <c r="Y54" s="1512"/>
      <c r="Z54" s="1512"/>
      <c r="AA54" s="1512"/>
      <c r="AB54" s="1782"/>
      <c r="AC54" s="1512"/>
      <c r="AD54" s="1512"/>
      <c r="AE54" s="690"/>
      <c r="AF54" s="1512"/>
      <c r="AG54" s="1512"/>
      <c r="AH54" s="1512"/>
      <c r="AI54" s="1512"/>
      <c r="AJ54" s="1512"/>
      <c r="AK54" s="1778"/>
      <c r="AL54" s="768"/>
      <c r="AM54" s="768"/>
      <c r="AN54" s="768"/>
      <c r="AO54" s="768"/>
      <c r="AP54" s="1787">
        <v>11</v>
      </c>
    </row>
    <row s="6314" customFormat="1" customHeight="1" ht="11.549999999999999">
      <c r="A55" s="1133"/>
      <c r="B55" s="1133"/>
      <c r="C55" s="1133"/>
      <c r="D55" s="1133"/>
      <c r="E55" s="1133"/>
      <c r="F55" s="1782"/>
      <c r="G55" s="1782"/>
      <c r="H55" s="497"/>
      <c r="N55" s="6314"/>
      <c r="O55" s="6314"/>
      <c r="P55" s="6314"/>
      <c r="Q55" s="6314"/>
      <c r="R55" s="6314"/>
      <c r="S55" s="1512"/>
      <c r="U55" s="1512"/>
      <c r="V55" s="1782"/>
      <c r="W55" s="1782"/>
      <c r="X55" s="1512"/>
      <c r="Y55" s="1512"/>
      <c r="Z55" s="1512"/>
      <c r="AA55" s="1512"/>
      <c r="AB55" s="1782"/>
      <c r="AC55" s="1512"/>
      <c r="AD55" s="1512"/>
      <c r="AE55" s="690"/>
      <c r="AF55" s="1512"/>
      <c r="AG55" s="1512"/>
      <c r="AH55" s="1512"/>
      <c r="AI55" s="1512"/>
      <c r="AJ55" s="1512"/>
      <c r="AK55" s="1778"/>
      <c r="AL55" s="768"/>
      <c r="AM55" s="768"/>
      <c r="AN55" s="768"/>
      <c r="AO55" s="768"/>
      <c r="AP55" s="1787">
        <v>11</v>
      </c>
    </row>
    <row s="6314" customFormat="1" customHeight="1" ht="11.549999999999999">
      <c r="A56" s="1133"/>
      <c r="B56" s="1133"/>
      <c r="C56" s="1133"/>
      <c r="D56" s="1133"/>
      <c r="E56" s="1133"/>
      <c r="F56" s="1782"/>
      <c r="G56" s="1782"/>
      <c r="H56" s="497"/>
      <c r="N56" s="6314"/>
      <c r="O56" s="6314"/>
      <c r="P56" s="6314"/>
      <c r="Q56" s="6314"/>
      <c r="R56" s="6314"/>
      <c r="S56" s="1512"/>
      <c r="U56" s="1512"/>
      <c r="V56" s="1782"/>
      <c r="W56" s="1782"/>
      <c r="X56" s="1512"/>
      <c r="Y56" s="1512"/>
      <c r="Z56" s="1512"/>
      <c r="AA56" s="1512"/>
      <c r="AB56" s="1782"/>
      <c r="AC56" s="1512"/>
      <c r="AD56" s="1512"/>
      <c r="AE56" s="690"/>
      <c r="AF56" s="1512"/>
      <c r="AG56" s="1512"/>
      <c r="AH56" s="1512"/>
      <c r="AI56" s="1512"/>
      <c r="AJ56" s="1512"/>
      <c r="AK56" s="1778"/>
      <c r="AL56" s="768"/>
      <c r="AM56" s="768"/>
      <c r="AN56" s="768"/>
      <c r="AO56" s="768"/>
      <c r="AP56" s="1787">
        <v>11</v>
      </c>
    </row>
    <row s="6314" customFormat="1" customHeight="1" ht="11.549999999999999">
      <c r="A57" s="1133"/>
      <c r="B57" s="1133"/>
      <c r="C57" s="1133"/>
      <c r="D57" s="1133"/>
      <c r="E57" s="1133"/>
      <c r="F57" s="1782"/>
      <c r="G57" s="1782"/>
      <c r="H57" s="497"/>
      <c r="N57" s="6314"/>
      <c r="O57" s="6314"/>
      <c r="P57" s="6314"/>
      <c r="Q57" s="6314"/>
      <c r="R57" s="6314"/>
      <c r="S57" s="1512"/>
      <c r="U57" s="1512"/>
      <c r="V57" s="1782"/>
      <c r="W57" s="1782"/>
      <c r="X57" s="1512"/>
      <c r="Y57" s="1512"/>
      <c r="Z57" s="1512"/>
      <c r="AA57" s="1512"/>
      <c r="AB57" s="1782"/>
      <c r="AC57" s="1512"/>
      <c r="AD57" s="1512"/>
      <c r="AE57" s="690"/>
      <c r="AF57" s="1512"/>
      <c r="AG57" s="1512"/>
      <c r="AH57" s="1512"/>
      <c r="AI57" s="1512"/>
      <c r="AJ57" s="1512"/>
      <c r="AK57" s="1778"/>
      <c r="AL57" s="768"/>
      <c r="AM57" s="768"/>
      <c r="AN57" s="768"/>
      <c r="AO57" s="768"/>
      <c r="AP57" s="1787">
        <v>11</v>
      </c>
    </row>
    <row s="6314" customFormat="1" customHeight="1" ht="11.549999999999999">
      <c r="A58" s="1133"/>
      <c r="B58" s="1133"/>
      <c r="C58" s="1133"/>
      <c r="D58" s="1133"/>
      <c r="E58" s="1133"/>
      <c r="F58" s="1782"/>
      <c r="G58" s="1782"/>
      <c r="H58" s="497"/>
      <c r="N58" s="6314"/>
      <c r="O58" s="6314"/>
      <c r="P58" s="6314"/>
      <c r="Q58" s="6314"/>
      <c r="R58" s="6314"/>
      <c r="S58" s="1512"/>
      <c r="U58" s="1512"/>
      <c r="V58" s="1782"/>
      <c r="W58" s="1782"/>
      <c r="X58" s="1512"/>
      <c r="Y58" s="1512"/>
      <c r="Z58" s="1512"/>
      <c r="AA58" s="1512"/>
      <c r="AB58" s="1782"/>
      <c r="AC58" s="1512"/>
      <c r="AD58" s="1512"/>
      <c r="AE58" s="690"/>
      <c r="AF58" s="1512"/>
      <c r="AG58" s="1512"/>
      <c r="AH58" s="1512"/>
      <c r="AI58" s="1512"/>
      <c r="AJ58" s="1512"/>
      <c r="AK58" s="1778"/>
      <c r="AL58" s="768"/>
      <c r="AM58" s="768"/>
      <c r="AN58" s="768"/>
      <c r="AO58" s="768"/>
      <c r="AP58" s="1787">
        <v>11</v>
      </c>
    </row>
    <row s="6314" customFormat="1" customHeight="1" ht="11.549999999999999">
      <c r="A59" s="1133"/>
      <c r="B59" s="1133"/>
      <c r="C59" s="1133"/>
      <c r="D59" s="1133"/>
      <c r="E59" s="1133"/>
      <c r="F59" s="1782"/>
      <c r="G59" s="1782"/>
      <c r="H59" s="497"/>
      <c r="N59" s="6314"/>
      <c r="O59" s="6314"/>
      <c r="P59" s="6314"/>
      <c r="Q59" s="6314"/>
      <c r="R59" s="6314"/>
      <c r="S59" s="1512"/>
      <c r="U59" s="1512"/>
      <c r="V59" s="1782"/>
      <c r="W59" s="1782"/>
      <c r="X59" s="1512"/>
      <c r="Y59" s="1512"/>
      <c r="Z59" s="1512"/>
      <c r="AA59" s="1512"/>
      <c r="AB59" s="1782"/>
      <c r="AC59" s="1512"/>
      <c r="AD59" s="1512"/>
      <c r="AE59" s="690"/>
      <c r="AF59" s="1512"/>
      <c r="AG59" s="1512"/>
      <c r="AH59" s="1512"/>
      <c r="AI59" s="1512"/>
      <c r="AJ59" s="1512"/>
      <c r="AK59" s="1778"/>
      <c r="AL59" s="768"/>
      <c r="AM59" s="768"/>
      <c r="AN59" s="768"/>
      <c r="AO59" s="768"/>
      <c r="AP59" s="1787">
        <v>11</v>
      </c>
    </row>
    <row s="6314" customFormat="1" customHeight="1" ht="11.549999999999999">
      <c r="A60" s="1133"/>
      <c r="B60" s="1133"/>
      <c r="C60" s="1133"/>
      <c r="D60" s="1133"/>
      <c r="E60" s="1133"/>
      <c r="F60" s="1782"/>
      <c r="G60" s="1782"/>
      <c r="H60" s="497"/>
      <c r="N60" s="6314"/>
      <c r="O60" s="6314"/>
      <c r="P60" s="6314"/>
      <c r="Q60" s="6314"/>
      <c r="R60" s="6314"/>
      <c r="S60" s="1512"/>
      <c r="U60" s="1512"/>
      <c r="V60" s="1782"/>
      <c r="W60" s="1782"/>
      <c r="X60" s="1512"/>
      <c r="Y60" s="1512"/>
      <c r="Z60" s="1512"/>
      <c r="AA60" s="1512"/>
      <c r="AB60" s="1782"/>
      <c r="AC60" s="1512"/>
      <c r="AD60" s="1512"/>
      <c r="AE60" s="690"/>
      <c r="AF60" s="1512"/>
      <c r="AG60" s="1512"/>
      <c r="AH60" s="1512"/>
      <c r="AI60" s="1512"/>
      <c r="AJ60" s="1512"/>
      <c r="AK60" s="1778"/>
      <c r="AL60" s="768"/>
      <c r="AM60" s="768"/>
      <c r="AN60" s="768"/>
      <c r="AO60" s="768"/>
      <c r="AP60" s="1787">
        <v>11</v>
      </c>
    </row>
    <row s="6314" customFormat="1" customHeight="1" ht="11.549999999999999">
      <c r="A61" s="1133"/>
      <c r="B61" s="1133"/>
      <c r="C61" s="1133"/>
      <c r="D61" s="1133"/>
      <c r="E61" s="1133"/>
      <c r="F61" s="1782"/>
      <c r="G61" s="1782"/>
      <c r="H61" s="497"/>
      <c r="N61" s="6314"/>
      <c r="O61" s="6314"/>
      <c r="P61" s="6314"/>
      <c r="Q61" s="6314"/>
      <c r="R61" s="6314"/>
      <c r="S61" s="1512"/>
      <c r="U61" s="1512"/>
      <c r="V61" s="1782"/>
      <c r="W61" s="1782"/>
      <c r="X61" s="1512"/>
      <c r="Y61" s="1512"/>
      <c r="Z61" s="1512"/>
      <c r="AA61" s="1512"/>
      <c r="AB61" s="1782"/>
      <c r="AC61" s="1512"/>
      <c r="AD61" s="1512"/>
      <c r="AE61" s="690"/>
      <c r="AF61" s="1512"/>
      <c r="AG61" s="1512"/>
      <c r="AH61" s="1512"/>
      <c r="AI61" s="1512"/>
      <c r="AJ61" s="1512"/>
      <c r="AK61" s="1778"/>
      <c r="AL61" s="768"/>
      <c r="AM61" s="768"/>
      <c r="AN61" s="768"/>
      <c r="AO61" s="768"/>
      <c r="AP61" s="1787">
        <v>11</v>
      </c>
    </row>
    <row s="6314" customFormat="1" customHeight="1" ht="11.549999999999999">
      <c r="A62" s="1133"/>
      <c r="B62" s="1133"/>
      <c r="C62" s="1133"/>
      <c r="D62" s="1133"/>
      <c r="E62" s="1133"/>
      <c r="F62" s="1782"/>
      <c r="G62" s="1782"/>
      <c r="H62" s="497"/>
      <c r="N62" s="6314"/>
      <c r="O62" s="6314"/>
      <c r="P62" s="6314"/>
      <c r="Q62" s="6314"/>
      <c r="R62" s="6314"/>
      <c r="S62" s="1512"/>
      <c r="U62" s="1512"/>
      <c r="V62" s="1782"/>
      <c r="W62" s="1782"/>
      <c r="X62" s="1512"/>
      <c r="Y62" s="1512"/>
      <c r="Z62" s="1512"/>
      <c r="AA62" s="1512"/>
      <c r="AB62" s="1782"/>
      <c r="AC62" s="1512"/>
      <c r="AD62" s="1512"/>
      <c r="AE62" s="690"/>
      <c r="AF62" s="1512"/>
      <c r="AG62" s="1512"/>
      <c r="AH62" s="1512"/>
      <c r="AI62" s="1512"/>
      <c r="AJ62" s="1512"/>
      <c r="AK62" s="1778"/>
      <c r="AL62" s="768"/>
      <c r="AM62" s="768"/>
      <c r="AN62" s="768"/>
      <c r="AO62" s="768"/>
      <c r="AP62" s="1787">
        <v>11</v>
      </c>
    </row>
    <row s="6314" customFormat="1" customHeight="1" ht="11.549999999999999">
      <c r="A63" s="1133"/>
      <c r="B63" s="1133"/>
      <c r="C63" s="1133"/>
      <c r="D63" s="1133"/>
      <c r="E63" s="1133"/>
      <c r="F63" s="1782"/>
      <c r="G63" s="1782"/>
      <c r="H63" s="497"/>
      <c r="N63" s="6314"/>
      <c r="O63" s="6314"/>
      <c r="P63" s="6314"/>
      <c r="Q63" s="6314"/>
      <c r="R63" s="6314"/>
      <c r="S63" s="1512"/>
      <c r="U63" s="1512"/>
      <c r="V63" s="1782"/>
      <c r="W63" s="1782"/>
      <c r="X63" s="1512"/>
      <c r="Y63" s="1512"/>
      <c r="Z63" s="1512"/>
      <c r="AA63" s="1512"/>
      <c r="AB63" s="1782"/>
      <c r="AC63" s="1512"/>
      <c r="AD63" s="1512"/>
      <c r="AE63" s="690"/>
      <c r="AF63" s="1512"/>
      <c r="AG63" s="1512"/>
      <c r="AH63" s="1512"/>
      <c r="AI63" s="1512"/>
      <c r="AJ63" s="1512"/>
      <c r="AK63" s="1778"/>
      <c r="AL63" s="768"/>
      <c r="AM63" s="768"/>
      <c r="AN63" s="768"/>
      <c r="AO63" s="768"/>
      <c r="AP63" s="1787">
        <v>11</v>
      </c>
    </row>
    <row s="6314" customFormat="1" customHeight="1" ht="11.549999999999999">
      <c r="A64" s="1133"/>
      <c r="B64" s="1133"/>
      <c r="C64" s="1133"/>
      <c r="D64" s="1133"/>
      <c r="E64" s="1133"/>
      <c r="F64" s="1782"/>
      <c r="G64" s="1782"/>
      <c r="H64" s="497"/>
      <c r="N64" s="6314"/>
      <c r="O64" s="6314"/>
      <c r="P64" s="6314"/>
      <c r="Q64" s="6314"/>
      <c r="R64" s="6314"/>
      <c r="S64" s="1512"/>
      <c r="U64" s="1512"/>
      <c r="V64" s="1782"/>
      <c r="W64" s="1782"/>
      <c r="X64" s="1512"/>
      <c r="Y64" s="1512"/>
      <c r="Z64" s="1512"/>
      <c r="AA64" s="1512"/>
      <c r="AB64" s="1782"/>
      <c r="AC64" s="1512"/>
      <c r="AD64" s="1512"/>
      <c r="AE64" s="690"/>
      <c r="AF64" s="1512"/>
      <c r="AG64" s="1512"/>
      <c r="AH64" s="1512"/>
      <c r="AI64" s="1512"/>
      <c r="AJ64" s="1512"/>
      <c r="AK64" s="1778"/>
      <c r="AL64" s="768"/>
      <c r="AM64" s="768"/>
      <c r="AN64" s="768"/>
      <c r="AO64" s="768"/>
      <c r="AP64" s="1787">
        <v>11</v>
      </c>
    </row>
    <row s="6314" customFormat="1" customHeight="1" ht="11.549999999999999">
      <c r="A65" s="1133"/>
      <c r="B65" s="1133"/>
      <c r="C65" s="1133"/>
      <c r="D65" s="1133"/>
      <c r="E65" s="1133"/>
      <c r="F65" s="1782"/>
      <c r="G65" s="1782"/>
      <c r="H65" s="497"/>
      <c r="N65" s="6314"/>
      <c r="O65" s="6314"/>
      <c r="P65" s="6314"/>
      <c r="Q65" s="6314"/>
      <c r="R65" s="6314"/>
      <c r="S65" s="1512"/>
      <c r="U65" s="1512"/>
      <c r="V65" s="1782"/>
      <c r="W65" s="1782"/>
      <c r="X65" s="1512"/>
      <c r="Y65" s="1512"/>
      <c r="Z65" s="1512"/>
      <c r="AA65" s="1512"/>
      <c r="AB65" s="1782"/>
      <c r="AC65" s="1512"/>
      <c r="AD65" s="1512"/>
      <c r="AE65" s="690"/>
      <c r="AF65" s="1512"/>
      <c r="AG65" s="1512"/>
      <c r="AH65" s="1512"/>
      <c r="AI65" s="1512"/>
      <c r="AJ65" s="1512"/>
      <c r="AK65" s="1778"/>
      <c r="AL65" s="768"/>
      <c r="AM65" s="768"/>
      <c r="AN65" s="768"/>
      <c r="AO65" s="768"/>
      <c r="AP65" s="1787">
        <v>11</v>
      </c>
    </row>
    <row s="6314" customFormat="1" customHeight="1" ht="11.549999999999999">
      <c r="A66" s="1133"/>
      <c r="B66" s="1133"/>
      <c r="C66" s="1133"/>
      <c r="D66" s="1133"/>
      <c r="E66" s="1133"/>
      <c r="F66" s="1782"/>
      <c r="G66" s="1782"/>
      <c r="H66" s="497"/>
      <c r="N66" s="6314"/>
      <c r="O66" s="6314"/>
      <c r="P66" s="6314"/>
      <c r="Q66" s="6314"/>
      <c r="R66" s="6314"/>
      <c r="S66" s="1512"/>
      <c r="U66" s="1512"/>
      <c r="V66" s="1782"/>
      <c r="W66" s="1782"/>
      <c r="X66" s="1512"/>
      <c r="Y66" s="1512"/>
      <c r="Z66" s="1512"/>
      <c r="AA66" s="1512"/>
      <c r="AB66" s="1782"/>
      <c r="AC66" s="1512"/>
      <c r="AD66" s="1512"/>
      <c r="AE66" s="690"/>
      <c r="AF66" s="1512"/>
      <c r="AG66" s="1512"/>
      <c r="AH66" s="1512"/>
      <c r="AI66" s="1512"/>
      <c r="AJ66" s="1512"/>
      <c r="AK66" s="1778"/>
      <c r="AL66" s="768"/>
      <c r="AM66" s="768"/>
      <c r="AN66" s="768"/>
      <c r="AO66" s="768"/>
      <c r="AP66" s="1787">
        <v>11</v>
      </c>
    </row>
    <row s="6314" customFormat="1" customHeight="1" ht="11.549999999999999">
      <c r="A67" s="1133"/>
      <c r="B67" s="1133"/>
      <c r="C67" s="1133"/>
      <c r="D67" s="1133"/>
      <c r="E67" s="1133"/>
      <c r="F67" s="1782"/>
      <c r="G67" s="1782"/>
      <c r="H67" s="497"/>
      <c r="N67" s="6314"/>
      <c r="O67" s="6314"/>
      <c r="P67" s="6314"/>
      <c r="Q67" s="6314"/>
      <c r="R67" s="6314"/>
      <c r="S67" s="1512"/>
      <c r="U67" s="1512"/>
      <c r="V67" s="1782"/>
      <c r="W67" s="1782"/>
      <c r="X67" s="1512"/>
      <c r="Y67" s="1512"/>
      <c r="Z67" s="1512"/>
      <c r="AA67" s="1512"/>
      <c r="AB67" s="1782"/>
      <c r="AC67" s="1512"/>
      <c r="AD67" s="1512"/>
      <c r="AE67" s="690"/>
      <c r="AF67" s="1512"/>
      <c r="AG67" s="1512"/>
      <c r="AH67" s="1512"/>
      <c r="AI67" s="1512"/>
      <c r="AJ67" s="1512"/>
      <c r="AK67" s="1778"/>
      <c r="AL67" s="768"/>
      <c r="AM67" s="768"/>
      <c r="AN67" s="768"/>
      <c r="AO67" s="768"/>
      <c r="AP67" s="1787">
        <v>11</v>
      </c>
    </row>
    <row s="6314" customFormat="1" customHeight="1" ht="11.549999999999999">
      <c r="A68" s="1133"/>
      <c r="B68" s="1133"/>
      <c r="C68" s="1133"/>
      <c r="D68" s="1133"/>
      <c r="E68" s="1133"/>
      <c r="F68" s="1782"/>
      <c r="G68" s="1782"/>
      <c r="H68" s="497"/>
      <c r="N68" s="6314"/>
      <c r="O68" s="6314"/>
      <c r="P68" s="6314"/>
      <c r="Q68" s="6314"/>
      <c r="R68" s="6314"/>
      <c r="S68" s="1512"/>
      <c r="U68" s="1512"/>
      <c r="V68" s="1782"/>
      <c r="W68" s="1782"/>
      <c r="X68" s="1512"/>
      <c r="Y68" s="1512"/>
      <c r="Z68" s="1512"/>
      <c r="AA68" s="1512"/>
      <c r="AB68" s="1782"/>
      <c r="AC68" s="1512"/>
      <c r="AD68" s="1512"/>
      <c r="AE68" s="690"/>
      <c r="AF68" s="1512"/>
      <c r="AG68" s="1512"/>
      <c r="AH68" s="1512"/>
      <c r="AI68" s="1512"/>
      <c r="AJ68" s="1512"/>
      <c r="AK68" s="1778"/>
      <c r="AL68" s="768"/>
      <c r="AM68" s="768"/>
      <c r="AN68" s="768"/>
      <c r="AO68" s="768"/>
      <c r="AP68" s="1787">
        <v>11</v>
      </c>
    </row>
    <row s="6314" customFormat="1" customHeight="1" ht="11.549999999999999">
      <c r="A69" s="1133"/>
      <c r="B69" s="1133"/>
      <c r="C69" s="1133"/>
      <c r="D69" s="1133"/>
      <c r="E69" s="1133"/>
      <c r="F69" s="1782"/>
      <c r="G69" s="1782"/>
      <c r="H69" s="497"/>
      <c r="N69" s="6314"/>
      <c r="O69" s="6314"/>
      <c r="P69" s="6314"/>
      <c r="Q69" s="6314"/>
      <c r="R69" s="6314"/>
      <c r="S69" s="1512"/>
      <c r="U69" s="1512"/>
      <c r="V69" s="1782"/>
      <c r="W69" s="1782"/>
      <c r="X69" s="1512"/>
      <c r="Y69" s="1512"/>
      <c r="Z69" s="1512"/>
      <c r="AA69" s="1512"/>
      <c r="AB69" s="1782"/>
      <c r="AC69" s="1512"/>
      <c r="AD69" s="1512"/>
      <c r="AE69" s="690"/>
      <c r="AF69" s="1512"/>
      <c r="AG69" s="1512"/>
      <c r="AH69" s="1512"/>
      <c r="AI69" s="1512"/>
      <c r="AJ69" s="1512"/>
      <c r="AK69" s="1778"/>
      <c r="AL69" s="768"/>
      <c r="AM69" s="768"/>
      <c r="AN69" s="768"/>
      <c r="AO69" s="768"/>
      <c r="AP69" s="1787">
        <v>11</v>
      </c>
    </row>
    <row s="6314" customFormat="1" customHeight="1" ht="11.549999999999999">
      <c r="A70" s="1133"/>
      <c r="B70" s="1133"/>
      <c r="C70" s="1133"/>
      <c r="D70" s="1133"/>
      <c r="E70" s="1133"/>
      <c r="F70" s="1782"/>
      <c r="G70" s="1782"/>
      <c r="H70" s="497"/>
      <c r="N70" s="6314"/>
      <c r="O70" s="6314"/>
      <c r="P70" s="6314"/>
      <c r="Q70" s="6314"/>
      <c r="R70" s="6314"/>
      <c r="S70" s="1512"/>
      <c r="U70" s="1512"/>
      <c r="V70" s="1782"/>
      <c r="W70" s="1782"/>
      <c r="X70" s="1512"/>
      <c r="Y70" s="1512"/>
      <c r="Z70" s="1512"/>
      <c r="AA70" s="1512"/>
      <c r="AB70" s="1782"/>
      <c r="AC70" s="1512"/>
      <c r="AD70" s="1512"/>
      <c r="AE70" s="690"/>
      <c r="AF70" s="1512"/>
      <c r="AG70" s="1512"/>
      <c r="AH70" s="1512"/>
      <c r="AI70" s="1512"/>
      <c r="AJ70" s="1512"/>
      <c r="AK70" s="1778"/>
      <c r="AL70" s="768"/>
      <c r="AM70" s="768"/>
      <c r="AN70" s="768"/>
      <c r="AO70" s="768"/>
      <c r="AP70" s="1787">
        <v>11</v>
      </c>
    </row>
    <row s="6314" customFormat="1" customHeight="1" ht="11.549999999999999">
      <c r="A71" s="1133"/>
      <c r="B71" s="1133"/>
      <c r="C71" s="1133"/>
      <c r="D71" s="1133"/>
      <c r="E71" s="1133"/>
      <c r="F71" s="1782"/>
      <c r="G71" s="1782"/>
      <c r="H71" s="497"/>
      <c r="N71" s="6314"/>
      <c r="O71" s="6314"/>
      <c r="P71" s="6314"/>
      <c r="Q71" s="6314"/>
      <c r="R71" s="6314"/>
      <c r="S71" s="1512"/>
      <c r="U71" s="1512"/>
      <c r="V71" s="1782"/>
      <c r="W71" s="1782"/>
      <c r="X71" s="1512"/>
      <c r="Y71" s="1512"/>
      <c r="Z71" s="1512"/>
      <c r="AA71" s="1512"/>
      <c r="AB71" s="1782"/>
      <c r="AC71" s="1512"/>
      <c r="AD71" s="1512"/>
      <c r="AE71" s="690"/>
      <c r="AF71" s="1512"/>
      <c r="AG71" s="1512"/>
      <c r="AH71" s="1512"/>
      <c r="AI71" s="1512"/>
      <c r="AJ71" s="1512"/>
      <c r="AK71" s="1778"/>
      <c r="AL71" s="768"/>
      <c r="AM71" s="768"/>
      <c r="AN71" s="768"/>
      <c r="AO71" s="768"/>
      <c r="AP71" s="1787">
        <v>11</v>
      </c>
    </row>
    <row s="6314" customFormat="1" customHeight="1" ht="11.549999999999999">
      <c r="A72" s="1133"/>
      <c r="B72" s="1133"/>
      <c r="C72" s="1133"/>
      <c r="D72" s="1133"/>
      <c r="E72" s="1133"/>
      <c r="F72" s="1782"/>
      <c r="G72" s="1782"/>
      <c r="H72" s="497"/>
      <c r="N72" s="6314"/>
      <c r="O72" s="6314"/>
      <c r="P72" s="6314"/>
      <c r="Q72" s="6314"/>
      <c r="R72" s="6314"/>
      <c r="S72" s="1512"/>
      <c r="U72" s="1512"/>
      <c r="V72" s="1782"/>
      <c r="W72" s="1782"/>
      <c r="X72" s="1512"/>
      <c r="Y72" s="1512"/>
      <c r="Z72" s="1512"/>
      <c r="AA72" s="1512"/>
      <c r="AB72" s="1782"/>
      <c r="AC72" s="1512"/>
      <c r="AD72" s="1512"/>
      <c r="AE72" s="690"/>
      <c r="AF72" s="1512"/>
      <c r="AG72" s="1512"/>
      <c r="AH72" s="1512"/>
      <c r="AI72" s="1512"/>
      <c r="AJ72" s="1512"/>
      <c r="AK72" s="1778"/>
      <c r="AL72" s="768"/>
      <c r="AM72" s="768"/>
      <c r="AN72" s="768"/>
      <c r="AO72" s="768"/>
      <c r="AP72" s="1787">
        <v>11</v>
      </c>
    </row>
    <row s="6314" customFormat="1" customHeight="1" ht="11.549999999999999">
      <c r="A73" s="1133"/>
      <c r="B73" s="1133"/>
      <c r="C73" s="1133"/>
      <c r="D73" s="1133"/>
      <c r="E73" s="1133"/>
      <c r="F73" s="1782"/>
      <c r="G73" s="1782"/>
      <c r="H73" s="497"/>
      <c r="N73" s="6314"/>
      <c r="O73" s="6314"/>
      <c r="P73" s="6314"/>
      <c r="Q73" s="6314"/>
      <c r="R73" s="6314"/>
      <c r="S73" s="1512"/>
      <c r="U73" s="1512"/>
      <c r="V73" s="1782"/>
      <c r="W73" s="1782"/>
      <c r="X73" s="1512"/>
      <c r="Y73" s="1512"/>
      <c r="Z73" s="1512"/>
      <c r="AA73" s="1512"/>
      <c r="AB73" s="1782"/>
      <c r="AC73" s="1512"/>
      <c r="AD73" s="1512"/>
      <c r="AE73" s="690"/>
      <c r="AF73" s="1512"/>
      <c r="AG73" s="1512"/>
      <c r="AH73" s="1512"/>
      <c r="AI73" s="1512"/>
      <c r="AJ73" s="1512"/>
      <c r="AK73" s="1778"/>
      <c r="AL73" s="768"/>
      <c r="AM73" s="768"/>
      <c r="AN73" s="768"/>
      <c r="AO73" s="768"/>
      <c r="AP73" s="1787">
        <v>11</v>
      </c>
    </row>
    <row s="6314" customFormat="1" customHeight="1" ht="11.549999999999999">
      <c r="A74" s="1133"/>
      <c r="B74" s="1133"/>
      <c r="C74" s="1133"/>
      <c r="D74" s="1133"/>
      <c r="E74" s="1133"/>
      <c r="F74" s="1782"/>
      <c r="G74" s="1782"/>
      <c r="H74" s="497"/>
      <c r="N74" s="6314"/>
      <c r="O74" s="6314"/>
      <c r="P74" s="6314"/>
      <c r="Q74" s="6314"/>
      <c r="R74" s="6314"/>
      <c r="S74" s="1512"/>
      <c r="U74" s="1512"/>
      <c r="V74" s="1782"/>
      <c r="W74" s="1782"/>
      <c r="X74" s="1512"/>
      <c r="Y74" s="1512"/>
      <c r="Z74" s="1512"/>
      <c r="AA74" s="1512"/>
      <c r="AB74" s="1782"/>
      <c r="AC74" s="1512"/>
      <c r="AD74" s="1512"/>
      <c r="AE74" s="690"/>
      <c r="AF74" s="1512"/>
      <c r="AG74" s="1512"/>
      <c r="AH74" s="1512"/>
      <c r="AI74" s="1512"/>
      <c r="AJ74" s="1512"/>
      <c r="AK74" s="1778"/>
      <c r="AL74" s="768"/>
      <c r="AM74" s="768"/>
      <c r="AN74" s="768"/>
      <c r="AO74" s="768"/>
      <c r="AP74" s="1787">
        <v>11</v>
      </c>
    </row>
    <row s="6314" customFormat="1" customHeight="1" ht="11.549999999999999">
      <c r="A75" s="1133"/>
      <c r="B75" s="1133"/>
      <c r="C75" s="1133"/>
      <c r="D75" s="1133"/>
      <c r="E75" s="1133"/>
      <c r="F75" s="1782"/>
      <c r="G75" s="1782"/>
      <c r="H75" s="497"/>
      <c r="N75" s="6314"/>
      <c r="O75" s="6314"/>
      <c r="P75" s="6314"/>
      <c r="Q75" s="6314"/>
      <c r="R75" s="6314"/>
      <c r="S75" s="1512"/>
      <c r="U75" s="1512"/>
      <c r="V75" s="1782"/>
      <c r="W75" s="1782"/>
      <c r="X75" s="1512"/>
      <c r="Y75" s="1512"/>
      <c r="Z75" s="1512"/>
      <c r="AA75" s="1512"/>
      <c r="AB75" s="1782"/>
      <c r="AC75" s="1512"/>
      <c r="AD75" s="1512"/>
      <c r="AE75" s="690"/>
      <c r="AF75" s="1512"/>
      <c r="AG75" s="1512"/>
      <c r="AH75" s="1512"/>
      <c r="AI75" s="1512"/>
      <c r="AJ75" s="1512"/>
      <c r="AK75" s="1778"/>
      <c r="AL75" s="768"/>
      <c r="AM75" s="768"/>
      <c r="AN75" s="768"/>
      <c r="AO75" s="768"/>
      <c r="AP75" s="1787">
        <v>11</v>
      </c>
    </row>
    <row s="6314" customFormat="1" customHeight="1" ht="11.549999999999999">
      <c r="A76" s="1133"/>
      <c r="B76" s="1133"/>
      <c r="C76" s="1133"/>
      <c r="D76" s="1133"/>
      <c r="E76" s="1133"/>
      <c r="F76" s="1782"/>
      <c r="G76" s="1782"/>
      <c r="H76" s="497"/>
      <c r="N76" s="6314"/>
      <c r="O76" s="6314"/>
      <c r="P76" s="6314"/>
      <c r="Q76" s="6314"/>
      <c r="R76" s="6314"/>
      <c r="S76" s="1512"/>
      <c r="U76" s="1512"/>
      <c r="V76" s="1782"/>
      <c r="W76" s="1782"/>
      <c r="X76" s="1512"/>
      <c r="Y76" s="1512"/>
      <c r="Z76" s="1512"/>
      <c r="AA76" s="1512"/>
      <c r="AB76" s="1782"/>
      <c r="AC76" s="1512"/>
      <c r="AD76" s="1512"/>
      <c r="AE76" s="690"/>
      <c r="AF76" s="1512"/>
      <c r="AG76" s="1512"/>
      <c r="AH76" s="1512"/>
      <c r="AI76" s="1512"/>
      <c r="AJ76" s="1512"/>
      <c r="AK76" s="1778"/>
      <c r="AL76" s="768"/>
      <c r="AM76" s="768"/>
      <c r="AN76" s="768"/>
      <c r="AO76" s="768"/>
      <c r="AP76" s="1787">
        <v>11</v>
      </c>
    </row>
    <row s="6314" customFormat="1" customHeight="1" ht="11.549999999999999">
      <c r="A77" s="1133"/>
      <c r="B77" s="1133"/>
      <c r="C77" s="1133"/>
      <c r="D77" s="1133"/>
      <c r="E77" s="1133"/>
      <c r="F77" s="1782"/>
      <c r="G77" s="1782"/>
      <c r="H77" s="497"/>
      <c r="N77" s="6314"/>
      <c r="O77" s="6314"/>
      <c r="P77" s="6314"/>
      <c r="Q77" s="6314"/>
      <c r="R77" s="6314"/>
      <c r="S77" s="1512"/>
      <c r="U77" s="1512"/>
      <c r="V77" s="1782"/>
      <c r="W77" s="1782"/>
      <c r="X77" s="1512"/>
      <c r="Y77" s="1512"/>
      <c r="Z77" s="1512"/>
      <c r="AA77" s="1512"/>
      <c r="AB77" s="1782"/>
      <c r="AC77" s="1512"/>
      <c r="AD77" s="1512"/>
      <c r="AE77" s="690"/>
      <c r="AF77" s="1512"/>
      <c r="AG77" s="1512"/>
      <c r="AH77" s="1512"/>
      <c r="AI77" s="1512"/>
      <c r="AJ77" s="1512"/>
      <c r="AK77" s="1778"/>
      <c r="AL77" s="768"/>
      <c r="AM77" s="768"/>
      <c r="AN77" s="768"/>
      <c r="AO77" s="768"/>
      <c r="AP77" s="1787">
        <v>11</v>
      </c>
    </row>
    <row s="6314" customFormat="1" customHeight="1" ht="11.549999999999999">
      <c r="A78" s="1133"/>
      <c r="B78" s="1133"/>
      <c r="C78" s="1133"/>
      <c r="D78" s="1133"/>
      <c r="E78" s="1133"/>
      <c r="F78" s="1782"/>
      <c r="G78" s="1782"/>
      <c r="H78" s="497"/>
      <c r="N78" s="6314"/>
      <c r="O78" s="6314"/>
      <c r="P78" s="6314"/>
      <c r="Q78" s="6314"/>
      <c r="R78" s="6314"/>
      <c r="S78" s="1512"/>
      <c r="U78" s="1512"/>
      <c r="V78" s="1782"/>
      <c r="W78" s="1782"/>
      <c r="X78" s="1512"/>
      <c r="Y78" s="1512"/>
      <c r="Z78" s="1512"/>
      <c r="AA78" s="1512"/>
      <c r="AB78" s="1782"/>
      <c r="AC78" s="1512"/>
      <c r="AD78" s="1512"/>
      <c r="AE78" s="690"/>
      <c r="AF78" s="1512"/>
      <c r="AG78" s="1512"/>
      <c r="AH78" s="1512"/>
      <c r="AI78" s="1512"/>
      <c r="AJ78" s="1512"/>
      <c r="AK78" s="1778"/>
      <c r="AL78" s="768"/>
      <c r="AM78" s="768"/>
      <c r="AN78" s="768"/>
      <c r="AO78" s="768"/>
      <c r="AP78" s="1787">
        <v>11</v>
      </c>
    </row>
    <row s="6314" customFormat="1" customHeight="1" ht="11.549999999999999">
      <c r="A79" s="1133"/>
      <c r="B79" s="1133"/>
      <c r="C79" s="1133"/>
      <c r="D79" s="1133"/>
      <c r="E79" s="1133"/>
      <c r="F79" s="1782"/>
      <c r="G79" s="1782"/>
      <c r="H79" s="497"/>
      <c r="N79" s="6314"/>
      <c r="O79" s="6314"/>
      <c r="P79" s="6314"/>
      <c r="Q79" s="6314"/>
      <c r="R79" s="6314"/>
      <c r="S79" s="1512"/>
      <c r="U79" s="1512"/>
      <c r="V79" s="1782"/>
      <c r="W79" s="1782"/>
      <c r="X79" s="1512"/>
      <c r="Y79" s="1512"/>
      <c r="Z79" s="1512"/>
      <c r="AA79" s="1512"/>
      <c r="AB79" s="1782"/>
      <c r="AC79" s="1512"/>
      <c r="AD79" s="1512"/>
      <c r="AE79" s="690"/>
      <c r="AF79" s="1512"/>
      <c r="AG79" s="1512"/>
      <c r="AH79" s="1512"/>
      <c r="AI79" s="1512"/>
      <c r="AJ79" s="1512"/>
      <c r="AK79" s="1778"/>
      <c r="AL79" s="768"/>
      <c r="AM79" s="768"/>
      <c r="AN79" s="768"/>
      <c r="AO79" s="768"/>
      <c r="AP79" s="1787">
        <v>11</v>
      </c>
    </row>
    <row s="6314" customFormat="1" customHeight="1" ht="11.549999999999999">
      <c r="A80" s="1133"/>
      <c r="B80" s="1133"/>
      <c r="C80" s="1133"/>
      <c r="D80" s="1133"/>
      <c r="E80" s="1133"/>
      <c r="F80" s="1782"/>
      <c r="G80" s="1782"/>
      <c r="H80" s="497"/>
      <c r="N80" s="6314"/>
      <c r="O80" s="6314"/>
      <c r="P80" s="6314"/>
      <c r="Q80" s="6314"/>
      <c r="R80" s="6314"/>
      <c r="S80" s="1512"/>
      <c r="U80" s="1512"/>
      <c r="V80" s="1782"/>
      <c r="W80" s="1782"/>
      <c r="X80" s="1512"/>
      <c r="Y80" s="1512"/>
      <c r="Z80" s="1512"/>
      <c r="AA80" s="1512"/>
      <c r="AB80" s="1782"/>
      <c r="AC80" s="1512"/>
      <c r="AD80" s="1512"/>
      <c r="AE80" s="690"/>
      <c r="AF80" s="1512"/>
      <c r="AG80" s="1512"/>
      <c r="AH80" s="1512"/>
      <c r="AI80" s="1512"/>
      <c r="AJ80" s="1512"/>
      <c r="AK80" s="1778"/>
      <c r="AL80" s="768"/>
      <c r="AM80" s="768"/>
      <c r="AN80" s="768"/>
      <c r="AO80" s="768"/>
      <c r="AP80" s="1787">
        <v>11</v>
      </c>
    </row>
    <row s="6314" customFormat="1" customHeight="1" ht="11.549999999999999">
      <c r="A81" s="1133"/>
      <c r="B81" s="1133"/>
      <c r="C81" s="1133"/>
      <c r="D81" s="1133"/>
      <c r="E81" s="1133"/>
      <c r="F81" s="1782"/>
      <c r="G81" s="1782"/>
      <c r="H81" s="497"/>
      <c r="N81" s="6314"/>
      <c r="O81" s="6314"/>
      <c r="P81" s="6314"/>
      <c r="Q81" s="6314"/>
      <c r="R81" s="6314"/>
      <c r="S81" s="1512"/>
      <c r="U81" s="1512"/>
      <c r="V81" s="1782"/>
      <c r="W81" s="1782"/>
      <c r="X81" s="1512"/>
      <c r="Y81" s="1512"/>
      <c r="Z81" s="1512"/>
      <c r="AA81" s="1512"/>
      <c r="AB81" s="1782"/>
      <c r="AC81" s="1512"/>
      <c r="AD81" s="1512"/>
      <c r="AE81" s="690"/>
      <c r="AF81" s="1512"/>
      <c r="AG81" s="1512"/>
      <c r="AH81" s="1512"/>
      <c r="AI81" s="1512"/>
      <c r="AJ81" s="1512"/>
      <c r="AK81" s="1778"/>
      <c r="AL81" s="768"/>
      <c r="AM81" s="768"/>
      <c r="AN81" s="768"/>
      <c r="AO81" s="768"/>
      <c r="AP81" s="1787">
        <v>11</v>
      </c>
    </row>
    <row s="6314" customFormat="1" customHeight="1" ht="11.549999999999999">
      <c r="A82" s="1133"/>
      <c r="B82" s="1133"/>
      <c r="C82" s="1133"/>
      <c r="D82" s="1133"/>
      <c r="E82" s="1133"/>
      <c r="F82" s="1782"/>
      <c r="G82" s="1782"/>
      <c r="H82" s="497"/>
      <c r="N82" s="6314"/>
      <c r="O82" s="6314"/>
      <c r="P82" s="6314"/>
      <c r="Q82" s="6314"/>
      <c r="R82" s="6314"/>
      <c r="S82" s="1512"/>
      <c r="U82" s="1512"/>
      <c r="V82" s="1782"/>
      <c r="W82" s="1782"/>
      <c r="X82" s="1512"/>
      <c r="Y82" s="1512"/>
      <c r="Z82" s="1512"/>
      <c r="AA82" s="1512"/>
      <c r="AB82" s="1782"/>
      <c r="AC82" s="1512"/>
      <c r="AD82" s="1512"/>
      <c r="AE82" s="690"/>
      <c r="AF82" s="1512"/>
      <c r="AG82" s="1512"/>
      <c r="AH82" s="1512"/>
      <c r="AI82" s="1512"/>
      <c r="AJ82" s="1512"/>
      <c r="AK82" s="1778"/>
      <c r="AL82" s="768"/>
      <c r="AM82" s="768"/>
      <c r="AN82" s="768"/>
      <c r="AO82" s="768"/>
      <c r="AP82" s="1787">
        <v>11</v>
      </c>
    </row>
    <row s="6314" customFormat="1" customHeight="1" ht="11.549999999999999">
      <c r="A83" s="1133"/>
      <c r="B83" s="1133"/>
      <c r="C83" s="1133"/>
      <c r="D83" s="1133"/>
      <c r="E83" s="1133"/>
      <c r="F83" s="1782"/>
      <c r="G83" s="1782"/>
      <c r="H83" s="497"/>
      <c r="N83" s="6314"/>
      <c r="O83" s="6314"/>
      <c r="P83" s="6314"/>
      <c r="Q83" s="6314"/>
      <c r="R83" s="6314"/>
      <c r="S83" s="1512"/>
      <c r="U83" s="1512"/>
      <c r="V83" s="1782"/>
      <c r="W83" s="1782"/>
      <c r="X83" s="1512"/>
      <c r="Y83" s="1512"/>
      <c r="Z83" s="1512"/>
      <c r="AA83" s="1512"/>
      <c r="AB83" s="1782"/>
      <c r="AC83" s="1512"/>
      <c r="AD83" s="1512"/>
      <c r="AE83" s="690"/>
      <c r="AF83" s="1512"/>
      <c r="AG83" s="1512"/>
      <c r="AH83" s="1512"/>
      <c r="AI83" s="1512"/>
      <c r="AJ83" s="1512"/>
      <c r="AK83" s="1778"/>
      <c r="AL83" s="768"/>
      <c r="AM83" s="768"/>
      <c r="AN83" s="768"/>
      <c r="AO83" s="768"/>
      <c r="AP83" s="1787">
        <v>11</v>
      </c>
    </row>
    <row s="6314" customFormat="1" customHeight="1" ht="11.549999999999999">
      <c r="A84" s="1133"/>
      <c r="B84" s="1133"/>
      <c r="C84" s="1133"/>
      <c r="D84" s="1133"/>
      <c r="E84" s="1133"/>
      <c r="F84" s="1782"/>
      <c r="G84" s="1782"/>
      <c r="H84" s="497"/>
      <c r="N84" s="6314"/>
      <c r="O84" s="6314"/>
      <c r="P84" s="6314"/>
      <c r="Q84" s="6314"/>
      <c r="R84" s="6314"/>
      <c r="S84" s="1512"/>
      <c r="U84" s="1512"/>
      <c r="V84" s="1782"/>
      <c r="W84" s="1782"/>
      <c r="X84" s="1512"/>
      <c r="Y84" s="1512"/>
      <c r="Z84" s="1512"/>
      <c r="AA84" s="1512"/>
      <c r="AB84" s="1782"/>
      <c r="AC84" s="1512"/>
      <c r="AD84" s="1512"/>
      <c r="AE84" s="690"/>
      <c r="AF84" s="1512"/>
      <c r="AG84" s="1512"/>
      <c r="AH84" s="1512"/>
      <c r="AI84" s="1512"/>
      <c r="AJ84" s="1512"/>
      <c r="AK84" s="1778"/>
      <c r="AL84" s="768"/>
      <c r="AM84" s="768"/>
      <c r="AN84" s="768"/>
      <c r="AO84" s="768"/>
      <c r="AP84" s="1787">
        <v>11</v>
      </c>
    </row>
    <row s="6314" customFormat="1" customHeight="1" ht="11.549999999999999">
      <c r="A85" s="1133"/>
      <c r="B85" s="1133"/>
      <c r="C85" s="1133"/>
      <c r="D85" s="1133"/>
      <c r="E85" s="1133"/>
      <c r="F85" s="1782"/>
      <c r="G85" s="1782"/>
      <c r="H85" s="497"/>
      <c r="N85" s="6314"/>
      <c r="O85" s="6314"/>
      <c r="P85" s="6314"/>
      <c r="Q85" s="6314"/>
      <c r="R85" s="6314"/>
      <c r="S85" s="1512"/>
      <c r="U85" s="1512"/>
      <c r="V85" s="1782"/>
      <c r="W85" s="1782"/>
      <c r="X85" s="1512"/>
      <c r="Y85" s="1512"/>
      <c r="Z85" s="1512"/>
      <c r="AA85" s="1512"/>
      <c r="AB85" s="1782"/>
      <c r="AC85" s="1512"/>
      <c r="AD85" s="1512"/>
      <c r="AE85" s="690"/>
      <c r="AF85" s="1512"/>
      <c r="AG85" s="1512"/>
      <c r="AH85" s="1512"/>
      <c r="AI85" s="1512"/>
      <c r="AJ85" s="1512"/>
      <c r="AK85" s="1778"/>
      <c r="AL85" s="768"/>
      <c r="AM85" s="768"/>
      <c r="AN85" s="768"/>
      <c r="AO85" s="768"/>
      <c r="AP85" s="1787">
        <v>11</v>
      </c>
    </row>
    <row s="6314" customFormat="1" customHeight="1" ht="11.549999999999999">
      <c r="A86" s="1133"/>
      <c r="B86" s="1133"/>
      <c r="C86" s="1133"/>
      <c r="D86" s="1133"/>
      <c r="E86" s="1133"/>
      <c r="F86" s="1782"/>
      <c r="G86" s="1782"/>
      <c r="H86" s="497"/>
      <c r="N86" s="6314"/>
      <c r="O86" s="6314"/>
      <c r="P86" s="6314"/>
      <c r="Q86" s="6314"/>
      <c r="R86" s="6314"/>
      <c r="S86" s="1512"/>
      <c r="U86" s="1512"/>
      <c r="V86" s="1782"/>
      <c r="W86" s="1782"/>
      <c r="X86" s="1512"/>
      <c r="Y86" s="1512"/>
      <c r="Z86" s="1512"/>
      <c r="AA86" s="1512"/>
      <c r="AB86" s="1782"/>
      <c r="AC86" s="1512"/>
      <c r="AD86" s="1512"/>
      <c r="AE86" s="690"/>
      <c r="AF86" s="1512"/>
      <c r="AG86" s="1512"/>
      <c r="AH86" s="1512"/>
      <c r="AI86" s="1512"/>
      <c r="AJ86" s="1512"/>
      <c r="AK86" s="1778"/>
      <c r="AL86" s="768"/>
      <c r="AM86" s="768"/>
      <c r="AN86" s="768"/>
      <c r="AO86" s="768"/>
      <c r="AP86" s="1787">
        <v>11</v>
      </c>
    </row>
    <row s="6314" customFormat="1" customHeight="1" ht="11.549999999999999">
      <c r="A87" s="1133"/>
      <c r="B87" s="1133"/>
      <c r="C87" s="1133"/>
      <c r="D87" s="1133"/>
      <c r="E87" s="1133"/>
      <c r="F87" s="1782"/>
      <c r="G87" s="1782"/>
      <c r="H87" s="497"/>
      <c r="N87" s="6314"/>
      <c r="O87" s="6314"/>
      <c r="P87" s="6314"/>
      <c r="Q87" s="6314"/>
      <c r="R87" s="6314"/>
      <c r="S87" s="1512"/>
      <c r="U87" s="1512"/>
      <c r="V87" s="1782"/>
      <c r="W87" s="1782"/>
      <c r="X87" s="1512"/>
      <c r="Y87" s="1512"/>
      <c r="Z87" s="1512"/>
      <c r="AA87" s="1512"/>
      <c r="AB87" s="1782"/>
      <c r="AC87" s="1512"/>
      <c r="AD87" s="1512"/>
      <c r="AE87" s="690"/>
      <c r="AF87" s="1512"/>
      <c r="AG87" s="1512"/>
      <c r="AH87" s="1512"/>
      <c r="AI87" s="1512"/>
      <c r="AJ87" s="1512"/>
      <c r="AK87" s="1778"/>
      <c r="AL87" s="768"/>
      <c r="AM87" s="768"/>
      <c r="AN87" s="768"/>
      <c r="AO87" s="768"/>
      <c r="AP87" s="1787">
        <v>11</v>
      </c>
    </row>
    <row s="6314" customFormat="1" customHeight="1" ht="11.549999999999999">
      <c r="A88" s="1133"/>
      <c r="B88" s="1133"/>
      <c r="C88" s="1133"/>
      <c r="D88" s="1133"/>
      <c r="E88" s="1133"/>
      <c r="F88" s="1782"/>
      <c r="G88" s="1782"/>
      <c r="H88" s="497"/>
      <c r="N88" s="6314"/>
      <c r="O88" s="6314"/>
      <c r="P88" s="6314"/>
      <c r="Q88" s="6314"/>
      <c r="R88" s="6314"/>
      <c r="S88" s="1512"/>
      <c r="U88" s="1512"/>
      <c r="V88" s="1782"/>
      <c r="W88" s="1782"/>
      <c r="X88" s="1512"/>
      <c r="Y88" s="1512"/>
      <c r="Z88" s="1512"/>
      <c r="AA88" s="1512"/>
      <c r="AB88" s="1782"/>
      <c r="AC88" s="1512"/>
      <c r="AD88" s="1512"/>
      <c r="AE88" s="690"/>
      <c r="AF88" s="1512"/>
      <c r="AG88" s="1512"/>
      <c r="AH88" s="1512"/>
      <c r="AI88" s="1512"/>
      <c r="AJ88" s="1512"/>
      <c r="AK88" s="1778"/>
      <c r="AL88" s="768"/>
      <c r="AM88" s="768"/>
      <c r="AN88" s="768"/>
      <c r="AO88" s="768"/>
      <c r="AP88" s="1787">
        <v>11</v>
      </c>
    </row>
    <row s="6314" customFormat="1" customHeight="1" ht="11.549999999999999">
      <c r="A89" s="1133"/>
      <c r="B89" s="1133"/>
      <c r="C89" s="1133"/>
      <c r="D89" s="1133"/>
      <c r="E89" s="1133"/>
      <c r="F89" s="1782"/>
      <c r="G89" s="1782"/>
      <c r="H89" s="497"/>
      <c r="N89" s="6314"/>
      <c r="O89" s="6314"/>
      <c r="P89" s="6314"/>
      <c r="Q89" s="6314"/>
      <c r="R89" s="6314"/>
      <c r="S89" s="1512"/>
      <c r="U89" s="1512"/>
      <c r="V89" s="1782"/>
      <c r="W89" s="1782"/>
      <c r="X89" s="1512"/>
      <c r="Y89" s="1512"/>
      <c r="Z89" s="1512"/>
      <c r="AA89" s="1512"/>
      <c r="AB89" s="1782"/>
      <c r="AC89" s="1512"/>
      <c r="AD89" s="1512"/>
      <c r="AE89" s="690"/>
      <c r="AF89" s="1512"/>
      <c r="AG89" s="1512"/>
      <c r="AH89" s="1512"/>
      <c r="AI89" s="1512"/>
      <c r="AJ89" s="1512"/>
      <c r="AK89" s="1778"/>
      <c r="AL89" s="768"/>
      <c r="AM89" s="768"/>
      <c r="AN89" s="768"/>
      <c r="AO89" s="768"/>
      <c r="AP89" s="1787">
        <v>11</v>
      </c>
    </row>
    <row s="6314" customFormat="1" customHeight="1" ht="11.549999999999999">
      <c r="A90" s="1133"/>
      <c r="B90" s="1133"/>
      <c r="C90" s="1133"/>
      <c r="D90" s="1133"/>
      <c r="E90" s="1133"/>
      <c r="F90" s="1782"/>
      <c r="G90" s="1782"/>
      <c r="H90" s="497"/>
      <c r="N90" s="6314"/>
      <c r="O90" s="6314"/>
      <c r="P90" s="6314"/>
      <c r="Q90" s="6314"/>
      <c r="R90" s="6314"/>
      <c r="S90" s="1512"/>
      <c r="U90" s="1512"/>
      <c r="V90" s="1782"/>
      <c r="W90" s="1782"/>
      <c r="X90" s="1512"/>
      <c r="Y90" s="1512"/>
      <c r="Z90" s="1512"/>
      <c r="AA90" s="1512"/>
      <c r="AB90" s="1782"/>
      <c r="AC90" s="1512"/>
      <c r="AD90" s="1512"/>
      <c r="AE90" s="690"/>
      <c r="AF90" s="1512"/>
      <c r="AG90" s="1512"/>
      <c r="AH90" s="1512"/>
      <c r="AI90" s="1512"/>
      <c r="AJ90" s="1512"/>
      <c r="AK90" s="1778"/>
      <c r="AL90" s="768"/>
      <c r="AM90" s="768"/>
      <c r="AN90" s="768"/>
      <c r="AO90" s="768"/>
      <c r="AP90" s="1787">
        <v>11</v>
      </c>
    </row>
    <row s="6314" customFormat="1" customHeight="1" ht="11.549999999999999">
      <c r="A91" s="1133"/>
      <c r="B91" s="1133"/>
      <c r="C91" s="1133"/>
      <c r="D91" s="1133"/>
      <c r="E91" s="1133"/>
      <c r="F91" s="1782"/>
      <c r="G91" s="1782"/>
      <c r="H91" s="497"/>
      <c r="N91" s="6314"/>
      <c r="O91" s="6314"/>
      <c r="P91" s="6314"/>
      <c r="Q91" s="6314"/>
      <c r="R91" s="6314"/>
      <c r="S91" s="1512"/>
      <c r="U91" s="1512"/>
      <c r="V91" s="1782"/>
      <c r="W91" s="1782"/>
      <c r="X91" s="1512"/>
      <c r="Y91" s="1512"/>
      <c r="Z91" s="1512"/>
      <c r="AA91" s="1512"/>
      <c r="AB91" s="1782"/>
      <c r="AC91" s="1512"/>
      <c r="AD91" s="1512"/>
      <c r="AE91" s="690"/>
      <c r="AF91" s="1512"/>
      <c r="AG91" s="1512"/>
      <c r="AH91" s="1512"/>
      <c r="AI91" s="1512"/>
      <c r="AJ91" s="1512"/>
      <c r="AK91" s="1778"/>
      <c r="AL91" s="768"/>
      <c r="AM91" s="768"/>
      <c r="AN91" s="768"/>
      <c r="AO91" s="768"/>
      <c r="AP91" s="1787">
        <v>11</v>
      </c>
    </row>
    <row s="6314" customFormat="1" customHeight="1" ht="11.549999999999999">
      <c r="A92" s="1133"/>
      <c r="B92" s="1133"/>
      <c r="C92" s="1133"/>
      <c r="D92" s="1133"/>
      <c r="E92" s="1133"/>
      <c r="F92" s="1782"/>
      <c r="G92" s="1782"/>
      <c r="H92" s="497"/>
      <c r="N92" s="6314"/>
      <c r="O92" s="6314"/>
      <c r="P92" s="6314"/>
      <c r="Q92" s="6314"/>
      <c r="R92" s="6314"/>
      <c r="S92" s="1512"/>
      <c r="U92" s="1512"/>
      <c r="V92" s="1782"/>
      <c r="W92" s="1782"/>
      <c r="X92" s="1512"/>
      <c r="Y92" s="1512"/>
      <c r="Z92" s="1512"/>
      <c r="AA92" s="1512"/>
      <c r="AB92" s="1782"/>
      <c r="AC92" s="1512"/>
      <c r="AD92" s="1512"/>
      <c r="AE92" s="690"/>
      <c r="AF92" s="1512"/>
      <c r="AG92" s="1512"/>
      <c r="AH92" s="1512"/>
      <c r="AI92" s="1512"/>
      <c r="AJ92" s="1512"/>
      <c r="AK92" s="1778"/>
      <c r="AL92" s="768"/>
      <c r="AM92" s="768"/>
      <c r="AN92" s="768"/>
      <c r="AO92" s="768"/>
      <c r="AP92" s="1787">
        <v>11</v>
      </c>
    </row>
    <row s="6314" customFormat="1" customHeight="1" ht="11.549999999999999">
      <c r="A93" s="1133"/>
      <c r="B93" s="1133"/>
      <c r="C93" s="1133"/>
      <c r="D93" s="1133"/>
      <c r="E93" s="1133"/>
      <c r="F93" s="1782"/>
      <c r="G93" s="1782"/>
      <c r="H93" s="497"/>
      <c r="N93" s="6314"/>
      <c r="O93" s="6314"/>
      <c r="P93" s="6314"/>
      <c r="Q93" s="6314"/>
      <c r="R93" s="6314"/>
      <c r="S93" s="1512"/>
      <c r="U93" s="1512"/>
      <c r="V93" s="1782"/>
      <c r="W93" s="1782"/>
      <c r="X93" s="1512"/>
      <c r="Y93" s="1512"/>
      <c r="Z93" s="1512"/>
      <c r="AA93" s="1512"/>
      <c r="AB93" s="1782"/>
      <c r="AC93" s="1512"/>
      <c r="AD93" s="1512"/>
      <c r="AE93" s="690"/>
      <c r="AF93" s="1512"/>
      <c r="AG93" s="1512"/>
      <c r="AH93" s="1512"/>
      <c r="AI93" s="1512"/>
      <c r="AJ93" s="1512"/>
      <c r="AK93" s="1778"/>
      <c r="AL93" s="768"/>
      <c r="AM93" s="768"/>
      <c r="AN93" s="768"/>
      <c r="AO93" s="768"/>
      <c r="AP93" s="1787">
        <v>11</v>
      </c>
    </row>
    <row s="6314" customFormat="1" customHeight="1" ht="11.549999999999999">
      <c r="A94" s="1133"/>
      <c r="B94" s="1133"/>
      <c r="C94" s="1133"/>
      <c r="D94" s="1133"/>
      <c r="E94" s="1133"/>
      <c r="F94" s="1782"/>
      <c r="G94" s="1782"/>
      <c r="H94" s="497"/>
      <c r="N94" s="6314"/>
      <c r="O94" s="6314"/>
      <c r="P94" s="6314"/>
      <c r="Q94" s="6314"/>
      <c r="R94" s="6314"/>
      <c r="S94" s="1512"/>
      <c r="U94" s="1512"/>
      <c r="V94" s="1782"/>
      <c r="W94" s="1782"/>
      <c r="X94" s="1512"/>
      <c r="Y94" s="1512"/>
      <c r="Z94" s="1512"/>
      <c r="AA94" s="1512"/>
      <c r="AB94" s="1782"/>
      <c r="AC94" s="1512"/>
      <c r="AD94" s="1512"/>
      <c r="AE94" s="690"/>
      <c r="AF94" s="1512"/>
      <c r="AG94" s="1512"/>
      <c r="AH94" s="1512"/>
      <c r="AI94" s="1512"/>
      <c r="AJ94" s="1512"/>
      <c r="AK94" s="1778"/>
      <c r="AL94" s="768"/>
      <c r="AM94" s="768"/>
      <c r="AN94" s="768"/>
      <c r="AO94" s="768"/>
      <c r="AP94" s="1787">
        <v>11</v>
      </c>
    </row>
    <row s="6314" customFormat="1" customHeight="1" ht="11.549999999999999">
      <c r="A95" s="1133"/>
      <c r="B95" s="1133"/>
      <c r="C95" s="1133"/>
      <c r="D95" s="1133"/>
      <c r="E95" s="1133"/>
      <c r="F95" s="1782"/>
      <c r="G95" s="1782"/>
      <c r="H95" s="497"/>
      <c r="N95" s="6314"/>
      <c r="O95" s="6314"/>
      <c r="P95" s="6314"/>
      <c r="Q95" s="6314"/>
      <c r="R95" s="6314"/>
      <c r="S95" s="1512"/>
      <c r="U95" s="1512"/>
      <c r="V95" s="1782"/>
      <c r="W95" s="1782"/>
      <c r="X95" s="1512"/>
      <c r="Y95" s="1512"/>
      <c r="Z95" s="1512"/>
      <c r="AA95" s="1512"/>
      <c r="AB95" s="1782"/>
      <c r="AC95" s="1512"/>
      <c r="AD95" s="1512"/>
      <c r="AE95" s="690"/>
      <c r="AF95" s="1512"/>
      <c r="AG95" s="1512"/>
      <c r="AH95" s="1512"/>
      <c r="AI95" s="1512"/>
      <c r="AJ95" s="1512"/>
      <c r="AK95" s="1778"/>
      <c r="AL95" s="768"/>
      <c r="AM95" s="768"/>
      <c r="AN95" s="768"/>
      <c r="AO95" s="768"/>
      <c r="AP95" s="1787">
        <v>11</v>
      </c>
    </row>
    <row s="6314" customFormat="1" customHeight="1" ht="11.549999999999999">
      <c r="A96" s="1133"/>
      <c r="B96" s="1133"/>
      <c r="C96" s="1133"/>
      <c r="D96" s="1133"/>
      <c r="E96" s="1133"/>
      <c r="F96" s="1782"/>
      <c r="G96" s="1782"/>
      <c r="H96" s="497"/>
      <c r="N96" s="6314"/>
      <c r="O96" s="6314"/>
      <c r="P96" s="6314"/>
      <c r="Q96" s="6314"/>
      <c r="R96" s="6314"/>
      <c r="S96" s="1512"/>
      <c r="U96" s="1512"/>
      <c r="V96" s="1782"/>
      <c r="W96" s="1782"/>
      <c r="X96" s="1512"/>
      <c r="Y96" s="1512"/>
      <c r="Z96" s="1512"/>
      <c r="AA96" s="1512"/>
      <c r="AB96" s="1782"/>
      <c r="AC96" s="1512"/>
      <c r="AD96" s="1512"/>
      <c r="AE96" s="690"/>
      <c r="AF96" s="1512"/>
      <c r="AG96" s="1512"/>
      <c r="AH96" s="1512"/>
      <c r="AI96" s="1512"/>
      <c r="AJ96" s="1512"/>
      <c r="AK96" s="1778"/>
      <c r="AL96" s="768"/>
      <c r="AM96" s="768"/>
      <c r="AN96" s="768"/>
      <c r="AO96" s="768"/>
      <c r="AP96" s="1787">
        <v>11</v>
      </c>
    </row>
    <row s="6314" customFormat="1" customHeight="1" ht="11.549999999999999">
      <c r="A97" s="1133"/>
      <c r="B97" s="1133"/>
      <c r="C97" s="1133"/>
      <c r="D97" s="1133"/>
      <c r="E97" s="1133"/>
      <c r="F97" s="1782"/>
      <c r="G97" s="1782"/>
      <c r="H97" s="497"/>
      <c r="N97" s="6314"/>
      <c r="O97" s="6314"/>
      <c r="P97" s="6314"/>
      <c r="Q97" s="6314"/>
      <c r="R97" s="6314"/>
      <c r="S97" s="1512"/>
      <c r="U97" s="1512"/>
      <c r="V97" s="1782"/>
      <c r="W97" s="1782"/>
      <c r="X97" s="1512"/>
      <c r="Y97" s="1512"/>
      <c r="Z97" s="1512"/>
      <c r="AA97" s="1512"/>
      <c r="AB97" s="1782"/>
      <c r="AC97" s="1512"/>
      <c r="AD97" s="1512"/>
      <c r="AE97" s="690"/>
      <c r="AF97" s="1512"/>
      <c r="AG97" s="1512"/>
      <c r="AH97" s="1512"/>
      <c r="AI97" s="1512"/>
      <c r="AJ97" s="1512"/>
      <c r="AK97" s="1778"/>
      <c r="AL97" s="768"/>
      <c r="AM97" s="768"/>
      <c r="AN97" s="768"/>
      <c r="AO97" s="768"/>
      <c r="AP97" s="1787">
        <v>11</v>
      </c>
    </row>
    <row s="6314" customFormat="1" customHeight="1" ht="11.549999999999999">
      <c r="A98" s="1133"/>
      <c r="B98" s="1133"/>
      <c r="C98" s="1133"/>
      <c r="D98" s="1133"/>
      <c r="E98" s="1133"/>
      <c r="F98" s="1782"/>
      <c r="G98" s="1782"/>
      <c r="H98" s="497"/>
      <c r="N98" s="6314"/>
      <c r="O98" s="6314"/>
      <c r="P98" s="6314"/>
      <c r="Q98" s="6314"/>
      <c r="R98" s="6314"/>
      <c r="S98" s="1512"/>
      <c r="U98" s="1512"/>
      <c r="V98" s="1782"/>
      <c r="W98" s="1782"/>
      <c r="X98" s="1512"/>
      <c r="Y98" s="1512"/>
      <c r="Z98" s="1512"/>
      <c r="AA98" s="1512"/>
      <c r="AB98" s="1782"/>
      <c r="AC98" s="1512"/>
      <c r="AD98" s="1512"/>
      <c r="AE98" s="690"/>
      <c r="AF98" s="1512"/>
      <c r="AG98" s="1512"/>
      <c r="AH98" s="1512"/>
      <c r="AI98" s="1512"/>
      <c r="AJ98" s="1512"/>
      <c r="AK98" s="1778"/>
      <c r="AL98" s="768"/>
      <c r="AM98" s="768"/>
      <c r="AN98" s="768"/>
      <c r="AO98" s="768"/>
      <c r="AP98" s="1787">
        <v>11</v>
      </c>
    </row>
    <row s="6314" customFormat="1" customHeight="1" ht="11.549999999999999">
      <c r="A99" s="1133"/>
      <c r="B99" s="1133"/>
      <c r="C99" s="1133"/>
      <c r="D99" s="1133"/>
      <c r="E99" s="1133"/>
      <c r="F99" s="1782"/>
      <c r="G99" s="1782"/>
      <c r="H99" s="497"/>
      <c r="N99" s="6314"/>
      <c r="O99" s="6314"/>
      <c r="P99" s="6314"/>
      <c r="Q99" s="6314"/>
      <c r="R99" s="6314"/>
      <c r="S99" s="1512"/>
      <c r="U99" s="1512"/>
      <c r="V99" s="1782"/>
      <c r="W99" s="1782"/>
      <c r="X99" s="1512"/>
      <c r="Y99" s="1512"/>
      <c r="Z99" s="1512"/>
      <c r="AA99" s="1512"/>
      <c r="AB99" s="1782"/>
      <c r="AC99" s="1512"/>
      <c r="AD99" s="1512"/>
      <c r="AE99" s="690"/>
      <c r="AF99" s="1512"/>
      <c r="AG99" s="1512"/>
      <c r="AH99" s="1512"/>
      <c r="AI99" s="1512"/>
      <c r="AJ99" s="1512"/>
      <c r="AK99" s="1778"/>
      <c r="AL99" s="768"/>
      <c r="AM99" s="768"/>
      <c r="AN99" s="768"/>
      <c r="AO99" s="768"/>
      <c r="AP99" s="1787">
        <v>11</v>
      </c>
    </row>
    <row s="6314" customFormat="1" customHeight="1" ht="11.549999999999999">
      <c r="A100" s="1133"/>
      <c r="B100" s="1133"/>
      <c r="C100" s="1133"/>
      <c r="D100" s="1133"/>
      <c r="E100" s="1133"/>
      <c r="F100" s="1782"/>
      <c r="G100" s="1782"/>
      <c r="H100" s="497"/>
      <c r="N100" s="6314"/>
      <c r="O100" s="6314"/>
      <c r="P100" s="6314"/>
      <c r="Q100" s="6314"/>
      <c r="R100" s="6314"/>
      <c r="S100" s="1512"/>
      <c r="U100" s="1512"/>
      <c r="V100" s="1782"/>
      <c r="W100" s="1782"/>
      <c r="X100" s="1512"/>
      <c r="Y100" s="1512"/>
      <c r="Z100" s="1512"/>
      <c r="AA100" s="1512"/>
      <c r="AB100" s="1782"/>
      <c r="AC100" s="1512"/>
      <c r="AD100" s="1512"/>
      <c r="AE100" s="690"/>
      <c r="AF100" s="1512"/>
      <c r="AG100" s="1512"/>
      <c r="AH100" s="1512"/>
      <c r="AI100" s="1512"/>
      <c r="AJ100" s="1512"/>
      <c r="AK100" s="1778"/>
      <c r="AL100" s="768"/>
      <c r="AM100" s="768"/>
      <c r="AN100" s="768"/>
      <c r="AO100" s="768"/>
      <c r="AP100" s="1787">
        <v>11</v>
      </c>
    </row>
    <row s="6314" customFormat="1" customHeight="1" ht="11.549999999999999">
      <c r="A101" s="1133"/>
      <c r="B101" s="1133"/>
      <c r="C101" s="1133"/>
      <c r="D101" s="1133"/>
      <c r="E101" s="1133"/>
      <c r="F101" s="1782"/>
      <c r="G101" s="1782"/>
      <c r="H101" s="497"/>
      <c r="N101" s="6314"/>
      <c r="O101" s="6314"/>
      <c r="P101" s="6314"/>
      <c r="Q101" s="6314"/>
      <c r="R101" s="6314"/>
      <c r="S101" s="1512"/>
      <c r="U101" s="1512"/>
      <c r="V101" s="1782"/>
      <c r="W101" s="1782"/>
      <c r="X101" s="1512"/>
      <c r="Y101" s="1512"/>
      <c r="Z101" s="1512"/>
      <c r="AA101" s="1512"/>
      <c r="AB101" s="1782"/>
      <c r="AC101" s="1512"/>
      <c r="AD101" s="1512"/>
      <c r="AE101" s="690"/>
      <c r="AF101" s="1512"/>
      <c r="AG101" s="1512"/>
      <c r="AH101" s="1512"/>
      <c r="AI101" s="1512"/>
      <c r="AJ101" s="1512"/>
      <c r="AK101" s="1778"/>
      <c r="AL101" s="768"/>
      <c r="AM101" s="768"/>
      <c r="AN101" s="768"/>
      <c r="AO101" s="768"/>
      <c r="AP101" s="1787">
        <v>11</v>
      </c>
    </row>
    <row s="6314" customFormat="1" customHeight="1" ht="11.549999999999999">
      <c r="A102" s="1133"/>
      <c r="B102" s="1133"/>
      <c r="C102" s="1133"/>
      <c r="D102" s="1133"/>
      <c r="E102" s="1133"/>
      <c r="F102" s="1782"/>
      <c r="G102" s="1782"/>
      <c r="H102" s="497"/>
      <c r="N102" s="6314"/>
      <c r="O102" s="6314"/>
      <c r="P102" s="6314"/>
      <c r="Q102" s="6314"/>
      <c r="R102" s="6314"/>
      <c r="S102" s="1512"/>
      <c r="U102" s="1512"/>
      <c r="V102" s="1782"/>
      <c r="W102" s="1782"/>
      <c r="X102" s="1512"/>
      <c r="Y102" s="1512"/>
      <c r="Z102" s="1512"/>
      <c r="AA102" s="1512"/>
      <c r="AB102" s="1782"/>
      <c r="AC102" s="1512"/>
      <c r="AD102" s="1512"/>
      <c r="AE102" s="690"/>
      <c r="AF102" s="1512"/>
      <c r="AG102" s="1512"/>
      <c r="AH102" s="1512"/>
      <c r="AI102" s="1512"/>
      <c r="AJ102" s="1512"/>
      <c r="AK102" s="1778"/>
      <c r="AL102" s="768"/>
      <c r="AM102" s="768"/>
      <c r="AN102" s="768"/>
      <c r="AO102" s="768"/>
      <c r="AP102" s="1787">
        <v>11</v>
      </c>
    </row>
    <row s="6314" customFormat="1" customHeight="1" ht="11.549999999999999">
      <c r="A103" s="1133"/>
      <c r="B103" s="1133"/>
      <c r="C103" s="1133"/>
      <c r="D103" s="1133"/>
      <c r="E103" s="1133"/>
      <c r="F103" s="1782"/>
      <c r="G103" s="1782"/>
      <c r="H103" s="497"/>
      <c r="N103" s="6314"/>
      <c r="O103" s="6314"/>
      <c r="P103" s="6314"/>
      <c r="Q103" s="6314"/>
      <c r="R103" s="6314"/>
      <c r="S103" s="1512"/>
      <c r="U103" s="1512"/>
      <c r="V103" s="1782"/>
      <c r="W103" s="1782"/>
      <c r="X103" s="1512"/>
      <c r="Y103" s="1512"/>
      <c r="Z103" s="1512"/>
      <c r="AA103" s="1512"/>
      <c r="AB103" s="1782"/>
      <c r="AC103" s="1512"/>
      <c r="AD103" s="1512"/>
      <c r="AE103" s="690"/>
      <c r="AF103" s="1512"/>
      <c r="AG103" s="1512"/>
      <c r="AH103" s="1512"/>
      <c r="AI103" s="1512"/>
      <c r="AJ103" s="1512"/>
      <c r="AK103" s="1778"/>
      <c r="AL103" s="768"/>
      <c r="AM103" s="768"/>
      <c r="AN103" s="768"/>
      <c r="AO103" s="768"/>
      <c r="AP103" s="1787">
        <v>11</v>
      </c>
    </row>
    <row s="6314" customFormat="1" customHeight="1" ht="11.549999999999999">
      <c r="A104" s="1133"/>
      <c r="B104" s="1133"/>
      <c r="C104" s="1133"/>
      <c r="D104" s="1133"/>
      <c r="E104" s="1133"/>
      <c r="F104" s="1782"/>
      <c r="G104" s="1782"/>
      <c r="H104" s="497"/>
      <c r="N104" s="6314"/>
      <c r="O104" s="6314"/>
      <c r="P104" s="6314"/>
      <c r="Q104" s="6314"/>
      <c r="R104" s="6314"/>
      <c r="S104" s="1512"/>
      <c r="U104" s="1512"/>
      <c r="V104" s="1782"/>
      <c r="W104" s="1782"/>
      <c r="X104" s="1512"/>
      <c r="Y104" s="1512"/>
      <c r="Z104" s="1512"/>
      <c r="AA104" s="1512"/>
      <c r="AB104" s="1782"/>
      <c r="AC104" s="1512"/>
      <c r="AD104" s="1512"/>
      <c r="AE104" s="690"/>
      <c r="AF104" s="1512"/>
      <c r="AG104" s="1512"/>
      <c r="AH104" s="1512"/>
      <c r="AI104" s="1512"/>
      <c r="AJ104" s="1512"/>
      <c r="AK104" s="1778"/>
      <c r="AL104" s="768"/>
      <c r="AM104" s="768"/>
      <c r="AN104" s="768"/>
      <c r="AO104" s="768"/>
      <c r="AP104" s="1787">
        <v>11</v>
      </c>
    </row>
    <row s="6314" customFormat="1" customHeight="1" ht="11.549999999999999">
      <c r="A105" s="1133"/>
      <c r="B105" s="1133"/>
      <c r="C105" s="1133"/>
      <c r="D105" s="1133"/>
      <c r="E105" s="1133"/>
      <c r="F105" s="1782"/>
      <c r="G105" s="1782"/>
      <c r="H105" s="497"/>
      <c r="N105" s="6314"/>
      <c r="O105" s="6314"/>
      <c r="P105" s="6314"/>
      <c r="Q105" s="6314"/>
      <c r="R105" s="6314"/>
      <c r="S105" s="1512"/>
      <c r="U105" s="1512"/>
      <c r="V105" s="1782"/>
      <c r="W105" s="1782"/>
      <c r="X105" s="1512"/>
      <c r="Y105" s="1512"/>
      <c r="Z105" s="1512"/>
      <c r="AA105" s="1512"/>
      <c r="AB105" s="1782"/>
      <c r="AC105" s="1512"/>
      <c r="AD105" s="1512"/>
      <c r="AE105" s="690"/>
      <c r="AF105" s="1512"/>
      <c r="AG105" s="1512"/>
      <c r="AH105" s="1512"/>
      <c r="AI105" s="1512"/>
      <c r="AJ105" s="1512"/>
      <c r="AK105" s="1778"/>
      <c r="AL105" s="768"/>
      <c r="AM105" s="768"/>
      <c r="AN105" s="768"/>
      <c r="AO105" s="768"/>
      <c r="AP105" s="1787">
        <v>11</v>
      </c>
    </row>
    <row s="6314" customFormat="1" customHeight="1" ht="11.549999999999999">
      <c r="A106" s="1133"/>
      <c r="B106" s="1133"/>
      <c r="C106" s="1133"/>
      <c r="D106" s="1133"/>
      <c r="E106" s="1133"/>
      <c r="F106" s="1782"/>
      <c r="G106" s="1782"/>
      <c r="H106" s="497"/>
      <c r="N106" s="6314"/>
      <c r="O106" s="6314"/>
      <c r="P106" s="6314"/>
      <c r="Q106" s="6314"/>
      <c r="R106" s="6314"/>
      <c r="S106" s="1512"/>
      <c r="U106" s="1512"/>
      <c r="V106" s="1782"/>
      <c r="W106" s="1782"/>
      <c r="X106" s="1512"/>
      <c r="Y106" s="1512"/>
      <c r="Z106" s="1512"/>
      <c r="AA106" s="1512"/>
      <c r="AB106" s="1782"/>
      <c r="AC106" s="1512"/>
      <c r="AD106" s="1512"/>
      <c r="AE106" s="690"/>
      <c r="AF106" s="1512"/>
      <c r="AG106" s="1512"/>
      <c r="AH106" s="1512"/>
      <c r="AI106" s="1512"/>
      <c r="AJ106" s="1512"/>
      <c r="AK106" s="1778"/>
      <c r="AL106" s="768"/>
      <c r="AM106" s="768"/>
      <c r="AN106" s="768"/>
      <c r="AO106" s="768"/>
      <c r="AP106" s="1787">
        <v>11</v>
      </c>
    </row>
    <row s="6314" customFormat="1" customHeight="1" ht="11.549999999999999">
      <c r="A107" s="1133"/>
      <c r="B107" s="1133"/>
      <c r="C107" s="1133"/>
      <c r="D107" s="1133"/>
      <c r="E107" s="1133"/>
      <c r="F107" s="1782"/>
      <c r="G107" s="1782"/>
      <c r="H107" s="497"/>
      <c r="N107" s="6314"/>
      <c r="O107" s="6314"/>
      <c r="P107" s="6314"/>
      <c r="Q107" s="6314"/>
      <c r="R107" s="6314"/>
      <c r="S107" s="1512"/>
      <c r="U107" s="1512"/>
      <c r="V107" s="1782"/>
      <c r="W107" s="1782"/>
      <c r="X107" s="1512"/>
      <c r="Y107" s="1512"/>
      <c r="Z107" s="1512"/>
      <c r="AA107" s="1512"/>
      <c r="AB107" s="1782"/>
      <c r="AC107" s="1512"/>
      <c r="AD107" s="1512"/>
      <c r="AE107" s="690"/>
      <c r="AF107" s="1512"/>
      <c r="AG107" s="1512"/>
      <c r="AH107" s="1512"/>
      <c r="AI107" s="1512"/>
      <c r="AJ107" s="1512"/>
      <c r="AK107" s="1778"/>
      <c r="AL107" s="768"/>
      <c r="AM107" s="768"/>
      <c r="AN107" s="768"/>
      <c r="AO107" s="768"/>
      <c r="AP107" s="1787">
        <v>11</v>
      </c>
    </row>
    <row s="6314" customFormat="1" customHeight="1" ht="11.549999999999999">
      <c r="A108" s="1133"/>
      <c r="B108" s="1133"/>
      <c r="C108" s="1133"/>
      <c r="D108" s="1133"/>
      <c r="E108" s="1133"/>
      <c r="F108" s="1782"/>
      <c r="G108" s="1782"/>
      <c r="H108" s="497"/>
      <c r="N108" s="6314"/>
      <c r="O108" s="6314"/>
      <c r="P108" s="6314"/>
      <c r="Q108" s="6314"/>
      <c r="R108" s="6314"/>
      <c r="S108" s="1512"/>
      <c r="U108" s="1512"/>
      <c r="V108" s="1782"/>
      <c r="W108" s="1782"/>
      <c r="X108" s="1512"/>
      <c r="Y108" s="1512"/>
      <c r="Z108" s="1512"/>
      <c r="AA108" s="1512"/>
      <c r="AB108" s="1782"/>
      <c r="AC108" s="1512"/>
      <c r="AD108" s="1512"/>
      <c r="AE108" s="690"/>
      <c r="AF108" s="1512"/>
      <c r="AG108" s="1512"/>
      <c r="AH108" s="1512"/>
      <c r="AI108" s="1512"/>
      <c r="AJ108" s="1512"/>
      <c r="AK108" s="1778"/>
      <c r="AL108" s="768"/>
      <c r="AM108" s="768"/>
      <c r="AN108" s="768"/>
      <c r="AO108" s="768"/>
      <c r="AP108" s="1787">
        <v>11</v>
      </c>
    </row>
    <row s="6314" customFormat="1" customHeight="1" ht="11.549999999999999">
      <c r="A109" s="1133"/>
      <c r="B109" s="1133"/>
      <c r="C109" s="1133"/>
      <c r="D109" s="1133"/>
      <c r="E109" s="1133"/>
      <c r="F109" s="1782"/>
      <c r="G109" s="1782"/>
      <c r="H109" s="497"/>
      <c r="N109" s="6314"/>
      <c r="O109" s="6314"/>
      <c r="P109" s="6314"/>
      <c r="Q109" s="6314"/>
      <c r="R109" s="6314"/>
      <c r="S109" s="1512"/>
      <c r="U109" s="1512"/>
      <c r="V109" s="1782"/>
      <c r="W109" s="1782"/>
      <c r="X109" s="1512"/>
      <c r="Y109" s="1512"/>
      <c r="Z109" s="1512"/>
      <c r="AA109" s="1512"/>
      <c r="AB109" s="1782"/>
      <c r="AC109" s="1512"/>
      <c r="AD109" s="1512"/>
      <c r="AE109" s="690"/>
      <c r="AF109" s="1512"/>
      <c r="AG109" s="1512"/>
      <c r="AH109" s="1512"/>
      <c r="AI109" s="1512"/>
      <c r="AJ109" s="1512"/>
      <c r="AK109" s="1778"/>
      <c r="AL109" s="768"/>
      <c r="AM109" s="768"/>
      <c r="AN109" s="768"/>
      <c r="AO109" s="768"/>
      <c r="AP109" s="1787">
        <v>11</v>
      </c>
    </row>
    <row s="6314" customFormat="1" customHeight="1" ht="11.549999999999999">
      <c r="A110" s="1133"/>
      <c r="B110" s="1133"/>
      <c r="C110" s="1133"/>
      <c r="D110" s="1133"/>
      <c r="E110" s="1133"/>
      <c r="F110" s="1782"/>
      <c r="G110" s="1782"/>
      <c r="H110" s="497"/>
      <c r="N110" s="6314"/>
      <c r="O110" s="6314"/>
      <c r="P110" s="6314"/>
      <c r="Q110" s="6314"/>
      <c r="R110" s="6314"/>
      <c r="S110" s="1512"/>
      <c r="U110" s="1512"/>
      <c r="V110" s="1782"/>
      <c r="W110" s="1782"/>
      <c r="X110" s="1512"/>
      <c r="Y110" s="1512"/>
      <c r="Z110" s="1512"/>
      <c r="AA110" s="1512"/>
      <c r="AB110" s="1782"/>
      <c r="AC110" s="1512"/>
      <c r="AD110" s="1512"/>
      <c r="AE110" s="690"/>
      <c r="AF110" s="1512"/>
      <c r="AG110" s="1512"/>
      <c r="AH110" s="1512"/>
      <c r="AI110" s="1512"/>
      <c r="AJ110" s="1512"/>
      <c r="AK110" s="1778"/>
      <c r="AL110" s="768"/>
      <c r="AM110" s="768"/>
      <c r="AN110" s="768"/>
      <c r="AO110" s="768"/>
      <c r="AP110" s="1787">
        <v>11</v>
      </c>
    </row>
    <row s="6314" customFormat="1" customHeight="1" ht="11.549999999999999">
      <c r="A111" s="1133"/>
      <c r="B111" s="1133"/>
      <c r="C111" s="1133"/>
      <c r="D111" s="1133"/>
      <c r="E111" s="1133"/>
      <c r="F111" s="1782"/>
      <c r="G111" s="1782"/>
      <c r="H111" s="497"/>
      <c r="N111" s="6314"/>
      <c r="O111" s="6314"/>
      <c r="P111" s="6314"/>
      <c r="Q111" s="6314"/>
      <c r="R111" s="6314"/>
      <c r="S111" s="1512"/>
      <c r="U111" s="1512"/>
      <c r="V111" s="1782"/>
      <c r="W111" s="1782"/>
      <c r="X111" s="1512"/>
      <c r="Y111" s="1512"/>
      <c r="Z111" s="1512"/>
      <c r="AA111" s="1512"/>
      <c r="AB111" s="1782"/>
      <c r="AC111" s="1512"/>
      <c r="AD111" s="1512"/>
      <c r="AE111" s="690"/>
      <c r="AF111" s="1512"/>
      <c r="AG111" s="1512"/>
      <c r="AH111" s="1512"/>
      <c r="AI111" s="1512"/>
      <c r="AJ111" s="1512"/>
      <c r="AK111" s="1778"/>
      <c r="AL111" s="768"/>
      <c r="AM111" s="768"/>
      <c r="AN111" s="768"/>
      <c r="AO111" s="768"/>
      <c r="AP111" s="1787">
        <v>11</v>
      </c>
    </row>
    <row s="6314" customFormat="1" customHeight="1" ht="11.549999999999999">
      <c r="A112" s="1133"/>
      <c r="B112" s="1133"/>
      <c r="C112" s="1133"/>
      <c r="D112" s="1133"/>
      <c r="E112" s="1133"/>
      <c r="F112" s="1782"/>
      <c r="G112" s="1782"/>
      <c r="H112" s="497"/>
      <c r="N112" s="6314"/>
      <c r="O112" s="6314"/>
      <c r="P112" s="6314"/>
      <c r="Q112" s="6314"/>
      <c r="R112" s="6314"/>
      <c r="S112" s="1512"/>
      <c r="U112" s="1512"/>
      <c r="V112" s="1782"/>
      <c r="W112" s="1782"/>
      <c r="X112" s="1512"/>
      <c r="Y112" s="1512"/>
      <c r="Z112" s="1512"/>
      <c r="AA112" s="1512"/>
      <c r="AB112" s="1782"/>
      <c r="AC112" s="1512"/>
      <c r="AD112" s="1512"/>
      <c r="AE112" s="690"/>
      <c r="AF112" s="1512"/>
      <c r="AG112" s="1512"/>
      <c r="AH112" s="1512"/>
      <c r="AI112" s="1512"/>
      <c r="AJ112" s="1512"/>
      <c r="AK112" s="1778"/>
      <c r="AL112" s="768"/>
      <c r="AM112" s="768"/>
      <c r="AN112" s="768"/>
      <c r="AO112" s="768"/>
      <c r="AP112" s="1787">
        <v>11</v>
      </c>
    </row>
    <row s="6314" customFormat="1" customHeight="1" ht="11.549999999999999">
      <c r="A113" s="1133"/>
      <c r="B113" s="1133"/>
      <c r="C113" s="1133"/>
      <c r="D113" s="1133"/>
      <c r="E113" s="1133"/>
      <c r="F113" s="1782"/>
      <c r="G113" s="1782"/>
      <c r="H113" s="497"/>
      <c r="N113" s="6314"/>
      <c r="O113" s="6314"/>
      <c r="P113" s="6314"/>
      <c r="Q113" s="6314"/>
      <c r="R113" s="6314"/>
      <c r="S113" s="1512"/>
      <c r="U113" s="1512"/>
      <c r="V113" s="1782"/>
      <c r="W113" s="1782"/>
      <c r="X113" s="1512"/>
      <c r="Y113" s="1512"/>
      <c r="Z113" s="1512"/>
      <c r="AA113" s="1512"/>
      <c r="AB113" s="1782"/>
      <c r="AC113" s="1512"/>
      <c r="AD113" s="1512"/>
      <c r="AE113" s="690"/>
      <c r="AF113" s="1512"/>
      <c r="AG113" s="1512"/>
      <c r="AH113" s="1512"/>
      <c r="AI113" s="1512"/>
      <c r="AJ113" s="1512"/>
      <c r="AK113" s="1778"/>
      <c r="AL113" s="768"/>
      <c r="AM113" s="768"/>
      <c r="AN113" s="768"/>
      <c r="AO113" s="768"/>
      <c r="AP113" s="1787">
        <v>11</v>
      </c>
    </row>
    <row s="6314" customFormat="1" customHeight="1" ht="11.549999999999999">
      <c r="A114" s="1133"/>
      <c r="B114" s="1133"/>
      <c r="C114" s="1133"/>
      <c r="D114" s="1133"/>
      <c r="E114" s="1133"/>
      <c r="F114" s="1782"/>
      <c r="G114" s="1782"/>
      <c r="H114" s="497"/>
      <c r="N114" s="6314"/>
      <c r="O114" s="6314"/>
      <c r="P114" s="6314"/>
      <c r="Q114" s="6314"/>
      <c r="R114" s="6314"/>
      <c r="S114" s="1512"/>
      <c r="U114" s="1512"/>
      <c r="V114" s="1782"/>
      <c r="W114" s="1782"/>
      <c r="X114" s="1512"/>
      <c r="Y114" s="1512"/>
      <c r="Z114" s="1512"/>
      <c r="AA114" s="1512"/>
      <c r="AB114" s="1782"/>
      <c r="AC114" s="1512"/>
      <c r="AD114" s="1512"/>
      <c r="AE114" s="690"/>
      <c r="AF114" s="1512"/>
      <c r="AG114" s="1512"/>
      <c r="AH114" s="1512"/>
      <c r="AI114" s="1512"/>
      <c r="AJ114" s="1512"/>
      <c r="AK114" s="1778"/>
      <c r="AL114" s="768"/>
      <c r="AM114" s="768"/>
      <c r="AN114" s="768"/>
      <c r="AO114" s="768"/>
      <c r="AP114" s="1787">
        <v>11</v>
      </c>
    </row>
    <row s="6314" customFormat="1" customHeight="1" ht="11.549999999999999">
      <c r="A115" s="1133"/>
      <c r="B115" s="1133"/>
      <c r="C115" s="1133"/>
      <c r="D115" s="1133"/>
      <c r="E115" s="1133"/>
      <c r="F115" s="1782"/>
      <c r="G115" s="1782"/>
      <c r="H115" s="497"/>
      <c r="N115" s="6314"/>
      <c r="O115" s="6314"/>
      <c r="P115" s="6314"/>
      <c r="Q115" s="6314"/>
      <c r="R115" s="6314"/>
      <c r="S115" s="1512"/>
      <c r="U115" s="1512"/>
      <c r="V115" s="1782"/>
      <c r="W115" s="1782"/>
      <c r="X115" s="1512"/>
      <c r="Y115" s="1512"/>
      <c r="Z115" s="1512"/>
      <c r="AA115" s="1512"/>
      <c r="AB115" s="1782"/>
      <c r="AC115" s="1512"/>
      <c r="AD115" s="1512"/>
      <c r="AE115" s="690"/>
      <c r="AF115" s="1512"/>
      <c r="AG115" s="1512"/>
      <c r="AH115" s="1512"/>
      <c r="AI115" s="1512"/>
      <c r="AJ115" s="1512"/>
      <c r="AK115" s="1778"/>
      <c r="AL115" s="768"/>
      <c r="AM115" s="768"/>
      <c r="AN115" s="768"/>
      <c r="AO115" s="768"/>
      <c r="AP115" s="1787">
        <v>11</v>
      </c>
    </row>
    <row s="6314" customFormat="1" customHeight="1" ht="11.549999999999999">
      <c r="A116" s="1133"/>
      <c r="B116" s="1133"/>
      <c r="C116" s="1133"/>
      <c r="D116" s="1133"/>
      <c r="E116" s="1133"/>
      <c r="F116" s="1782"/>
      <c r="G116" s="1782"/>
      <c r="H116" s="497"/>
      <c r="N116" s="6314"/>
      <c r="O116" s="6314"/>
      <c r="P116" s="6314"/>
      <c r="Q116" s="6314"/>
      <c r="R116" s="6314"/>
      <c r="S116" s="1512"/>
      <c r="U116" s="1512"/>
      <c r="V116" s="1782"/>
      <c r="W116" s="1782"/>
      <c r="X116" s="1512"/>
      <c r="Y116" s="1512"/>
      <c r="Z116" s="1512"/>
      <c r="AA116" s="1512"/>
      <c r="AB116" s="1782"/>
      <c r="AC116" s="1512"/>
      <c r="AD116" s="1512"/>
      <c r="AE116" s="690"/>
      <c r="AF116" s="1512"/>
      <c r="AG116" s="1512"/>
      <c r="AH116" s="1512"/>
      <c r="AI116" s="1512"/>
      <c r="AJ116" s="1512"/>
      <c r="AK116" s="1778"/>
      <c r="AL116" s="768"/>
      <c r="AM116" s="768"/>
      <c r="AN116" s="768"/>
      <c r="AO116" s="768"/>
      <c r="AP116" s="1787">
        <v>11</v>
      </c>
    </row>
    <row s="6314" customFormat="1" customHeight="1" ht="11.549999999999999">
      <c r="A117" s="1133"/>
      <c r="B117" s="1133"/>
      <c r="C117" s="1133"/>
      <c r="D117" s="1133"/>
      <c r="E117" s="1133"/>
      <c r="F117" s="1782"/>
      <c r="G117" s="1782"/>
      <c r="H117" s="497"/>
      <c r="N117" s="6314"/>
      <c r="O117" s="6314"/>
      <c r="P117" s="6314"/>
      <c r="Q117" s="6314"/>
      <c r="R117" s="6314"/>
      <c r="S117" s="1512"/>
      <c r="U117" s="1512"/>
      <c r="V117" s="1782"/>
      <c r="W117" s="1782"/>
      <c r="X117" s="1512"/>
      <c r="Y117" s="1512"/>
      <c r="Z117" s="1512"/>
      <c r="AA117" s="1512"/>
      <c r="AB117" s="1782"/>
      <c r="AC117" s="1512"/>
      <c r="AD117" s="1512"/>
      <c r="AE117" s="690"/>
      <c r="AF117" s="1512"/>
      <c r="AG117" s="1512"/>
      <c r="AH117" s="1512"/>
      <c r="AI117" s="1512"/>
      <c r="AJ117" s="1512"/>
      <c r="AK117" s="1778"/>
      <c r="AL117" s="768"/>
      <c r="AM117" s="768"/>
      <c r="AN117" s="768"/>
      <c r="AO117" s="768"/>
      <c r="AP117" s="1787">
        <v>11</v>
      </c>
    </row>
    <row s="6314" customFormat="1" customHeight="1" ht="11.549999999999999">
      <c r="A118" s="1133"/>
      <c r="B118" s="1133"/>
      <c r="C118" s="1133"/>
      <c r="D118" s="1133"/>
      <c r="E118" s="1133"/>
      <c r="F118" s="1782"/>
      <c r="G118" s="1782"/>
      <c r="H118" s="497"/>
      <c r="N118" s="6314"/>
      <c r="O118" s="6314"/>
      <c r="P118" s="6314"/>
      <c r="Q118" s="6314"/>
      <c r="R118" s="6314"/>
      <c r="S118" s="1512"/>
      <c r="U118" s="1512"/>
      <c r="V118" s="1782"/>
      <c r="W118" s="1782"/>
      <c r="X118" s="1512"/>
      <c r="Y118" s="1512"/>
      <c r="Z118" s="1512"/>
      <c r="AA118" s="1512"/>
      <c r="AB118" s="1782"/>
      <c r="AC118" s="1512"/>
      <c r="AD118" s="1512"/>
      <c r="AE118" s="690"/>
      <c r="AF118" s="1512"/>
      <c r="AG118" s="1512"/>
      <c r="AH118" s="1512"/>
      <c r="AI118" s="1512"/>
      <c r="AJ118" s="1512"/>
      <c r="AK118" s="1778"/>
      <c r="AL118" s="768"/>
      <c r="AM118" s="768"/>
      <c r="AN118" s="768"/>
      <c r="AO118" s="768"/>
      <c r="AP118" s="1787">
        <v>11</v>
      </c>
    </row>
    <row s="6314" customFormat="1" customHeight="1" ht="11.549999999999999">
      <c r="A119" s="1133"/>
      <c r="B119" s="1133"/>
      <c r="C119" s="1133"/>
      <c r="D119" s="1133"/>
      <c r="E119" s="1133"/>
      <c r="F119" s="1782"/>
      <c r="G119" s="1782"/>
      <c r="H119" s="497"/>
      <c r="N119" s="6314"/>
      <c r="O119" s="6314"/>
      <c r="P119" s="6314"/>
      <c r="Q119" s="6314"/>
      <c r="R119" s="6314"/>
      <c r="S119" s="1512"/>
      <c r="U119" s="1512"/>
      <c r="V119" s="1782"/>
      <c r="W119" s="1782"/>
      <c r="X119" s="1512"/>
      <c r="Y119" s="1512"/>
      <c r="Z119" s="1512"/>
      <c r="AA119" s="1512"/>
      <c r="AB119" s="1782"/>
      <c r="AC119" s="1512"/>
      <c r="AD119" s="1512"/>
      <c r="AE119" s="690"/>
      <c r="AF119" s="1512"/>
      <c r="AG119" s="1512"/>
      <c r="AH119" s="1512"/>
      <c r="AI119" s="1512"/>
      <c r="AJ119" s="1512"/>
      <c r="AK119" s="1778"/>
      <c r="AL119" s="768"/>
      <c r="AM119" s="768"/>
      <c r="AN119" s="768"/>
      <c r="AO119" s="768"/>
      <c r="AP119" s="1787">
        <v>11</v>
      </c>
    </row>
    <row s="6314" customFormat="1" customHeight="1" ht="11.549999999999999">
      <c r="A120" s="1133"/>
      <c r="B120" s="1133"/>
      <c r="C120" s="1133"/>
      <c r="D120" s="1133"/>
      <c r="E120" s="1133"/>
      <c r="F120" s="1782"/>
      <c r="G120" s="1782"/>
      <c r="H120" s="497"/>
      <c r="N120" s="6314"/>
      <c r="O120" s="6314"/>
      <c r="P120" s="6314"/>
      <c r="Q120" s="6314"/>
      <c r="R120" s="6314"/>
      <c r="S120" s="1512"/>
      <c r="U120" s="1512"/>
      <c r="V120" s="1782"/>
      <c r="W120" s="1782"/>
      <c r="X120" s="1512"/>
      <c r="Y120" s="1512"/>
      <c r="Z120" s="1512"/>
      <c r="AA120" s="1512"/>
      <c r="AB120" s="1782"/>
      <c r="AC120" s="1512"/>
      <c r="AD120" s="1512"/>
      <c r="AE120" s="690"/>
      <c r="AF120" s="1512"/>
      <c r="AG120" s="1512"/>
      <c r="AH120" s="1512"/>
      <c r="AI120" s="1512"/>
      <c r="AJ120" s="1512"/>
      <c r="AK120" s="1778"/>
      <c r="AL120" s="768"/>
      <c r="AM120" s="768"/>
      <c r="AN120" s="768"/>
      <c r="AO120" s="768"/>
      <c r="AP120" s="1787">
        <v>11</v>
      </c>
    </row>
    <row s="6314" customFormat="1" customHeight="1" ht="11.549999999999999">
      <c r="A121" s="1133"/>
      <c r="B121" s="1133"/>
      <c r="C121" s="1133"/>
      <c r="D121" s="1133"/>
      <c r="E121" s="1133"/>
      <c r="F121" s="1782"/>
      <c r="G121" s="1782"/>
      <c r="H121" s="497"/>
      <c r="N121" s="6314"/>
      <c r="O121" s="6314"/>
      <c r="P121" s="6314"/>
      <c r="Q121" s="6314"/>
      <c r="R121" s="6314"/>
      <c r="S121" s="1512"/>
      <c r="U121" s="1512"/>
      <c r="V121" s="1782"/>
      <c r="W121" s="1782"/>
      <c r="X121" s="1512"/>
      <c r="Y121" s="1512"/>
      <c r="Z121" s="1512"/>
      <c r="AA121" s="1512"/>
      <c r="AB121" s="1782"/>
      <c r="AC121" s="1512"/>
      <c r="AD121" s="1512"/>
      <c r="AE121" s="690"/>
      <c r="AF121" s="1512"/>
      <c r="AG121" s="1512"/>
      <c r="AH121" s="1512"/>
      <c r="AI121" s="1512"/>
      <c r="AJ121" s="1512"/>
      <c r="AK121" s="1778"/>
      <c r="AL121" s="768"/>
      <c r="AM121" s="768"/>
      <c r="AN121" s="768"/>
      <c r="AO121" s="768"/>
      <c r="AP121" s="1787">
        <v>11</v>
      </c>
    </row>
    <row s="6314" customFormat="1" customHeight="1" ht="11.549999999999999">
      <c r="A122" s="1133"/>
      <c r="B122" s="1133"/>
      <c r="C122" s="1133"/>
      <c r="D122" s="1133"/>
      <c r="E122" s="1133"/>
      <c r="F122" s="1782"/>
      <c r="G122" s="1782"/>
      <c r="H122" s="497"/>
      <c r="N122" s="6314"/>
      <c r="O122" s="6314"/>
      <c r="P122" s="6314"/>
      <c r="Q122" s="6314"/>
      <c r="R122" s="6314"/>
      <c r="S122" s="1512"/>
      <c r="U122" s="1512"/>
      <c r="V122" s="1782"/>
      <c r="W122" s="1782"/>
      <c r="X122" s="1512"/>
      <c r="Y122" s="1512"/>
      <c r="Z122" s="1512"/>
      <c r="AA122" s="1512"/>
      <c r="AB122" s="1782"/>
      <c r="AC122" s="1512"/>
      <c r="AD122" s="1512"/>
      <c r="AE122" s="690"/>
      <c r="AF122" s="1512"/>
      <c r="AG122" s="1512"/>
      <c r="AH122" s="1512"/>
      <c r="AI122" s="1512"/>
      <c r="AJ122" s="1512"/>
      <c r="AK122" s="1778"/>
      <c r="AL122" s="768"/>
      <c r="AM122" s="768"/>
      <c r="AN122" s="768"/>
      <c r="AO122" s="768"/>
      <c r="AP122" s="1787">
        <v>11</v>
      </c>
    </row>
    <row s="6314" customFormat="1" customHeight="1" ht="11.549999999999999">
      <c r="A123" s="1133"/>
      <c r="B123" s="1133"/>
      <c r="C123" s="1133"/>
      <c r="D123" s="1133"/>
      <c r="E123" s="1133"/>
      <c r="F123" s="1782"/>
      <c r="G123" s="1782"/>
      <c r="H123" s="497"/>
      <c r="N123" s="6314"/>
      <c r="O123" s="6314"/>
      <c r="P123" s="6314"/>
      <c r="Q123" s="6314"/>
      <c r="R123" s="6314"/>
      <c r="S123" s="1512"/>
      <c r="U123" s="1512"/>
      <c r="V123" s="1782"/>
      <c r="W123" s="1782"/>
      <c r="X123" s="1512"/>
      <c r="Y123" s="1512"/>
      <c r="Z123" s="1512"/>
      <c r="AA123" s="1512"/>
      <c r="AB123" s="1782"/>
      <c r="AC123" s="1512"/>
      <c r="AD123" s="1512"/>
      <c r="AE123" s="690"/>
      <c r="AF123" s="1512"/>
      <c r="AG123" s="1512"/>
      <c r="AH123" s="1512"/>
      <c r="AI123" s="1512"/>
      <c r="AJ123" s="1512"/>
      <c r="AK123" s="1778"/>
      <c r="AL123" s="768"/>
      <c r="AM123" s="768"/>
      <c r="AN123" s="768"/>
      <c r="AO123" s="768"/>
      <c r="AP123" s="1787">
        <v>11</v>
      </c>
    </row>
    <row s="6314" customFormat="1" customHeight="1" ht="11.549999999999999">
      <c r="A124" s="1133"/>
      <c r="B124" s="1133"/>
      <c r="C124" s="1133"/>
      <c r="D124" s="1133"/>
      <c r="E124" s="1133"/>
      <c r="F124" s="1782"/>
      <c r="G124" s="1782"/>
      <c r="H124" s="497"/>
      <c r="N124" s="6314"/>
      <c r="O124" s="6314"/>
      <c r="P124" s="6314"/>
      <c r="Q124" s="6314"/>
      <c r="R124" s="6314"/>
      <c r="S124" s="1512"/>
      <c r="U124" s="1512"/>
      <c r="V124" s="1782"/>
      <c r="W124" s="1782"/>
      <c r="X124" s="1512"/>
      <c r="Y124" s="1512"/>
      <c r="Z124" s="1512"/>
      <c r="AA124" s="1512"/>
      <c r="AB124" s="1782"/>
      <c r="AC124" s="1512"/>
      <c r="AD124" s="1512"/>
      <c r="AE124" s="690"/>
      <c r="AF124" s="1512"/>
      <c r="AG124" s="1512"/>
      <c r="AH124" s="1512"/>
      <c r="AI124" s="1512"/>
      <c r="AJ124" s="1512"/>
      <c r="AK124" s="1778"/>
      <c r="AL124" s="768"/>
      <c r="AM124" s="768"/>
      <c r="AN124" s="768"/>
      <c r="AO124" s="768"/>
      <c r="AP124" s="1787">
        <v>11</v>
      </c>
    </row>
    <row s="6314" customFormat="1" customHeight="1" ht="11.549999999999999">
      <c r="A125" s="1133"/>
      <c r="B125" s="1133"/>
      <c r="C125" s="1133"/>
      <c r="D125" s="1133"/>
      <c r="E125" s="1133"/>
      <c r="F125" s="1782"/>
      <c r="G125" s="1782"/>
      <c r="H125" s="497"/>
      <c r="N125" s="6314"/>
      <c r="O125" s="6314"/>
      <c r="P125" s="6314"/>
      <c r="Q125" s="6314"/>
      <c r="R125" s="6314"/>
      <c r="S125" s="1512"/>
      <c r="U125" s="1512"/>
      <c r="V125" s="1782"/>
      <c r="W125" s="1782"/>
      <c r="X125" s="1512"/>
      <c r="Y125" s="1512"/>
      <c r="Z125" s="1512"/>
      <c r="AA125" s="1512"/>
      <c r="AB125" s="1782"/>
      <c r="AC125" s="1512"/>
      <c r="AD125" s="1512"/>
      <c r="AE125" s="690"/>
      <c r="AF125" s="1512"/>
      <c r="AG125" s="1512"/>
      <c r="AH125" s="1512"/>
      <c r="AI125" s="1512"/>
      <c r="AJ125" s="1512"/>
      <c r="AK125" s="1778"/>
      <c r="AL125" s="768"/>
      <c r="AM125" s="768"/>
      <c r="AN125" s="768"/>
      <c r="AO125" s="768"/>
      <c r="AP125" s="1787">
        <v>11</v>
      </c>
    </row>
    <row s="6314" customFormat="1" customHeight="1" ht="11.549999999999999">
      <c r="A126" s="1133"/>
      <c r="B126" s="1133"/>
      <c r="C126" s="1133"/>
      <c r="D126" s="1133"/>
      <c r="E126" s="1133"/>
      <c r="F126" s="1782"/>
      <c r="G126" s="1782"/>
      <c r="H126" s="497"/>
      <c r="N126" s="6314"/>
      <c r="O126" s="6314"/>
      <c r="P126" s="6314"/>
      <c r="Q126" s="6314"/>
      <c r="R126" s="6314"/>
      <c r="S126" s="1512"/>
      <c r="U126" s="1512"/>
      <c r="V126" s="1782"/>
      <c r="W126" s="1782"/>
      <c r="X126" s="1512"/>
      <c r="Y126" s="1512"/>
      <c r="Z126" s="1512"/>
      <c r="AA126" s="1512"/>
      <c r="AB126" s="1782"/>
      <c r="AC126" s="1512"/>
      <c r="AD126" s="1512"/>
      <c r="AE126" s="690"/>
      <c r="AF126" s="1512"/>
      <c r="AG126" s="1512"/>
      <c r="AH126" s="1512"/>
      <c r="AI126" s="1512"/>
      <c r="AJ126" s="1512"/>
      <c r="AK126" s="1778"/>
      <c r="AL126" s="768"/>
      <c r="AM126" s="768"/>
      <c r="AN126" s="768"/>
      <c r="AO126" s="768"/>
      <c r="AP126" s="1787">
        <v>11</v>
      </c>
    </row>
    <row s="6314" customFormat="1" customHeight="1" ht="11.549999999999999">
      <c r="A127" s="1133"/>
      <c r="B127" s="1133"/>
      <c r="C127" s="1133"/>
      <c r="D127" s="1133"/>
      <c r="E127" s="1133"/>
      <c r="F127" s="1782"/>
      <c r="G127" s="1782"/>
      <c r="H127" s="497"/>
      <c r="N127" s="6314"/>
      <c r="O127" s="6314"/>
      <c r="P127" s="6314"/>
      <c r="Q127" s="6314"/>
      <c r="R127" s="6314"/>
      <c r="S127" s="1512"/>
      <c r="U127" s="1512"/>
      <c r="V127" s="1782"/>
      <c r="W127" s="1782"/>
      <c r="X127" s="1512"/>
      <c r="Y127" s="1512"/>
      <c r="Z127" s="1512"/>
      <c r="AA127" s="1512"/>
      <c r="AB127" s="1782"/>
      <c r="AC127" s="1512"/>
      <c r="AD127" s="1512"/>
      <c r="AE127" s="690"/>
      <c r="AF127" s="1512"/>
      <c r="AG127" s="1512"/>
      <c r="AH127" s="1512"/>
      <c r="AI127" s="1512"/>
      <c r="AJ127" s="1512"/>
      <c r="AK127" s="1778"/>
      <c r="AL127" s="768"/>
      <c r="AM127" s="768"/>
      <c r="AN127" s="768"/>
      <c r="AO127" s="768"/>
      <c r="AP127" s="1787">
        <v>11</v>
      </c>
    </row>
    <row s="6314" customFormat="1" customHeight="1" ht="11.549999999999999">
      <c r="A128" s="1133"/>
      <c r="B128" s="1133"/>
      <c r="C128" s="1133"/>
      <c r="D128" s="1133"/>
      <c r="E128" s="1133"/>
      <c r="F128" s="1782"/>
      <c r="G128" s="1782"/>
      <c r="H128" s="497"/>
      <c r="N128" s="6314"/>
      <c r="O128" s="6314"/>
      <c r="P128" s="6314"/>
      <c r="Q128" s="6314"/>
      <c r="R128" s="6314"/>
      <c r="S128" s="1512"/>
      <c r="U128" s="1512"/>
      <c r="V128" s="1782"/>
      <c r="W128" s="1782"/>
      <c r="X128" s="1512"/>
      <c r="Y128" s="1512"/>
      <c r="Z128" s="1512"/>
      <c r="AA128" s="1512"/>
      <c r="AB128" s="1782"/>
      <c r="AC128" s="1512"/>
      <c r="AD128" s="1512"/>
      <c r="AE128" s="690"/>
      <c r="AF128" s="1512"/>
      <c r="AG128" s="1512"/>
      <c r="AH128" s="1512"/>
      <c r="AI128" s="1512"/>
      <c r="AJ128" s="1512"/>
      <c r="AK128" s="1778"/>
      <c r="AL128" s="768"/>
      <c r="AM128" s="768"/>
      <c r="AN128" s="768"/>
      <c r="AO128" s="768"/>
      <c r="AP128" s="1787">
        <v>11</v>
      </c>
    </row>
    <row s="6314" customFormat="1" customHeight="1" ht="11.549999999999999">
      <c r="A129" s="1133"/>
      <c r="B129" s="1133"/>
      <c r="C129" s="1133"/>
      <c r="D129" s="1133"/>
      <c r="E129" s="1133"/>
      <c r="F129" s="1782"/>
      <c r="G129" s="1782"/>
      <c r="H129" s="497"/>
      <c r="N129" s="6314"/>
      <c r="O129" s="6314"/>
      <c r="P129" s="6314"/>
      <c r="Q129" s="6314"/>
      <c r="R129" s="6314"/>
      <c r="S129" s="1512"/>
      <c r="U129" s="1512"/>
      <c r="V129" s="1782"/>
      <c r="W129" s="1782"/>
      <c r="X129" s="1512"/>
      <c r="Y129" s="1512"/>
      <c r="Z129" s="1512"/>
      <c r="AA129" s="1512"/>
      <c r="AB129" s="1782"/>
      <c r="AC129" s="1512"/>
      <c r="AD129" s="1512"/>
      <c r="AE129" s="690"/>
      <c r="AF129" s="1512"/>
      <c r="AG129" s="1512"/>
      <c r="AH129" s="1512"/>
      <c r="AI129" s="1512"/>
      <c r="AJ129" s="1512"/>
      <c r="AK129" s="1778"/>
      <c r="AL129" s="768"/>
      <c r="AM129" s="768"/>
      <c r="AN129" s="768"/>
      <c r="AO129" s="768"/>
      <c r="AP129" s="1787">
        <v>11</v>
      </c>
    </row>
    <row s="6314" customFormat="1" customHeight="1" ht="11.549999999999999">
      <c r="A130" s="1133"/>
      <c r="B130" s="1133"/>
      <c r="C130" s="1133"/>
      <c r="D130" s="1133"/>
      <c r="E130" s="1133"/>
      <c r="F130" s="1782"/>
      <c r="G130" s="1782"/>
      <c r="H130" s="497"/>
      <c r="N130" s="6314"/>
      <c r="O130" s="6314"/>
      <c r="P130" s="6314"/>
      <c r="Q130" s="6314"/>
      <c r="R130" s="6314"/>
      <c r="S130" s="1512"/>
      <c r="U130" s="1512"/>
      <c r="V130" s="1782"/>
      <c r="W130" s="1782"/>
      <c r="X130" s="1512"/>
      <c r="Y130" s="1512"/>
      <c r="Z130" s="1512"/>
      <c r="AA130" s="1512"/>
      <c r="AB130" s="1782"/>
      <c r="AC130" s="1512"/>
      <c r="AD130" s="1512"/>
      <c r="AE130" s="690"/>
      <c r="AF130" s="1512"/>
      <c r="AG130" s="1512"/>
      <c r="AH130" s="1512"/>
      <c r="AI130" s="1512"/>
      <c r="AJ130" s="1512"/>
      <c r="AK130" s="1778"/>
      <c r="AL130" s="768"/>
      <c r="AM130" s="768"/>
      <c r="AN130" s="768"/>
      <c r="AO130" s="768"/>
      <c r="AP130" s="1787">
        <v>11</v>
      </c>
    </row>
    <row s="6314" customFormat="1" customHeight="1" ht="11.549999999999999">
      <c r="A131" s="1133"/>
      <c r="B131" s="1133"/>
      <c r="C131" s="1133"/>
      <c r="D131" s="1133"/>
      <c r="E131" s="1133"/>
      <c r="F131" s="1782"/>
      <c r="G131" s="1782"/>
      <c r="H131" s="497"/>
      <c r="N131" s="6314"/>
      <c r="O131" s="6314"/>
      <c r="P131" s="6314"/>
      <c r="Q131" s="6314"/>
      <c r="R131" s="6314"/>
      <c r="S131" s="1512"/>
      <c r="U131" s="1512"/>
      <c r="V131" s="1782"/>
      <c r="W131" s="1782"/>
      <c r="X131" s="1512"/>
      <c r="Y131" s="1512"/>
      <c r="Z131" s="1512"/>
      <c r="AA131" s="1512"/>
      <c r="AB131" s="1782"/>
      <c r="AC131" s="1512"/>
      <c r="AD131" s="1512"/>
      <c r="AE131" s="690"/>
      <c r="AF131" s="1512"/>
      <c r="AG131" s="1512"/>
      <c r="AH131" s="1512"/>
      <c r="AI131" s="1512"/>
      <c r="AJ131" s="1512"/>
      <c r="AK131" s="1778"/>
      <c r="AL131" s="768"/>
      <c r="AM131" s="768"/>
      <c r="AN131" s="768"/>
      <c r="AO131" s="768"/>
      <c r="AP131" s="1787">
        <v>11</v>
      </c>
    </row>
    <row s="6314" customFormat="1" customHeight="1" ht="11.549999999999999">
      <c r="A132" s="1133"/>
      <c r="B132" s="1133"/>
      <c r="C132" s="1133"/>
      <c r="D132" s="1133"/>
      <c r="E132" s="1133"/>
      <c r="F132" s="1782"/>
      <c r="G132" s="1782"/>
      <c r="H132" s="497"/>
      <c r="N132" s="6314"/>
      <c r="O132" s="6314"/>
      <c r="P132" s="6314"/>
      <c r="Q132" s="6314"/>
      <c r="R132" s="6314"/>
      <c r="S132" s="1512"/>
      <c r="U132" s="1512"/>
      <c r="V132" s="1782"/>
      <c r="W132" s="1782"/>
      <c r="X132" s="1512"/>
      <c r="Y132" s="1512"/>
      <c r="Z132" s="1512"/>
      <c r="AA132" s="1512"/>
      <c r="AB132" s="1782"/>
      <c r="AC132" s="1512"/>
      <c r="AD132" s="1512"/>
      <c r="AE132" s="690"/>
      <c r="AF132" s="1512"/>
      <c r="AG132" s="1512"/>
      <c r="AH132" s="1512"/>
      <c r="AI132" s="1512"/>
      <c r="AJ132" s="1512"/>
      <c r="AK132" s="1778"/>
      <c r="AL132" s="768"/>
      <c r="AM132" s="768"/>
      <c r="AN132" s="768"/>
      <c r="AO132" s="768"/>
      <c r="AP132" s="1787">
        <v>11</v>
      </c>
    </row>
    <row s="6314" customFormat="1" customHeight="1" ht="11.549999999999999">
      <c r="A133" s="1133"/>
      <c r="B133" s="1133"/>
      <c r="C133" s="1133"/>
      <c r="D133" s="1133"/>
      <c r="E133" s="1133"/>
      <c r="F133" s="1782"/>
      <c r="G133" s="1782"/>
      <c r="H133" s="497"/>
      <c r="N133" s="6314"/>
      <c r="O133" s="6314"/>
      <c r="P133" s="6314"/>
      <c r="Q133" s="6314"/>
      <c r="R133" s="6314"/>
      <c r="S133" s="1512"/>
      <c r="U133" s="1512"/>
      <c r="V133" s="1782"/>
      <c r="W133" s="1782"/>
      <c r="X133" s="1512"/>
      <c r="Y133" s="1512"/>
      <c r="Z133" s="1512"/>
      <c r="AA133" s="1512"/>
      <c r="AB133" s="1782"/>
      <c r="AC133" s="1512"/>
      <c r="AD133" s="1512"/>
      <c r="AE133" s="690"/>
      <c r="AF133" s="1512"/>
      <c r="AG133" s="1512"/>
      <c r="AH133" s="1512"/>
      <c r="AI133" s="1512"/>
      <c r="AJ133" s="1512"/>
      <c r="AK133" s="1778"/>
      <c r="AL133" s="768"/>
      <c r="AM133" s="768"/>
      <c r="AN133" s="768"/>
      <c r="AO133" s="768"/>
      <c r="AP133" s="1787">
        <v>11</v>
      </c>
    </row>
    <row s="6314" customFormat="1" customHeight="1" ht="11.549999999999999">
      <c r="A134" s="1133"/>
      <c r="B134" s="1133"/>
      <c r="C134" s="1133"/>
      <c r="D134" s="1133"/>
      <c r="E134" s="1133"/>
      <c r="F134" s="1782"/>
      <c r="G134" s="1782"/>
      <c r="H134" s="497"/>
      <c r="N134" s="6314"/>
      <c r="O134" s="6314"/>
      <c r="P134" s="6314"/>
      <c r="Q134" s="6314"/>
      <c r="R134" s="6314"/>
      <c r="S134" s="1512"/>
      <c r="U134" s="1512"/>
      <c r="V134" s="1782"/>
      <c r="W134" s="1782"/>
      <c r="X134" s="1512"/>
      <c r="Y134" s="1512"/>
      <c r="Z134" s="1512"/>
      <c r="AA134" s="1512"/>
      <c r="AB134" s="1782"/>
      <c r="AC134" s="1512"/>
      <c r="AD134" s="1512"/>
      <c r="AE134" s="690"/>
      <c r="AF134" s="1512"/>
      <c r="AG134" s="1512"/>
      <c r="AH134" s="1512"/>
      <c r="AI134" s="1512"/>
      <c r="AJ134" s="1512"/>
      <c r="AK134" s="1778"/>
      <c r="AL134" s="768"/>
      <c r="AM134" s="768"/>
      <c r="AN134" s="768"/>
      <c r="AO134" s="768"/>
      <c r="AP134" s="1787">
        <v>11</v>
      </c>
    </row>
    <row s="6314" customFormat="1" customHeight="1" ht="11.549999999999999">
      <c r="A135" s="1133"/>
      <c r="B135" s="1133"/>
      <c r="C135" s="1133"/>
      <c r="D135" s="1133"/>
      <c r="E135" s="1133"/>
      <c r="F135" s="1782"/>
      <c r="G135" s="1782"/>
      <c r="H135" s="497"/>
      <c r="N135" s="6314"/>
      <c r="O135" s="6314"/>
      <c r="P135" s="6314"/>
      <c r="Q135" s="6314"/>
      <c r="R135" s="6314"/>
      <c r="S135" s="1512"/>
      <c r="U135" s="1512"/>
      <c r="V135" s="1782"/>
      <c r="W135" s="1782"/>
      <c r="X135" s="1512"/>
      <c r="Y135" s="1512"/>
      <c r="Z135" s="1512"/>
      <c r="AA135" s="1512"/>
      <c r="AB135" s="1782"/>
      <c r="AC135" s="1512"/>
      <c r="AD135" s="1512"/>
      <c r="AE135" s="690"/>
      <c r="AF135" s="1512"/>
      <c r="AG135" s="1512"/>
      <c r="AH135" s="1512"/>
      <c r="AI135" s="1512"/>
      <c r="AJ135" s="1512"/>
      <c r="AK135" s="1778"/>
      <c r="AL135" s="768"/>
      <c r="AM135" s="768"/>
      <c r="AN135" s="768"/>
      <c r="AO135" s="768"/>
      <c r="AP135" s="1787">
        <v>11</v>
      </c>
    </row>
    <row s="6314" customFormat="1" customHeight="1" ht="11.549999999999999">
      <c r="A136" s="1133"/>
      <c r="B136" s="1133"/>
      <c r="C136" s="1133"/>
      <c r="D136" s="1133"/>
      <c r="E136" s="1133"/>
      <c r="F136" s="1782"/>
      <c r="G136" s="1782"/>
      <c r="H136" s="497"/>
      <c r="N136" s="6314"/>
      <c r="O136" s="6314"/>
      <c r="P136" s="6314"/>
      <c r="Q136" s="6314"/>
      <c r="R136" s="6314"/>
      <c r="S136" s="1512"/>
      <c r="U136" s="1512"/>
      <c r="V136" s="1782"/>
      <c r="W136" s="1782"/>
      <c r="X136" s="1512"/>
      <c r="Y136" s="1512"/>
      <c r="Z136" s="1512"/>
      <c r="AA136" s="1512"/>
      <c r="AB136" s="1782"/>
      <c r="AC136" s="1512"/>
      <c r="AD136" s="1512"/>
      <c r="AE136" s="690"/>
      <c r="AF136" s="1512"/>
      <c r="AG136" s="1512"/>
      <c r="AH136" s="1512"/>
      <c r="AI136" s="1512"/>
      <c r="AJ136" s="1512"/>
      <c r="AK136" s="1778"/>
      <c r="AL136" s="768"/>
      <c r="AM136" s="768"/>
      <c r="AN136" s="768"/>
      <c r="AO136" s="768"/>
      <c r="AP136" s="1787">
        <v>11</v>
      </c>
    </row>
    <row s="6314" customFormat="1" customHeight="1" ht="11.549999999999999">
      <c r="A137" s="1133"/>
      <c r="B137" s="1133"/>
      <c r="C137" s="1133"/>
      <c r="D137" s="1133"/>
      <c r="E137" s="1133"/>
      <c r="F137" s="1782"/>
      <c r="G137" s="1782"/>
      <c r="H137" s="497"/>
      <c r="N137" s="6314"/>
      <c r="O137" s="6314"/>
      <c r="P137" s="6314"/>
      <c r="Q137" s="6314"/>
      <c r="R137" s="6314"/>
      <c r="S137" s="1512"/>
      <c r="U137" s="1512"/>
      <c r="V137" s="1782"/>
      <c r="W137" s="1782"/>
      <c r="X137" s="1512"/>
      <c r="Y137" s="1512"/>
      <c r="Z137" s="1512"/>
      <c r="AA137" s="1512"/>
      <c r="AB137" s="1782"/>
      <c r="AC137" s="1512"/>
      <c r="AD137" s="1512"/>
      <c r="AE137" s="690"/>
      <c r="AF137" s="1512"/>
      <c r="AG137" s="1512"/>
      <c r="AH137" s="1512"/>
      <c r="AI137" s="1512"/>
      <c r="AJ137" s="1512"/>
      <c r="AK137" s="1778"/>
      <c r="AL137" s="768"/>
      <c r="AM137" s="768"/>
      <c r="AN137" s="768"/>
      <c r="AO137" s="768"/>
      <c r="AP137" s="1787">
        <v>11</v>
      </c>
    </row>
    <row s="6314" customFormat="1" customHeight="1" ht="11.549999999999999">
      <c r="A138" s="1133"/>
      <c r="B138" s="1133"/>
      <c r="C138" s="1133"/>
      <c r="D138" s="1133"/>
      <c r="E138" s="1133"/>
      <c r="F138" s="1782"/>
      <c r="G138" s="1782"/>
      <c r="H138" s="497"/>
      <c r="N138" s="6314"/>
      <c r="O138" s="6314"/>
      <c r="P138" s="6314"/>
      <c r="Q138" s="6314"/>
      <c r="R138" s="6314"/>
      <c r="S138" s="1512"/>
      <c r="U138" s="1512"/>
      <c r="V138" s="1782"/>
      <c r="W138" s="1782"/>
      <c r="X138" s="1512"/>
      <c r="Y138" s="1512"/>
      <c r="Z138" s="1512"/>
      <c r="AA138" s="1512"/>
      <c r="AB138" s="1782"/>
      <c r="AC138" s="1512"/>
      <c r="AD138" s="1512"/>
      <c r="AE138" s="690"/>
      <c r="AF138" s="1512"/>
      <c r="AG138" s="1512"/>
      <c r="AH138" s="1512"/>
      <c r="AI138" s="1512"/>
      <c r="AJ138" s="1512"/>
      <c r="AK138" s="1778"/>
      <c r="AL138" s="768"/>
      <c r="AM138" s="768"/>
      <c r="AN138" s="768"/>
      <c r="AO138" s="768"/>
      <c r="AP138" s="1787">
        <v>11</v>
      </c>
    </row>
    <row s="6314" customFormat="1" customHeight="1" ht="11.549999999999999">
      <c r="A139" s="1133"/>
      <c r="B139" s="1133"/>
      <c r="C139" s="1133"/>
      <c r="D139" s="1133"/>
      <c r="E139" s="1133"/>
      <c r="F139" s="1782"/>
      <c r="G139" s="1782"/>
      <c r="H139" s="497"/>
      <c r="N139" s="6314"/>
      <c r="O139" s="6314"/>
      <c r="P139" s="6314"/>
      <c r="Q139" s="6314"/>
      <c r="R139" s="6314"/>
      <c r="S139" s="1512"/>
      <c r="U139" s="1512"/>
      <c r="V139" s="1782"/>
      <c r="W139" s="1782"/>
      <c r="X139" s="1512"/>
      <c r="Y139" s="1512"/>
      <c r="Z139" s="1512"/>
      <c r="AA139" s="1512"/>
      <c r="AB139" s="1782"/>
      <c r="AC139" s="1512"/>
      <c r="AD139" s="1512"/>
      <c r="AE139" s="690"/>
      <c r="AF139" s="1512"/>
      <c r="AG139" s="1512"/>
      <c r="AH139" s="1512"/>
      <c r="AI139" s="1512"/>
      <c r="AJ139" s="1512"/>
      <c r="AK139" s="1778"/>
      <c r="AL139" s="768"/>
      <c r="AM139" s="768"/>
      <c r="AN139" s="768"/>
      <c r="AO139" s="768"/>
      <c r="AP139" s="1787">
        <v>11</v>
      </c>
    </row>
    <row s="6314" customFormat="1" customHeight="1" ht="11.549999999999999">
      <c r="A140" s="1133"/>
      <c r="B140" s="1133"/>
      <c r="C140" s="1133"/>
      <c r="D140" s="1133"/>
      <c r="E140" s="1133"/>
      <c r="F140" s="1782"/>
      <c r="G140" s="1782"/>
      <c r="H140" s="497"/>
      <c r="N140" s="6314"/>
      <c r="O140" s="6314"/>
      <c r="P140" s="6314"/>
      <c r="Q140" s="6314"/>
      <c r="R140" s="6314"/>
      <c r="S140" s="1512"/>
      <c r="U140" s="1512"/>
      <c r="V140" s="1782"/>
      <c r="W140" s="1782"/>
      <c r="X140" s="1512"/>
      <c r="Y140" s="1512"/>
      <c r="Z140" s="1512"/>
      <c r="AA140" s="1512"/>
      <c r="AB140" s="1782"/>
      <c r="AC140" s="1512"/>
      <c r="AD140" s="1512"/>
      <c r="AE140" s="690"/>
      <c r="AF140" s="1512"/>
      <c r="AG140" s="1512"/>
      <c r="AH140" s="1512"/>
      <c r="AI140" s="1512"/>
      <c r="AJ140" s="1512"/>
      <c r="AK140" s="1778"/>
      <c r="AL140" s="768"/>
      <c r="AM140" s="768"/>
      <c r="AN140" s="768"/>
      <c r="AO140" s="768"/>
      <c r="AP140" s="1787">
        <v>11</v>
      </c>
    </row>
    <row s="6314" customFormat="1" customHeight="1" ht="11.549999999999999">
      <c r="A141" s="1133"/>
      <c r="B141" s="1133"/>
      <c r="C141" s="1133"/>
      <c r="D141" s="1133"/>
      <c r="E141" s="1133"/>
      <c r="F141" s="1782"/>
      <c r="G141" s="1782"/>
      <c r="H141" s="497"/>
      <c r="N141" s="6314"/>
      <c r="O141" s="6314"/>
      <c r="P141" s="6314"/>
      <c r="Q141" s="6314"/>
      <c r="R141" s="6314"/>
      <c r="S141" s="1512"/>
      <c r="U141" s="1512"/>
      <c r="V141" s="1782"/>
      <c r="W141" s="1782"/>
      <c r="X141" s="1512"/>
      <c r="Y141" s="1512"/>
      <c r="Z141" s="1512"/>
      <c r="AA141" s="1512"/>
      <c r="AB141" s="1782"/>
      <c r="AC141" s="1512"/>
      <c r="AD141" s="1512"/>
      <c r="AE141" s="690"/>
      <c r="AF141" s="1512"/>
      <c r="AG141" s="1512"/>
      <c r="AH141" s="1512"/>
      <c r="AI141" s="1512"/>
      <c r="AJ141" s="1512"/>
      <c r="AK141" s="1778"/>
      <c r="AL141" s="768"/>
      <c r="AM141" s="768"/>
      <c r="AN141" s="768"/>
      <c r="AO141" s="768"/>
      <c r="AP141" s="1787">
        <v>11</v>
      </c>
    </row>
    <row s="6314" customFormat="1" customHeight="1" ht="11.549999999999999">
      <c r="A142" s="1133"/>
      <c r="B142" s="1133"/>
      <c r="C142" s="1133"/>
      <c r="D142" s="1133"/>
      <c r="E142" s="1133"/>
      <c r="F142" s="1782"/>
      <c r="G142" s="1782"/>
      <c r="H142" s="497"/>
      <c r="N142" s="6314"/>
      <c r="O142" s="6314"/>
      <c r="P142" s="6314"/>
      <c r="Q142" s="6314"/>
      <c r="R142" s="6314"/>
      <c r="S142" s="1512"/>
      <c r="U142" s="1512"/>
      <c r="V142" s="1782"/>
      <c r="W142" s="1782"/>
      <c r="X142" s="1512"/>
      <c r="Y142" s="1512"/>
      <c r="Z142" s="1512"/>
      <c r="AA142" s="1512"/>
      <c r="AB142" s="1782"/>
      <c r="AC142" s="1512"/>
      <c r="AD142" s="1512"/>
      <c r="AE142" s="690"/>
      <c r="AF142" s="1512"/>
      <c r="AG142" s="1512"/>
      <c r="AH142" s="1512"/>
      <c r="AI142" s="1512"/>
      <c r="AJ142" s="1512"/>
      <c r="AK142" s="1778"/>
      <c r="AL142" s="768"/>
      <c r="AM142" s="768"/>
      <c r="AN142" s="768"/>
      <c r="AO142" s="768"/>
      <c r="AP142" s="1787">
        <v>11</v>
      </c>
    </row>
    <row s="6314" customFormat="1" customHeight="1" ht="11.549999999999999">
      <c r="A143" s="1133"/>
      <c r="B143" s="1133"/>
      <c r="C143" s="1133"/>
      <c r="D143" s="1133"/>
      <c r="E143" s="1133"/>
      <c r="F143" s="1782"/>
      <c r="G143" s="1782"/>
      <c r="H143" s="497"/>
      <c r="N143" s="6314"/>
      <c r="O143" s="6314"/>
      <c r="P143" s="6314"/>
      <c r="Q143" s="6314"/>
      <c r="R143" s="6314"/>
      <c r="S143" s="1512"/>
      <c r="U143" s="1512"/>
      <c r="V143" s="1782"/>
      <c r="W143" s="1782"/>
      <c r="X143" s="1512"/>
      <c r="Y143" s="1512"/>
      <c r="Z143" s="1512"/>
      <c r="AA143" s="1512"/>
      <c r="AB143" s="1782"/>
      <c r="AC143" s="1512"/>
      <c r="AD143" s="1512"/>
      <c r="AE143" s="690"/>
      <c r="AF143" s="1512"/>
      <c r="AG143" s="1512"/>
      <c r="AH143" s="1512"/>
      <c r="AI143" s="1512"/>
      <c r="AJ143" s="1512"/>
      <c r="AK143" s="1778"/>
      <c r="AL143" s="768"/>
      <c r="AM143" s="768"/>
      <c r="AN143" s="768"/>
      <c r="AO143" s="768"/>
      <c r="AP143" s="1787">
        <v>11</v>
      </c>
    </row>
    <row s="6314" customFormat="1" customHeight="1" ht="11.549999999999999">
      <c r="A144" s="1133"/>
      <c r="B144" s="1133"/>
      <c r="C144" s="1133"/>
      <c r="D144" s="1133"/>
      <c r="E144" s="1133"/>
      <c r="F144" s="1782"/>
      <c r="G144" s="1782"/>
      <c r="H144" s="497"/>
      <c r="N144" s="6314"/>
      <c r="O144" s="6314"/>
      <c r="P144" s="6314"/>
      <c r="Q144" s="6314"/>
      <c r="R144" s="6314"/>
      <c r="S144" s="1512"/>
      <c r="U144" s="1512"/>
      <c r="V144" s="1782"/>
      <c r="W144" s="1782"/>
      <c r="X144" s="1512"/>
      <c r="Y144" s="1512"/>
      <c r="Z144" s="1512"/>
      <c r="AA144" s="1512"/>
      <c r="AB144" s="1782"/>
      <c r="AC144" s="1512"/>
      <c r="AD144" s="1512"/>
      <c r="AE144" s="690"/>
      <c r="AF144" s="1512"/>
      <c r="AG144" s="1512"/>
      <c r="AH144" s="1512"/>
      <c r="AI144" s="1512"/>
      <c r="AJ144" s="1512"/>
      <c r="AK144" s="1778"/>
      <c r="AL144" s="768"/>
      <c r="AM144" s="768"/>
      <c r="AN144" s="768"/>
      <c r="AO144" s="768"/>
      <c r="AP144" s="1787">
        <v>11</v>
      </c>
    </row>
    <row s="6314" customFormat="1" customHeight="1" ht="11.549999999999999">
      <c r="A145" s="1133"/>
      <c r="B145" s="1133"/>
      <c r="C145" s="1133"/>
      <c r="D145" s="1133"/>
      <c r="E145" s="1133"/>
      <c r="F145" s="1782"/>
      <c r="G145" s="1782"/>
      <c r="H145" s="497"/>
      <c r="N145" s="6314"/>
      <c r="O145" s="6314"/>
      <c r="P145" s="6314"/>
      <c r="Q145" s="6314"/>
      <c r="R145" s="6314"/>
      <c r="S145" s="1512"/>
      <c r="U145" s="1512"/>
      <c r="V145" s="1782"/>
      <c r="W145" s="1782"/>
      <c r="X145" s="1512"/>
      <c r="Y145" s="1512"/>
      <c r="Z145" s="1512"/>
      <c r="AA145" s="1512"/>
      <c r="AB145" s="1782"/>
      <c r="AC145" s="1512"/>
      <c r="AD145" s="1512"/>
      <c r="AE145" s="690"/>
      <c r="AF145" s="1512"/>
      <c r="AG145" s="1512"/>
      <c r="AH145" s="1512"/>
      <c r="AI145" s="1512"/>
      <c r="AJ145" s="1512"/>
      <c r="AK145" s="1778"/>
      <c r="AL145" s="768"/>
      <c r="AM145" s="768"/>
      <c r="AN145" s="768"/>
      <c r="AO145" s="768"/>
      <c r="AP145" s="1787">
        <v>11</v>
      </c>
    </row>
    <row s="6314" customFormat="1" customHeight="1" ht="11.549999999999999">
      <c r="A146" s="1133"/>
      <c r="B146" s="1133"/>
      <c r="C146" s="1133"/>
      <c r="D146" s="1133"/>
      <c r="E146" s="1133"/>
      <c r="F146" s="1782"/>
      <c r="G146" s="1782"/>
      <c r="H146" s="497"/>
      <c r="N146" s="6314"/>
      <c r="O146" s="6314"/>
      <c r="P146" s="6314"/>
      <c r="Q146" s="6314"/>
      <c r="R146" s="6314"/>
      <c r="S146" s="1512"/>
      <c r="U146" s="1512"/>
      <c r="V146" s="1782"/>
      <c r="W146" s="1782"/>
      <c r="X146" s="1512"/>
      <c r="Y146" s="1512"/>
      <c r="Z146" s="1512"/>
      <c r="AA146" s="1512"/>
      <c r="AB146" s="1782"/>
      <c r="AC146" s="1512"/>
      <c r="AD146" s="1512"/>
      <c r="AE146" s="690"/>
      <c r="AF146" s="1512"/>
      <c r="AG146" s="1512"/>
      <c r="AH146" s="1512"/>
      <c r="AI146" s="1512"/>
      <c r="AJ146" s="1512"/>
      <c r="AK146" s="1778"/>
      <c r="AL146" s="768"/>
      <c r="AM146" s="768"/>
      <c r="AN146" s="768"/>
      <c r="AO146" s="768"/>
      <c r="AP146" s="1787">
        <v>11</v>
      </c>
    </row>
    <row s="6314" customFormat="1" customHeight="1" ht="11.549999999999999">
      <c r="A147" s="1133"/>
      <c r="B147" s="1133"/>
      <c r="C147" s="1133"/>
      <c r="D147" s="1133"/>
      <c r="E147" s="1133"/>
      <c r="F147" s="1782"/>
      <c r="G147" s="1782"/>
      <c r="H147" s="497"/>
      <c r="N147" s="6314"/>
      <c r="O147" s="6314"/>
      <c r="P147" s="6314"/>
      <c r="Q147" s="6314"/>
      <c r="R147" s="6314"/>
      <c r="S147" s="1512"/>
      <c r="U147" s="1512"/>
      <c r="V147" s="1782"/>
      <c r="W147" s="1782"/>
      <c r="X147" s="1512"/>
      <c r="Y147" s="1512"/>
      <c r="Z147" s="1512"/>
      <c r="AA147" s="1512"/>
      <c r="AB147" s="1782"/>
      <c r="AC147" s="1512"/>
      <c r="AD147" s="1512"/>
      <c r="AE147" s="690"/>
      <c r="AF147" s="1512"/>
      <c r="AG147" s="1512"/>
      <c r="AH147" s="1512"/>
      <c r="AI147" s="1512"/>
      <c r="AJ147" s="1512"/>
      <c r="AK147" s="1778"/>
      <c r="AL147" s="768"/>
      <c r="AM147" s="768"/>
      <c r="AN147" s="768"/>
      <c r="AO147" s="768"/>
      <c r="AP147" s="1787">
        <v>11</v>
      </c>
    </row>
    <row s="6314" customFormat="1" customHeight="1" ht="11.549999999999999">
      <c r="A148" s="1133"/>
      <c r="B148" s="1133"/>
      <c r="C148" s="1133"/>
      <c r="D148" s="1133"/>
      <c r="E148" s="1133"/>
      <c r="F148" s="1782"/>
      <c r="G148" s="1782"/>
      <c r="H148" s="497"/>
      <c r="N148" s="6314"/>
      <c r="O148" s="6314"/>
      <c r="P148" s="6314"/>
      <c r="Q148" s="6314"/>
      <c r="R148" s="6314"/>
      <c r="S148" s="1512"/>
      <c r="U148" s="1512"/>
      <c r="V148" s="1782"/>
      <c r="W148" s="1782"/>
      <c r="X148" s="1512"/>
      <c r="Y148" s="1512"/>
      <c r="Z148" s="1512"/>
      <c r="AA148" s="1512"/>
      <c r="AB148" s="1782"/>
      <c r="AC148" s="1512"/>
      <c r="AD148" s="1512"/>
      <c r="AE148" s="690"/>
      <c r="AF148" s="1512"/>
      <c r="AG148" s="1512"/>
      <c r="AH148" s="1512"/>
      <c r="AI148" s="1512"/>
      <c r="AJ148" s="1512"/>
      <c r="AK148" s="1778"/>
      <c r="AL148" s="768"/>
      <c r="AM148" s="768"/>
      <c r="AN148" s="768"/>
      <c r="AO148" s="768"/>
      <c r="AP148" s="1787">
        <v>11</v>
      </c>
    </row>
    <row s="6314" customFormat="1" customHeight="1" ht="11.549999999999999">
      <c r="A149" s="1133"/>
      <c r="B149" s="1133"/>
      <c r="C149" s="1133"/>
      <c r="D149" s="1133"/>
      <c r="E149" s="1133"/>
      <c r="F149" s="1782"/>
      <c r="G149" s="1782"/>
      <c r="H149" s="497"/>
      <c r="N149" s="6314"/>
      <c r="O149" s="6314"/>
      <c r="P149" s="6314"/>
      <c r="Q149" s="6314"/>
      <c r="R149" s="6314"/>
      <c r="S149" s="1512"/>
      <c r="U149" s="1512"/>
      <c r="V149" s="1782"/>
      <c r="W149" s="1782"/>
      <c r="X149" s="1512"/>
      <c r="Y149" s="1512"/>
      <c r="Z149" s="1512"/>
      <c r="AA149" s="1512"/>
      <c r="AB149" s="1782"/>
      <c r="AC149" s="1512"/>
      <c r="AD149" s="1512"/>
      <c r="AE149" s="690"/>
      <c r="AF149" s="1512"/>
      <c r="AG149" s="1512"/>
      <c r="AH149" s="1512"/>
      <c r="AI149" s="1512"/>
      <c r="AJ149" s="1512"/>
      <c r="AK149" s="1778"/>
      <c r="AL149" s="768"/>
      <c r="AM149" s="768"/>
      <c r="AN149" s="768"/>
      <c r="AO149" s="768"/>
      <c r="AP149" s="1787">
        <v>11</v>
      </c>
    </row>
    <row s="6314" customFormat="1" customHeight="1" ht="11.549999999999999">
      <c r="A150" s="1133"/>
      <c r="B150" s="1133"/>
      <c r="C150" s="1133"/>
      <c r="D150" s="1133"/>
      <c r="E150" s="1133"/>
      <c r="F150" s="1782"/>
      <c r="G150" s="1782"/>
      <c r="H150" s="497"/>
      <c r="N150" s="6314"/>
      <c r="O150" s="6314"/>
      <c r="P150" s="6314"/>
      <c r="Q150" s="6314"/>
      <c r="R150" s="6314"/>
      <c r="S150" s="1512"/>
      <c r="U150" s="1512"/>
      <c r="V150" s="1782"/>
      <c r="W150" s="1782"/>
      <c r="X150" s="1512"/>
      <c r="Y150" s="1512"/>
      <c r="Z150" s="1512"/>
      <c r="AA150" s="1512"/>
      <c r="AB150" s="1782"/>
      <c r="AC150" s="1512"/>
      <c r="AD150" s="1512"/>
      <c r="AE150" s="690"/>
      <c r="AF150" s="1512"/>
      <c r="AG150" s="1512"/>
      <c r="AH150" s="1512"/>
      <c r="AI150" s="1512"/>
      <c r="AJ150" s="1512"/>
      <c r="AK150" s="1778"/>
      <c r="AL150" s="768"/>
      <c r="AM150" s="768"/>
      <c r="AN150" s="768"/>
      <c r="AO150" s="768"/>
      <c r="AP150" s="1787">
        <v>11</v>
      </c>
    </row>
    <row s="6314" customFormat="1" customHeight="1" ht="11.549999999999999">
      <c r="A151" s="1133"/>
      <c r="B151" s="1133"/>
      <c r="C151" s="1133"/>
      <c r="D151" s="1133"/>
      <c r="E151" s="1133"/>
      <c r="F151" s="1782"/>
      <c r="G151" s="1782"/>
      <c r="H151" s="497"/>
      <c r="N151" s="6314"/>
      <c r="O151" s="6314"/>
      <c r="P151" s="6314"/>
      <c r="Q151" s="6314"/>
      <c r="R151" s="6314"/>
      <c r="S151" s="1512"/>
      <c r="U151" s="1512"/>
      <c r="V151" s="1782"/>
      <c r="W151" s="1782"/>
      <c r="X151" s="1512"/>
      <c r="Y151" s="1512"/>
      <c r="Z151" s="1512"/>
      <c r="AA151" s="1512"/>
      <c r="AB151" s="1782"/>
      <c r="AC151" s="1512"/>
      <c r="AD151" s="1512"/>
      <c r="AE151" s="690"/>
      <c r="AF151" s="1512"/>
      <c r="AG151" s="1512"/>
      <c r="AH151" s="1512"/>
      <c r="AI151" s="1512"/>
      <c r="AJ151" s="1512"/>
      <c r="AK151" s="1778"/>
      <c r="AL151" s="768"/>
      <c r="AM151" s="768"/>
      <c r="AN151" s="768"/>
      <c r="AO151" s="768"/>
      <c r="AP151" s="1787">
        <v>11</v>
      </c>
    </row>
    <row s="6314" customFormat="1" customHeight="1" ht="11.549999999999999">
      <c r="A152" s="1133"/>
      <c r="B152" s="1133"/>
      <c r="C152" s="1133"/>
      <c r="D152" s="1133"/>
      <c r="E152" s="1133"/>
      <c r="F152" s="1782"/>
      <c r="G152" s="1782"/>
      <c r="H152" s="497"/>
      <c r="N152" s="6314"/>
      <c r="O152" s="6314"/>
      <c r="P152" s="6314"/>
      <c r="Q152" s="6314"/>
      <c r="R152" s="6314"/>
      <c r="S152" s="1512"/>
      <c r="U152" s="1512"/>
      <c r="V152" s="1782"/>
      <c r="W152" s="1782"/>
      <c r="X152" s="1512"/>
      <c r="Y152" s="1512"/>
      <c r="Z152" s="1512"/>
      <c r="AA152" s="1512"/>
      <c r="AB152" s="1782"/>
      <c r="AC152" s="1512"/>
      <c r="AD152" s="1512"/>
      <c r="AE152" s="690"/>
      <c r="AF152" s="1512"/>
      <c r="AG152" s="1512"/>
      <c r="AH152" s="1512"/>
      <c r="AI152" s="1512"/>
      <c r="AJ152" s="1512"/>
      <c r="AK152" s="1778"/>
      <c r="AL152" s="768"/>
      <c r="AM152" s="768"/>
      <c r="AN152" s="768"/>
      <c r="AO152" s="768"/>
      <c r="AP152" s="1787">
        <v>11</v>
      </c>
    </row>
    <row s="6314" customFormat="1" customHeight="1" ht="11.549999999999999">
      <c r="A153" s="1133"/>
      <c r="B153" s="1133"/>
      <c r="C153" s="1133"/>
      <c r="D153" s="1133"/>
      <c r="E153" s="1133"/>
      <c r="F153" s="1782"/>
      <c r="G153" s="1782"/>
      <c r="H153" s="497"/>
      <c r="N153" s="6314"/>
      <c r="O153" s="6314"/>
      <c r="P153" s="6314"/>
      <c r="Q153" s="6314"/>
      <c r="R153" s="6314"/>
      <c r="S153" s="1512"/>
      <c r="U153" s="1512"/>
      <c r="V153" s="1782"/>
      <c r="W153" s="1782"/>
      <c r="X153" s="1512"/>
      <c r="Y153" s="1512"/>
      <c r="Z153" s="1512"/>
      <c r="AA153" s="1512"/>
      <c r="AB153" s="1782"/>
      <c r="AC153" s="1512"/>
      <c r="AD153" s="1512"/>
      <c r="AE153" s="690"/>
      <c r="AF153" s="1512"/>
      <c r="AG153" s="1512"/>
      <c r="AH153" s="1512"/>
      <c r="AI153" s="1512"/>
      <c r="AJ153" s="1512"/>
      <c r="AK153" s="1778"/>
      <c r="AL153" s="768"/>
      <c r="AM153" s="768"/>
      <c r="AN153" s="768"/>
      <c r="AO153" s="768"/>
      <c r="AP153" s="1787">
        <v>11</v>
      </c>
    </row>
    <row s="6314" customFormat="1" customHeight="1" ht="11.549999999999999">
      <c r="A154" s="1133"/>
      <c r="B154" s="1133"/>
      <c r="C154" s="1133"/>
      <c r="D154" s="1133"/>
      <c r="E154" s="1133"/>
      <c r="F154" s="1782"/>
      <c r="G154" s="1782"/>
      <c r="H154" s="497"/>
      <c r="N154" s="6314"/>
      <c r="O154" s="6314"/>
      <c r="P154" s="6314"/>
      <c r="Q154" s="6314"/>
      <c r="R154" s="6314"/>
      <c r="S154" s="1512"/>
      <c r="U154" s="1512"/>
      <c r="V154" s="1782"/>
      <c r="W154" s="1782"/>
      <c r="X154" s="1512"/>
      <c r="Y154" s="1512"/>
      <c r="Z154" s="1512"/>
      <c r="AA154" s="1512"/>
      <c r="AB154" s="1782"/>
      <c r="AC154" s="1512"/>
      <c r="AD154" s="1512"/>
      <c r="AE154" s="690"/>
      <c r="AF154" s="1512"/>
      <c r="AG154" s="1512"/>
      <c r="AH154" s="1512"/>
      <c r="AI154" s="1512"/>
      <c r="AJ154" s="1512"/>
      <c r="AK154" s="1778"/>
      <c r="AL154" s="768"/>
      <c r="AM154" s="768"/>
      <c r="AN154" s="768"/>
      <c r="AO154" s="768"/>
      <c r="AP154" s="1787">
        <v>11</v>
      </c>
    </row>
    <row s="6314" customFormat="1" customHeight="1" ht="11.549999999999999">
      <c r="A155" s="1133"/>
      <c r="B155" s="1133"/>
      <c r="C155" s="1133"/>
      <c r="D155" s="1133"/>
      <c r="E155" s="1133"/>
      <c r="F155" s="1782"/>
      <c r="G155" s="1782"/>
      <c r="H155" s="497"/>
      <c r="N155" s="6314"/>
      <c r="O155" s="6314"/>
      <c r="P155" s="6314"/>
      <c r="Q155" s="6314"/>
      <c r="R155" s="6314"/>
      <c r="S155" s="1512"/>
      <c r="U155" s="1512"/>
      <c r="V155" s="1782"/>
      <c r="W155" s="1782"/>
      <c r="X155" s="1512"/>
      <c r="Y155" s="1512"/>
      <c r="Z155" s="1512"/>
      <c r="AA155" s="1512"/>
      <c r="AB155" s="1782"/>
      <c r="AC155" s="1512"/>
      <c r="AD155" s="1512"/>
      <c r="AE155" s="690"/>
      <c r="AF155" s="1512"/>
      <c r="AG155" s="1512"/>
      <c r="AH155" s="1512"/>
      <c r="AI155" s="1512"/>
      <c r="AJ155" s="1512"/>
      <c r="AK155" s="1778"/>
      <c r="AL155" s="768"/>
      <c r="AM155" s="768"/>
      <c r="AN155" s="768"/>
      <c r="AO155" s="768"/>
      <c r="AP155" s="1787">
        <v>11</v>
      </c>
    </row>
    <row s="6314" customFormat="1" customHeight="1" ht="11.549999999999999">
      <c r="A156" s="1133"/>
      <c r="B156" s="1133"/>
      <c r="C156" s="1133"/>
      <c r="D156" s="1133"/>
      <c r="E156" s="1133"/>
      <c r="F156" s="1782"/>
      <c r="G156" s="1782"/>
      <c r="H156" s="497"/>
      <c r="N156" s="6314"/>
      <c r="O156" s="6314"/>
      <c r="P156" s="6314"/>
      <c r="Q156" s="6314"/>
      <c r="R156" s="6314"/>
      <c r="S156" s="1512"/>
      <c r="U156" s="1512"/>
      <c r="V156" s="1782"/>
      <c r="W156" s="1782"/>
      <c r="X156" s="1512"/>
      <c r="Y156" s="1512"/>
      <c r="Z156" s="1512"/>
      <c r="AA156" s="1512"/>
      <c r="AB156" s="1782"/>
      <c r="AC156" s="1512"/>
      <c r="AD156" s="1512"/>
      <c r="AE156" s="690"/>
      <c r="AF156" s="1512"/>
      <c r="AG156" s="1512"/>
      <c r="AH156" s="1512"/>
      <c r="AI156" s="1512"/>
      <c r="AJ156" s="1512"/>
      <c r="AK156" s="1778"/>
      <c r="AL156" s="768"/>
      <c r="AM156" s="768"/>
      <c r="AN156" s="768"/>
      <c r="AO156" s="768"/>
      <c r="AP156" s="1787">
        <v>11</v>
      </c>
    </row>
    <row s="6314" customFormat="1" customHeight="1" ht="11.549999999999999">
      <c r="A157" s="1133"/>
      <c r="B157" s="1133"/>
      <c r="C157" s="1133"/>
      <c r="D157" s="1133"/>
      <c r="E157" s="1133"/>
      <c r="F157" s="1782"/>
      <c r="G157" s="1782"/>
      <c r="H157" s="497"/>
      <c r="N157" s="6314"/>
      <c r="O157" s="6314"/>
      <c r="P157" s="6314"/>
      <c r="Q157" s="6314"/>
      <c r="R157" s="6314"/>
      <c r="S157" s="1512"/>
      <c r="U157" s="1512"/>
      <c r="V157" s="1782"/>
      <c r="W157" s="1782"/>
      <c r="X157" s="1512"/>
      <c r="Y157" s="1512"/>
      <c r="Z157" s="1512"/>
      <c r="AA157" s="1512"/>
      <c r="AB157" s="1782"/>
      <c r="AC157" s="1512"/>
      <c r="AD157" s="1512"/>
      <c r="AE157" s="690"/>
      <c r="AF157" s="1512"/>
      <c r="AG157" s="1512"/>
      <c r="AH157" s="1512"/>
      <c r="AI157" s="1512"/>
      <c r="AJ157" s="1512"/>
      <c r="AK157" s="1778"/>
      <c r="AL157" s="768"/>
      <c r="AM157" s="768"/>
      <c r="AN157" s="768"/>
      <c r="AO157" s="768"/>
      <c r="AP157" s="1787">
        <v>11</v>
      </c>
    </row>
    <row s="6314" customFormat="1" customHeight="1" ht="11.549999999999999">
      <c r="A158" s="1133"/>
      <c r="B158" s="1133"/>
      <c r="C158" s="1133"/>
      <c r="D158" s="1133"/>
      <c r="E158" s="1133"/>
      <c r="F158" s="1782"/>
      <c r="G158" s="1782"/>
      <c r="H158" s="497"/>
      <c r="N158" s="6314"/>
      <c r="O158" s="6314"/>
      <c r="P158" s="6314"/>
      <c r="Q158" s="6314"/>
      <c r="R158" s="6314"/>
      <c r="S158" s="1512"/>
      <c r="U158" s="1512"/>
      <c r="V158" s="1782"/>
      <c r="W158" s="1782"/>
      <c r="X158" s="1512"/>
      <c r="Y158" s="1512"/>
      <c r="Z158" s="1512"/>
      <c r="AA158" s="1512"/>
      <c r="AB158" s="1782"/>
      <c r="AC158" s="1512"/>
      <c r="AD158" s="1512"/>
      <c r="AE158" s="690"/>
      <c r="AF158" s="1512"/>
      <c r="AG158" s="1512"/>
      <c r="AH158" s="1512"/>
      <c r="AI158" s="1512"/>
      <c r="AJ158" s="1512"/>
      <c r="AK158" s="1778"/>
      <c r="AL158" s="768"/>
      <c r="AM158" s="768"/>
      <c r="AN158" s="768"/>
      <c r="AO158" s="768"/>
      <c r="AP158" s="1787">
        <v>11</v>
      </c>
    </row>
    <row s="6314" customFormat="1" customHeight="1" ht="11.549999999999999">
      <c r="A159" s="1133"/>
      <c r="B159" s="1133"/>
      <c r="C159" s="1133"/>
      <c r="D159" s="1133"/>
      <c r="E159" s="1133"/>
      <c r="F159" s="1782"/>
      <c r="G159" s="1782"/>
      <c r="H159" s="497"/>
      <c r="N159" s="6314"/>
      <c r="O159" s="6314"/>
      <c r="P159" s="6314"/>
      <c r="Q159" s="6314"/>
      <c r="R159" s="6314"/>
      <c r="S159" s="1512"/>
      <c r="U159" s="1512"/>
      <c r="V159" s="1782"/>
      <c r="W159" s="1782"/>
      <c r="X159" s="1512"/>
      <c r="Y159" s="1512"/>
      <c r="Z159" s="1512"/>
      <c r="AA159" s="1512"/>
      <c r="AB159" s="1782"/>
      <c r="AC159" s="1512"/>
      <c r="AD159" s="1512"/>
      <c r="AE159" s="690"/>
      <c r="AF159" s="1512"/>
      <c r="AG159" s="1512"/>
      <c r="AH159" s="1512"/>
      <c r="AI159" s="1512"/>
      <c r="AJ159" s="1512"/>
      <c r="AK159" s="1778"/>
      <c r="AL159" s="768"/>
      <c r="AM159" s="768"/>
      <c r="AN159" s="768"/>
      <c r="AO159" s="768"/>
      <c r="AP159" s="1787">
        <v>11</v>
      </c>
    </row>
    <row s="6314" customFormat="1" customHeight="1" ht="11.549999999999999">
      <c r="A160" s="1133"/>
      <c r="B160" s="1133"/>
      <c r="C160" s="1133"/>
      <c r="D160" s="1133"/>
      <c r="E160" s="1133"/>
      <c r="F160" s="1782"/>
      <c r="G160" s="1782"/>
      <c r="H160" s="497"/>
      <c r="N160" s="6314"/>
      <c r="O160" s="6314"/>
      <c r="P160" s="6314"/>
      <c r="Q160" s="6314"/>
      <c r="R160" s="6314"/>
      <c r="S160" s="1512"/>
      <c r="U160" s="1512"/>
      <c r="V160" s="1782"/>
      <c r="W160" s="1782"/>
      <c r="X160" s="1512"/>
      <c r="Y160" s="1512"/>
      <c r="Z160" s="1512"/>
      <c r="AA160" s="1512"/>
      <c r="AB160" s="1782"/>
      <c r="AC160" s="1512"/>
      <c r="AD160" s="1512"/>
      <c r="AE160" s="690"/>
      <c r="AF160" s="1512"/>
      <c r="AG160" s="1512"/>
      <c r="AH160" s="1512"/>
      <c r="AI160" s="1512"/>
      <c r="AJ160" s="1512"/>
      <c r="AK160" s="1778"/>
      <c r="AL160" s="768"/>
      <c r="AM160" s="768"/>
      <c r="AN160" s="768"/>
      <c r="AO160" s="768"/>
      <c r="AP160" s="1787">
        <v>11</v>
      </c>
    </row>
    <row s="6314" customFormat="1" customHeight="1" ht="11.549999999999999">
      <c r="A161" s="1133"/>
      <c r="B161" s="1133"/>
      <c r="C161" s="1133"/>
      <c r="D161" s="1133"/>
      <c r="E161" s="1133"/>
      <c r="F161" s="1782"/>
      <c r="G161" s="1782"/>
      <c r="H161" s="497"/>
      <c r="N161" s="6314"/>
      <c r="O161" s="6314"/>
      <c r="P161" s="6314"/>
      <c r="Q161" s="6314"/>
      <c r="R161" s="6314"/>
      <c r="S161" s="1512"/>
      <c r="U161" s="1512"/>
      <c r="V161" s="1782"/>
      <c r="W161" s="1782"/>
      <c r="X161" s="1512"/>
      <c r="Y161" s="1512"/>
      <c r="Z161" s="1512"/>
      <c r="AA161" s="1512"/>
      <c r="AB161" s="1782"/>
      <c r="AC161" s="1512"/>
      <c r="AD161" s="1512"/>
      <c r="AE161" s="690"/>
      <c r="AF161" s="1512"/>
      <c r="AG161" s="1512"/>
      <c r="AH161" s="1512"/>
      <c r="AI161" s="1512"/>
      <c r="AJ161" s="1512"/>
      <c r="AK161" s="1778"/>
      <c r="AL161" s="768"/>
      <c r="AM161" s="768"/>
      <c r="AN161" s="768"/>
      <c r="AO161" s="768"/>
      <c r="AP161" s="1787">
        <v>11</v>
      </c>
    </row>
    <row s="6314" customFormat="1" customHeight="1" ht="11.549999999999999">
      <c r="A162" s="1133"/>
      <c r="B162" s="1133"/>
      <c r="C162" s="1133"/>
      <c r="D162" s="1133"/>
      <c r="E162" s="1133"/>
      <c r="F162" s="1782"/>
      <c r="G162" s="1782"/>
      <c r="H162" s="497"/>
      <c r="N162" s="6314"/>
      <c r="O162" s="6314"/>
      <c r="P162" s="6314"/>
      <c r="Q162" s="6314"/>
      <c r="R162" s="6314"/>
      <c r="S162" s="1512"/>
      <c r="U162" s="1512"/>
      <c r="V162" s="1782"/>
      <c r="W162" s="1782"/>
      <c r="X162" s="1512"/>
      <c r="Y162" s="1512"/>
      <c r="Z162" s="1512"/>
      <c r="AA162" s="1512"/>
      <c r="AB162" s="1782"/>
      <c r="AC162" s="1512"/>
      <c r="AD162" s="1512"/>
      <c r="AE162" s="690"/>
      <c r="AF162" s="1512"/>
      <c r="AG162" s="1512"/>
      <c r="AH162" s="1512"/>
      <c r="AI162" s="1512"/>
      <c r="AJ162" s="1512"/>
      <c r="AK162" s="1778"/>
      <c r="AL162" s="768"/>
      <c r="AM162" s="768"/>
      <c r="AN162" s="768"/>
      <c r="AO162" s="768"/>
      <c r="AP162" s="1787">
        <v>11</v>
      </c>
    </row>
    <row s="6314" customFormat="1" customHeight="1" ht="11.549999999999999">
      <c r="A163" s="1133"/>
      <c r="B163" s="1133"/>
      <c r="C163" s="1133"/>
      <c r="D163" s="1133"/>
      <c r="E163" s="1133"/>
      <c r="F163" s="1782"/>
      <c r="G163" s="1782"/>
      <c r="H163" s="497"/>
      <c r="N163" s="6314"/>
      <c r="O163" s="6314"/>
      <c r="P163" s="6314"/>
      <c r="Q163" s="6314"/>
      <c r="R163" s="6314"/>
      <c r="S163" s="1512"/>
      <c r="U163" s="1512"/>
      <c r="V163" s="1782"/>
      <c r="W163" s="1782"/>
      <c r="X163" s="1512"/>
      <c r="Y163" s="1512"/>
      <c r="Z163" s="1512"/>
      <c r="AA163" s="1512"/>
      <c r="AB163" s="1782"/>
      <c r="AC163" s="1512"/>
      <c r="AD163" s="1512"/>
      <c r="AE163" s="690"/>
      <c r="AF163" s="1512"/>
      <c r="AG163" s="1512"/>
      <c r="AH163" s="1512"/>
      <c r="AI163" s="1512"/>
      <c r="AJ163" s="1512"/>
      <c r="AK163" s="1778"/>
      <c r="AL163" s="768"/>
      <c r="AM163" s="768"/>
      <c r="AN163" s="768"/>
      <c r="AO163" s="768"/>
      <c r="AP163" s="1787">
        <v>11</v>
      </c>
    </row>
    <row s="6314" customFormat="1" customHeight="1" ht="11.549999999999999">
      <c r="A164" s="1133"/>
      <c r="B164" s="1133"/>
      <c r="C164" s="1133"/>
      <c r="D164" s="1133"/>
      <c r="E164" s="1133"/>
      <c r="F164" s="1782"/>
      <c r="G164" s="1782"/>
      <c r="H164" s="497"/>
      <c r="N164" s="6314"/>
      <c r="O164" s="6314"/>
      <c r="P164" s="6314"/>
      <c r="Q164" s="6314"/>
      <c r="R164" s="6314"/>
      <c r="S164" s="1512"/>
      <c r="U164" s="1512"/>
      <c r="V164" s="1782"/>
      <c r="W164" s="1782"/>
      <c r="X164" s="1512"/>
      <c r="Y164" s="1512"/>
      <c r="Z164" s="1512"/>
      <c r="AA164" s="1512"/>
      <c r="AB164" s="1782"/>
      <c r="AC164" s="1512"/>
      <c r="AD164" s="1512"/>
      <c r="AE164" s="690"/>
      <c r="AF164" s="1512"/>
      <c r="AG164" s="1512"/>
      <c r="AH164" s="1512"/>
      <c r="AI164" s="1512"/>
      <c r="AJ164" s="1512"/>
      <c r="AK164" s="1778"/>
      <c r="AL164" s="768"/>
      <c r="AM164" s="768"/>
      <c r="AN164" s="768"/>
      <c r="AO164" s="768"/>
      <c r="AP164" s="1787">
        <v>11</v>
      </c>
    </row>
    <row s="6314" customFormat="1" customHeight="1" ht="11.549999999999999">
      <c r="A165" s="1133"/>
      <c r="B165" s="1133"/>
      <c r="C165" s="1133"/>
      <c r="D165" s="1133"/>
      <c r="E165" s="1133"/>
      <c r="F165" s="1782"/>
      <c r="G165" s="1782"/>
      <c r="H165" s="497"/>
      <c r="N165" s="6314"/>
      <c r="O165" s="6314"/>
      <c r="P165" s="6314"/>
      <c r="Q165" s="6314"/>
      <c r="R165" s="6314"/>
      <c r="S165" s="1512"/>
      <c r="U165" s="1512"/>
      <c r="V165" s="1782"/>
      <c r="W165" s="1782"/>
      <c r="X165" s="1512"/>
      <c r="Y165" s="1512"/>
      <c r="Z165" s="1512"/>
      <c r="AA165" s="1512"/>
      <c r="AB165" s="1782"/>
      <c r="AC165" s="1512"/>
      <c r="AD165" s="1512"/>
      <c r="AE165" s="690"/>
      <c r="AF165" s="1512"/>
      <c r="AG165" s="1512"/>
      <c r="AH165" s="1512"/>
      <c r="AI165" s="1512"/>
      <c r="AJ165" s="1512"/>
      <c r="AK165" s="1778"/>
      <c r="AL165" s="768"/>
      <c r="AM165" s="768"/>
      <c r="AN165" s="768"/>
      <c r="AO165" s="768"/>
      <c r="AP165" s="1787">
        <v>11</v>
      </c>
    </row>
    <row s="6314" customFormat="1" customHeight="1" ht="11.549999999999999">
      <c r="A166" s="1133"/>
      <c r="B166" s="1133"/>
      <c r="C166" s="1133"/>
      <c r="D166" s="1133"/>
      <c r="E166" s="1133"/>
      <c r="F166" s="1782"/>
      <c r="G166" s="1782"/>
      <c r="H166" s="497"/>
      <c r="N166" s="6314"/>
      <c r="O166" s="6314"/>
      <c r="P166" s="6314"/>
      <c r="Q166" s="6314"/>
      <c r="R166" s="6314"/>
      <c r="S166" s="1512"/>
      <c r="U166" s="1512"/>
      <c r="V166" s="1782"/>
      <c r="W166" s="1782"/>
      <c r="X166" s="1512"/>
      <c r="Y166" s="1512"/>
      <c r="Z166" s="1512"/>
      <c r="AA166" s="1512"/>
      <c r="AB166" s="1782"/>
      <c r="AC166" s="1512"/>
      <c r="AD166" s="1512"/>
      <c r="AE166" s="690"/>
      <c r="AF166" s="1512"/>
      <c r="AG166" s="1512"/>
      <c r="AH166" s="1512"/>
      <c r="AI166" s="1512"/>
      <c r="AJ166" s="1512"/>
      <c r="AK166" s="1778"/>
      <c r="AL166" s="768"/>
      <c r="AM166" s="768"/>
      <c r="AN166" s="768"/>
      <c r="AO166" s="768"/>
      <c r="AP166" s="1787">
        <v>11</v>
      </c>
    </row>
    <row s="6314" customFormat="1" customHeight="1" ht="11.549999999999999">
      <c r="A167" s="1133"/>
      <c r="B167" s="1133"/>
      <c r="C167" s="1133"/>
      <c r="D167" s="1133"/>
      <c r="E167" s="1133"/>
      <c r="F167" s="1782"/>
      <c r="G167" s="1782"/>
      <c r="H167" s="497"/>
      <c r="N167" s="6314"/>
      <c r="O167" s="6314"/>
      <c r="P167" s="6314"/>
      <c r="Q167" s="6314"/>
      <c r="R167" s="6314"/>
      <c r="S167" s="1512"/>
      <c r="U167" s="1512"/>
      <c r="V167" s="1782"/>
      <c r="W167" s="1782"/>
      <c r="X167" s="1512"/>
      <c r="Y167" s="1512"/>
      <c r="Z167" s="1512"/>
      <c r="AA167" s="1512"/>
      <c r="AB167" s="1782"/>
      <c r="AC167" s="1512"/>
      <c r="AD167" s="1512"/>
      <c r="AE167" s="690"/>
      <c r="AF167" s="1512"/>
      <c r="AG167" s="1512"/>
      <c r="AH167" s="1512"/>
      <c r="AI167" s="1512"/>
      <c r="AJ167" s="1512"/>
      <c r="AK167" s="1778"/>
      <c r="AL167" s="768"/>
      <c r="AM167" s="768"/>
      <c r="AN167" s="768"/>
      <c r="AO167" s="768"/>
      <c r="AP167" s="1787">
        <v>11</v>
      </c>
    </row>
    <row s="6314" customFormat="1" customHeight="1" ht="11.549999999999999">
      <c r="A168" s="1133"/>
      <c r="B168" s="1133"/>
      <c r="C168" s="1133"/>
      <c r="D168" s="1133"/>
      <c r="E168" s="1133"/>
      <c r="F168" s="1782"/>
      <c r="G168" s="1782"/>
      <c r="H168" s="497"/>
      <c r="N168" s="6314"/>
      <c r="O168" s="6314"/>
      <c r="P168" s="6314"/>
      <c r="Q168" s="6314"/>
      <c r="R168" s="6314"/>
      <c r="S168" s="1512"/>
      <c r="U168" s="1512"/>
      <c r="V168" s="1782"/>
      <c r="W168" s="1782"/>
      <c r="X168" s="1512"/>
      <c r="Y168" s="1512"/>
      <c r="Z168" s="1512"/>
      <c r="AA168" s="1512"/>
      <c r="AB168" s="1782"/>
      <c r="AC168" s="1512"/>
      <c r="AD168" s="1512"/>
      <c r="AE168" s="690"/>
      <c r="AF168" s="1512"/>
      <c r="AG168" s="1512"/>
      <c r="AH168" s="1512"/>
      <c r="AI168" s="1512"/>
      <c r="AJ168" s="1512"/>
      <c r="AK168" s="1778"/>
      <c r="AL168" s="768"/>
      <c r="AM168" s="768"/>
      <c r="AN168" s="768"/>
      <c r="AO168" s="768"/>
      <c r="AP168" s="1787">
        <v>11</v>
      </c>
    </row>
    <row s="6314" customFormat="1" customHeight="1" ht="11.549999999999999">
      <c r="A169" s="1133"/>
      <c r="B169" s="1133"/>
      <c r="C169" s="1133"/>
      <c r="D169" s="1133"/>
      <c r="E169" s="1133"/>
      <c r="F169" s="1782"/>
      <c r="G169" s="1782"/>
      <c r="H169" s="497"/>
      <c r="N169" s="6314"/>
      <c r="O169" s="6314"/>
      <c r="P169" s="6314"/>
      <c r="Q169" s="6314"/>
      <c r="R169" s="6314"/>
      <c r="S169" s="1512"/>
      <c r="U169" s="1512"/>
      <c r="V169" s="1782"/>
      <c r="W169" s="1782"/>
      <c r="X169" s="1512"/>
      <c r="Y169" s="1512"/>
      <c r="Z169" s="1512"/>
      <c r="AA169" s="1512"/>
      <c r="AB169" s="1782"/>
      <c r="AC169" s="1512"/>
      <c r="AD169" s="1512"/>
      <c r="AE169" s="690"/>
      <c r="AF169" s="1512"/>
      <c r="AG169" s="1512"/>
      <c r="AH169" s="1512"/>
      <c r="AI169" s="1512"/>
      <c r="AJ169" s="1512"/>
      <c r="AK169" s="1778"/>
      <c r="AL169" s="768"/>
      <c r="AM169" s="768"/>
      <c r="AN169" s="768"/>
      <c r="AO169" s="768"/>
      <c r="AP169" s="1787">
        <v>11</v>
      </c>
    </row>
    <row s="6314" customFormat="1" customHeight="1" ht="11.549999999999999">
      <c r="A170" s="1133"/>
      <c r="B170" s="1133"/>
      <c r="C170" s="1133"/>
      <c r="D170" s="1133"/>
      <c r="E170" s="1133"/>
      <c r="F170" s="1782"/>
      <c r="G170" s="1782"/>
      <c r="H170" s="497"/>
      <c r="N170" s="6314"/>
      <c r="O170" s="6314"/>
      <c r="P170" s="6314"/>
      <c r="Q170" s="6314"/>
      <c r="R170" s="6314"/>
      <c r="S170" s="1512"/>
      <c r="U170" s="1512"/>
      <c r="V170" s="1782"/>
      <c r="W170" s="1782"/>
      <c r="X170" s="1512"/>
      <c r="Y170" s="1512"/>
      <c r="Z170" s="1512"/>
      <c r="AA170" s="1512"/>
      <c r="AB170" s="1782"/>
      <c r="AC170" s="1512"/>
      <c r="AD170" s="1512"/>
      <c r="AE170" s="690"/>
      <c r="AF170" s="1512"/>
      <c r="AG170" s="1512"/>
      <c r="AH170" s="1512"/>
      <c r="AI170" s="1512"/>
      <c r="AJ170" s="1512"/>
      <c r="AK170" s="1778"/>
      <c r="AL170" s="768"/>
      <c r="AM170" s="768"/>
      <c r="AN170" s="768"/>
      <c r="AO170" s="768"/>
      <c r="AP170" s="1787">
        <v>11</v>
      </c>
    </row>
    <row s="6314" customFormat="1" customHeight="1" ht="11.549999999999999">
      <c r="A171" s="1133"/>
      <c r="B171" s="1133"/>
      <c r="C171" s="1133"/>
      <c r="D171" s="1133"/>
      <c r="E171" s="1133"/>
      <c r="F171" s="1782"/>
      <c r="G171" s="1782"/>
      <c r="H171" s="497"/>
      <c r="N171" s="6314"/>
      <c r="O171" s="6314"/>
      <c r="P171" s="6314"/>
      <c r="Q171" s="6314"/>
      <c r="R171" s="6314"/>
      <c r="S171" s="1512"/>
      <c r="U171" s="1512"/>
      <c r="V171" s="1782"/>
      <c r="W171" s="1782"/>
      <c r="X171" s="1512"/>
      <c r="Y171" s="1512"/>
      <c r="Z171" s="1512"/>
      <c r="AA171" s="1512"/>
      <c r="AB171" s="1782"/>
      <c r="AC171" s="1512"/>
      <c r="AD171" s="1512"/>
      <c r="AE171" s="690"/>
      <c r="AF171" s="1512"/>
      <c r="AG171" s="1512"/>
      <c r="AH171" s="1512"/>
      <c r="AI171" s="1512"/>
      <c r="AJ171" s="1512"/>
      <c r="AK171" s="1778"/>
      <c r="AL171" s="768"/>
      <c r="AM171" s="768"/>
      <c r="AN171" s="768"/>
      <c r="AO171" s="768"/>
      <c r="AP171" s="1787">
        <v>11</v>
      </c>
    </row>
    <row s="6314" customFormat="1" customHeight="1" ht="11.549999999999999">
      <c r="A172" s="1133"/>
      <c r="B172" s="1133"/>
      <c r="C172" s="1133"/>
      <c r="D172" s="1133"/>
      <c r="E172" s="1133"/>
      <c r="F172" s="1782"/>
      <c r="G172" s="1782"/>
      <c r="H172" s="497"/>
      <c r="N172" s="6314"/>
      <c r="O172" s="6314"/>
      <c r="P172" s="6314"/>
      <c r="Q172" s="6314"/>
      <c r="R172" s="6314"/>
      <c r="S172" s="1512"/>
      <c r="U172" s="1512"/>
      <c r="V172" s="1782"/>
      <c r="W172" s="1782"/>
      <c r="X172" s="1512"/>
      <c r="Y172" s="1512"/>
      <c r="Z172" s="1512"/>
      <c r="AA172" s="1512"/>
      <c r="AB172" s="1782"/>
      <c r="AC172" s="1512"/>
      <c r="AD172" s="1512"/>
      <c r="AE172" s="690"/>
      <c r="AF172" s="1512"/>
      <c r="AG172" s="1512"/>
      <c r="AH172" s="1512"/>
      <c r="AI172" s="1512"/>
      <c r="AJ172" s="1512"/>
      <c r="AK172" s="1778"/>
      <c r="AL172" s="768"/>
      <c r="AM172" s="768"/>
      <c r="AN172" s="768"/>
      <c r="AO172" s="768"/>
      <c r="AP172" s="1787">
        <v>11</v>
      </c>
    </row>
    <row s="6314" customFormat="1" customHeight="1" ht="11.549999999999999">
      <c r="A173" s="1133"/>
      <c r="B173" s="1133"/>
      <c r="C173" s="1133"/>
      <c r="D173" s="1133"/>
      <c r="E173" s="1133"/>
      <c r="F173" s="1782"/>
      <c r="G173" s="1782"/>
      <c r="H173" s="497"/>
      <c r="N173" s="6314"/>
      <c r="O173" s="6314"/>
      <c r="P173" s="6314"/>
      <c r="Q173" s="6314"/>
      <c r="R173" s="6314"/>
      <c r="S173" s="1512"/>
      <c r="U173" s="1512"/>
      <c r="V173" s="1782"/>
      <c r="W173" s="1782"/>
      <c r="X173" s="1512"/>
      <c r="Y173" s="1512"/>
      <c r="Z173" s="1512"/>
      <c r="AA173" s="1512"/>
      <c r="AB173" s="1782"/>
      <c r="AC173" s="1512"/>
      <c r="AD173" s="1512"/>
      <c r="AE173" s="690"/>
      <c r="AF173" s="1512"/>
      <c r="AG173" s="1512"/>
      <c r="AH173" s="1512"/>
      <c r="AI173" s="1512"/>
      <c r="AJ173" s="1512"/>
      <c r="AK173" s="1778"/>
      <c r="AL173" s="768"/>
      <c r="AM173" s="768"/>
      <c r="AN173" s="768"/>
      <c r="AO173" s="768"/>
      <c r="AP173" s="1787">
        <v>11</v>
      </c>
    </row>
    <row s="6314" customFormat="1" customHeight="1" ht="11.549999999999999">
      <c r="A174" s="1133"/>
      <c r="B174" s="1133"/>
      <c r="C174" s="1133"/>
      <c r="D174" s="1133"/>
      <c r="E174" s="1133"/>
      <c r="F174" s="1782"/>
      <c r="G174" s="1782"/>
      <c r="H174" s="497"/>
      <c r="N174" s="6314"/>
      <c r="O174" s="6314"/>
      <c r="P174" s="6314"/>
      <c r="Q174" s="6314"/>
      <c r="R174" s="6314"/>
      <c r="S174" s="1512"/>
      <c r="U174" s="1512"/>
      <c r="V174" s="1782"/>
      <c r="W174" s="1782"/>
      <c r="X174" s="1512"/>
      <c r="Y174" s="1512"/>
      <c r="Z174" s="1512"/>
      <c r="AA174" s="1512"/>
      <c r="AB174" s="1782"/>
      <c r="AC174" s="1512"/>
      <c r="AD174" s="1512"/>
      <c r="AE174" s="690"/>
      <c r="AF174" s="1512"/>
      <c r="AG174" s="1512"/>
      <c r="AH174" s="1512"/>
      <c r="AI174" s="1512"/>
      <c r="AJ174" s="1512"/>
      <c r="AK174" s="1778"/>
      <c r="AL174" s="768"/>
      <c r="AM174" s="768"/>
      <c r="AN174" s="768"/>
      <c r="AO174" s="768"/>
      <c r="AP174" s="1787">
        <v>11</v>
      </c>
    </row>
    <row s="6314" customFormat="1" customHeight="1" ht="11.549999999999999">
      <c r="A175" s="1133"/>
      <c r="B175" s="1133"/>
      <c r="C175" s="1133"/>
      <c r="D175" s="1133"/>
      <c r="E175" s="1133"/>
      <c r="F175" s="1782"/>
      <c r="G175" s="1782"/>
      <c r="H175" s="497"/>
      <c r="N175" s="6314"/>
      <c r="O175" s="6314"/>
      <c r="P175" s="6314"/>
      <c r="Q175" s="6314"/>
      <c r="R175" s="6314"/>
      <c r="S175" s="1512"/>
      <c r="U175" s="1512"/>
      <c r="V175" s="1782"/>
      <c r="W175" s="1782"/>
      <c r="X175" s="1512"/>
      <c r="Y175" s="1512"/>
      <c r="Z175" s="1512"/>
      <c r="AA175" s="1512"/>
      <c r="AB175" s="1782"/>
      <c r="AC175" s="1512"/>
      <c r="AD175" s="1512"/>
      <c r="AE175" s="690"/>
      <c r="AF175" s="1512"/>
      <c r="AG175" s="1512"/>
      <c r="AH175" s="1512"/>
      <c r="AI175" s="1512"/>
      <c r="AJ175" s="1512"/>
      <c r="AK175" s="1778"/>
      <c r="AL175" s="768"/>
      <c r="AM175" s="768"/>
      <c r="AN175" s="768"/>
      <c r="AO175" s="768"/>
      <c r="AP175" s="1787">
        <v>11</v>
      </c>
    </row>
    <row s="6314" customFormat="1" customHeight="1" ht="11.549999999999999">
      <c r="A176" s="1133"/>
      <c r="B176" s="1133"/>
      <c r="C176" s="1133"/>
      <c r="D176" s="1133"/>
      <c r="E176" s="1133"/>
      <c r="F176" s="1782"/>
      <c r="G176" s="1782"/>
      <c r="H176" s="497"/>
      <c r="N176" s="6314"/>
      <c r="O176" s="6314"/>
      <c r="P176" s="6314"/>
      <c r="Q176" s="6314"/>
      <c r="R176" s="6314"/>
      <c r="S176" s="1512"/>
      <c r="U176" s="1512"/>
      <c r="V176" s="1782"/>
      <c r="W176" s="1782"/>
      <c r="X176" s="1512"/>
      <c r="Y176" s="1512"/>
      <c r="Z176" s="1512"/>
      <c r="AA176" s="1512"/>
      <c r="AB176" s="1782"/>
      <c r="AC176" s="1512"/>
      <c r="AD176" s="1512"/>
      <c r="AE176" s="690"/>
      <c r="AF176" s="1512"/>
      <c r="AG176" s="1512"/>
      <c r="AH176" s="1512"/>
      <c r="AI176" s="1512"/>
      <c r="AJ176" s="1512"/>
      <c r="AK176" s="1778"/>
      <c r="AL176" s="768"/>
      <c r="AM176" s="768"/>
      <c r="AN176" s="768"/>
      <c r="AO176" s="768"/>
      <c r="AP176" s="1787">
        <v>11</v>
      </c>
    </row>
    <row s="6314" customFormat="1" customHeight="1" ht="11.549999999999999">
      <c r="A177" s="1133"/>
      <c r="B177" s="1133"/>
      <c r="C177" s="1133"/>
      <c r="D177" s="1133"/>
      <c r="E177" s="1133"/>
      <c r="F177" s="1782"/>
      <c r="G177" s="1782"/>
      <c r="H177" s="497"/>
      <c r="N177" s="6314"/>
      <c r="O177" s="6314"/>
      <c r="P177" s="6314"/>
      <c r="Q177" s="6314"/>
      <c r="R177" s="6314"/>
      <c r="S177" s="1512"/>
      <c r="U177" s="1512"/>
      <c r="V177" s="1782"/>
      <c r="W177" s="1782"/>
      <c r="X177" s="1512"/>
      <c r="Y177" s="1512"/>
      <c r="Z177" s="1512"/>
      <c r="AA177" s="1512"/>
      <c r="AB177" s="1782"/>
      <c r="AC177" s="1512"/>
      <c r="AD177" s="1512"/>
      <c r="AE177" s="690"/>
      <c r="AF177" s="1512"/>
      <c r="AG177" s="1512"/>
      <c r="AH177" s="1512"/>
      <c r="AI177" s="1512"/>
      <c r="AJ177" s="1512"/>
      <c r="AK177" s="1778"/>
      <c r="AL177" s="768"/>
      <c r="AM177" s="768"/>
      <c r="AN177" s="768"/>
      <c r="AO177" s="768"/>
      <c r="AP177" s="1787">
        <v>11</v>
      </c>
    </row>
    <row s="6314" customFormat="1" customHeight="1" ht="11.549999999999999">
      <c r="A178" s="1133"/>
      <c r="B178" s="1133"/>
      <c r="C178" s="1133"/>
      <c r="D178" s="1133"/>
      <c r="E178" s="1133"/>
      <c r="F178" s="1782"/>
      <c r="G178" s="1782"/>
      <c r="H178" s="497"/>
      <c r="N178" s="6314"/>
      <c r="O178" s="6314"/>
      <c r="P178" s="6314"/>
      <c r="Q178" s="6314"/>
      <c r="R178" s="6314"/>
      <c r="S178" s="1512"/>
      <c r="U178" s="1512"/>
      <c r="V178" s="1782"/>
      <c r="W178" s="1782"/>
      <c r="X178" s="1512"/>
      <c r="Y178" s="1512"/>
      <c r="Z178" s="1512"/>
      <c r="AA178" s="1512"/>
      <c r="AB178" s="1782"/>
      <c r="AC178" s="1512"/>
      <c r="AD178" s="1512"/>
      <c r="AE178" s="690"/>
      <c r="AF178" s="1512"/>
      <c r="AG178" s="1512"/>
      <c r="AH178" s="1512"/>
      <c r="AI178" s="1512"/>
      <c r="AJ178" s="1512"/>
      <c r="AK178" s="1778"/>
      <c r="AL178" s="768"/>
      <c r="AM178" s="768"/>
      <c r="AN178" s="768"/>
      <c r="AO178" s="768"/>
      <c r="AP178" s="1787">
        <v>11</v>
      </c>
    </row>
    <row s="6314" customFormat="1" customHeight="1" ht="11.549999999999999">
      <c r="A179" s="1133"/>
      <c r="B179" s="1133"/>
      <c r="C179" s="1133"/>
      <c r="D179" s="1133"/>
      <c r="E179" s="1133"/>
      <c r="F179" s="1782"/>
      <c r="G179" s="1782"/>
      <c r="H179" s="497"/>
      <c r="N179" s="6314"/>
      <c r="O179" s="6314"/>
      <c r="P179" s="6314"/>
      <c r="Q179" s="6314"/>
      <c r="R179" s="6314"/>
      <c r="S179" s="1512"/>
      <c r="U179" s="1512"/>
      <c r="V179" s="1782"/>
      <c r="W179" s="1782"/>
      <c r="X179" s="1512"/>
      <c r="Y179" s="1512"/>
      <c r="Z179" s="1512"/>
      <c r="AA179" s="1512"/>
      <c r="AB179" s="1782"/>
      <c r="AC179" s="1512"/>
      <c r="AD179" s="1512"/>
      <c r="AE179" s="690"/>
      <c r="AF179" s="1512"/>
      <c r="AG179" s="1512"/>
      <c r="AH179" s="1512"/>
      <c r="AI179" s="1512"/>
      <c r="AJ179" s="1512"/>
      <c r="AK179" s="1778"/>
      <c r="AL179" s="768"/>
      <c r="AM179" s="768"/>
      <c r="AN179" s="768"/>
      <c r="AO179" s="768"/>
      <c r="AP179" s="1787">
        <v>11</v>
      </c>
    </row>
    <row s="6314" customFormat="1" customHeight="1" ht="11.549999999999999">
      <c r="A180" s="1133"/>
      <c r="B180" s="1133"/>
      <c r="C180" s="1133"/>
      <c r="D180" s="1133"/>
      <c r="E180" s="1133"/>
      <c r="F180" s="1782"/>
      <c r="G180" s="1782"/>
      <c r="H180" s="497"/>
      <c r="N180" s="6314"/>
      <c r="O180" s="6314"/>
      <c r="P180" s="6314"/>
      <c r="Q180" s="6314"/>
      <c r="R180" s="6314"/>
      <c r="S180" s="1512"/>
      <c r="U180" s="1512"/>
      <c r="V180" s="1782"/>
      <c r="W180" s="1782"/>
      <c r="X180" s="1512"/>
      <c r="Y180" s="1512"/>
      <c r="Z180" s="1512"/>
      <c r="AA180" s="1512"/>
      <c r="AB180" s="1782"/>
      <c r="AC180" s="1512"/>
      <c r="AD180" s="1512"/>
      <c r="AE180" s="690"/>
      <c r="AF180" s="1512"/>
      <c r="AG180" s="1512"/>
      <c r="AH180" s="1512"/>
      <c r="AI180" s="1512"/>
      <c r="AJ180" s="1512"/>
      <c r="AK180" s="1778"/>
      <c r="AL180" s="768"/>
      <c r="AM180" s="768"/>
      <c r="AN180" s="768"/>
      <c r="AO180" s="768"/>
      <c r="AP180" s="1787">
        <v>11</v>
      </c>
    </row>
    <row s="6314" customFormat="1" customHeight="1" ht="11.549999999999999">
      <c r="A181" s="1133"/>
      <c r="B181" s="1133"/>
      <c r="C181" s="1133"/>
      <c r="D181" s="1133"/>
      <c r="E181" s="1133"/>
      <c r="F181" s="1782"/>
      <c r="G181" s="1782"/>
      <c r="H181" s="497"/>
      <c r="N181" s="6314"/>
      <c r="O181" s="6314"/>
      <c r="P181" s="6314"/>
      <c r="Q181" s="6314"/>
      <c r="R181" s="6314"/>
      <c r="S181" s="1512"/>
      <c r="U181" s="1512"/>
      <c r="V181" s="1782"/>
      <c r="W181" s="1782"/>
      <c r="X181" s="1512"/>
      <c r="Y181" s="1512"/>
      <c r="Z181" s="1512"/>
      <c r="AA181" s="1512"/>
      <c r="AB181" s="1782"/>
      <c r="AC181" s="1512"/>
      <c r="AD181" s="1512"/>
      <c r="AE181" s="690"/>
      <c r="AF181" s="1512"/>
      <c r="AG181" s="1512"/>
      <c r="AH181" s="1512"/>
      <c r="AI181" s="1512"/>
      <c r="AJ181" s="1512"/>
      <c r="AK181" s="1778"/>
      <c r="AL181" s="768"/>
      <c r="AM181" s="768"/>
      <c r="AN181" s="768"/>
      <c r="AO181" s="768"/>
      <c r="AP181" s="1787">
        <v>11</v>
      </c>
    </row>
    <row s="6314" customFormat="1" customHeight="1" ht="11.549999999999999">
      <c r="A182" s="1133"/>
      <c r="B182" s="1133"/>
      <c r="C182" s="1133"/>
      <c r="D182" s="1133"/>
      <c r="E182" s="1133"/>
      <c r="F182" s="1782"/>
      <c r="G182" s="1782"/>
      <c r="H182" s="497"/>
      <c r="N182" s="6314"/>
      <c r="O182" s="6314"/>
      <c r="P182" s="6314"/>
      <c r="Q182" s="6314"/>
      <c r="R182" s="6314"/>
      <c r="S182" s="1512"/>
      <c r="U182" s="1512"/>
      <c r="V182" s="1782"/>
      <c r="W182" s="1782"/>
      <c r="X182" s="1512"/>
      <c r="Y182" s="1512"/>
      <c r="Z182" s="1512"/>
      <c r="AA182" s="1512"/>
      <c r="AB182" s="1782"/>
      <c r="AC182" s="1512"/>
      <c r="AD182" s="1512"/>
      <c r="AE182" s="690"/>
      <c r="AF182" s="1512"/>
      <c r="AG182" s="1512"/>
      <c r="AH182" s="1512"/>
      <c r="AI182" s="1512"/>
      <c r="AJ182" s="1512"/>
      <c r="AK182" s="1778"/>
      <c r="AL182" s="768"/>
      <c r="AM182" s="768"/>
      <c r="AN182" s="768"/>
      <c r="AO182" s="768"/>
      <c r="AP182" s="1787">
        <v>11</v>
      </c>
    </row>
    <row s="6314" customFormat="1" customHeight="1" ht="11.549999999999999">
      <c r="A183" s="1133"/>
      <c r="B183" s="1133"/>
      <c r="C183" s="1133"/>
      <c r="D183" s="1133"/>
      <c r="E183" s="1133"/>
      <c r="F183" s="1782"/>
      <c r="G183" s="1782"/>
      <c r="H183" s="497"/>
      <c r="N183" s="6314"/>
      <c r="O183" s="6314"/>
      <c r="P183" s="6314"/>
      <c r="Q183" s="6314"/>
      <c r="R183" s="6314"/>
      <c r="S183" s="1512"/>
      <c r="U183" s="1512"/>
      <c r="V183" s="1782"/>
      <c r="W183" s="1782"/>
      <c r="X183" s="1512"/>
      <c r="Y183" s="1512"/>
      <c r="Z183" s="1512"/>
      <c r="AA183" s="1512"/>
      <c r="AB183" s="1782"/>
      <c r="AC183" s="1512"/>
      <c r="AD183" s="1512"/>
      <c r="AE183" s="690"/>
      <c r="AF183" s="1512"/>
      <c r="AG183" s="1512"/>
      <c r="AH183" s="1512"/>
      <c r="AI183" s="1512"/>
      <c r="AJ183" s="1512"/>
      <c r="AK183" s="1778"/>
      <c r="AL183" s="768"/>
      <c r="AM183" s="768"/>
      <c r="AN183" s="768"/>
      <c r="AO183" s="768"/>
      <c r="AP183" s="1787">
        <v>11</v>
      </c>
    </row>
    <row s="6314" customFormat="1" customHeight="1" ht="11.549999999999999">
      <c r="A184" s="1133"/>
      <c r="B184" s="1133"/>
      <c r="C184" s="1133"/>
      <c r="D184" s="1133"/>
      <c r="E184" s="1133"/>
      <c r="F184" s="1782"/>
      <c r="G184" s="1782"/>
      <c r="H184" s="497"/>
      <c r="N184" s="6314"/>
      <c r="O184" s="6314"/>
      <c r="P184" s="6314"/>
      <c r="Q184" s="6314"/>
      <c r="R184" s="6314"/>
      <c r="S184" s="1512"/>
      <c r="U184" s="1512"/>
      <c r="V184" s="1782"/>
      <c r="W184" s="1782"/>
      <c r="X184" s="1512"/>
      <c r="Y184" s="1512"/>
      <c r="Z184" s="1512"/>
      <c r="AA184" s="1512"/>
      <c r="AB184" s="1782"/>
      <c r="AC184" s="1512"/>
      <c r="AD184" s="1512"/>
      <c r="AE184" s="690"/>
      <c r="AF184" s="1512"/>
      <c r="AG184" s="1512"/>
      <c r="AH184" s="1512"/>
      <c r="AI184" s="1512"/>
      <c r="AJ184" s="1512"/>
      <c r="AK184" s="1778"/>
      <c r="AL184" s="768"/>
      <c r="AM184" s="768"/>
      <c r="AN184" s="768"/>
      <c r="AO184" s="768"/>
      <c r="AP184" s="1787">
        <v>11</v>
      </c>
    </row>
    <row s="6314" customFormat="1" customHeight="1" ht="11.549999999999999">
      <c r="A185" s="1133"/>
      <c r="B185" s="1133"/>
      <c r="C185" s="1133"/>
      <c r="D185" s="1133"/>
      <c r="E185" s="1133"/>
      <c r="F185" s="1782"/>
      <c r="G185" s="1782"/>
      <c r="H185" s="497"/>
      <c r="N185" s="6314"/>
      <c r="O185" s="6314"/>
      <c r="P185" s="6314"/>
      <c r="Q185" s="6314"/>
      <c r="R185" s="6314"/>
      <c r="S185" s="1512"/>
      <c r="U185" s="1512"/>
      <c r="V185" s="1782"/>
      <c r="W185" s="1782"/>
      <c r="X185" s="1512"/>
      <c r="Y185" s="1512"/>
      <c r="Z185" s="1512"/>
      <c r="AA185" s="1512"/>
      <c r="AB185" s="1782"/>
      <c r="AC185" s="1512"/>
      <c r="AD185" s="1512"/>
      <c r="AE185" s="690"/>
      <c r="AF185" s="1512"/>
      <c r="AG185" s="1512"/>
      <c r="AH185" s="1512"/>
      <c r="AI185" s="1512"/>
      <c r="AJ185" s="1512"/>
      <c r="AK185" s="1778"/>
      <c r="AL185" s="768"/>
      <c r="AM185" s="768"/>
      <c r="AN185" s="768"/>
      <c r="AO185" s="768"/>
      <c r="AP185" s="1787">
        <v>11</v>
      </c>
    </row>
    <row s="6314" customFormat="1" customHeight="1" ht="11.549999999999999">
      <c r="A186" s="1133"/>
      <c r="B186" s="1133"/>
      <c r="C186" s="1133"/>
      <c r="D186" s="1133"/>
      <c r="E186" s="1133"/>
      <c r="F186" s="1782"/>
      <c r="G186" s="1782"/>
      <c r="H186" s="497"/>
      <c r="N186" s="6314"/>
      <c r="O186" s="6314"/>
      <c r="P186" s="6314"/>
      <c r="Q186" s="6314"/>
      <c r="R186" s="6314"/>
      <c r="S186" s="1512"/>
      <c r="U186" s="1512"/>
      <c r="V186" s="1782"/>
      <c r="W186" s="1782"/>
      <c r="X186" s="1512"/>
      <c r="Y186" s="1512"/>
      <c r="Z186" s="1512"/>
      <c r="AA186" s="1512"/>
      <c r="AB186" s="1782"/>
      <c r="AC186" s="1512"/>
      <c r="AD186" s="1512"/>
      <c r="AE186" s="690"/>
      <c r="AF186" s="1512"/>
      <c r="AG186" s="1512"/>
      <c r="AH186" s="1512"/>
      <c r="AI186" s="1512"/>
      <c r="AJ186" s="1512"/>
      <c r="AK186" s="1778"/>
      <c r="AL186" s="768"/>
      <c r="AM186" s="768"/>
      <c r="AN186" s="768"/>
      <c r="AO186" s="768"/>
      <c r="AP186" s="1787">
        <v>11</v>
      </c>
    </row>
    <row s="6314" customFormat="1" customHeight="1" ht="11.549999999999999">
      <c r="A187" s="1133"/>
      <c r="B187" s="1133"/>
      <c r="C187" s="1133"/>
      <c r="D187" s="1133"/>
      <c r="E187" s="1133"/>
      <c r="F187" s="1782"/>
      <c r="G187" s="1782"/>
      <c r="H187" s="497"/>
      <c r="N187" s="6314"/>
      <c r="O187" s="6314"/>
      <c r="P187" s="6314"/>
      <c r="Q187" s="6314"/>
      <c r="R187" s="6314"/>
      <c r="S187" s="1512"/>
      <c r="U187" s="1512"/>
      <c r="V187" s="1782"/>
      <c r="W187" s="1782"/>
      <c r="X187" s="1512"/>
      <c r="Y187" s="1512"/>
      <c r="Z187" s="1512"/>
      <c r="AA187" s="1512"/>
      <c r="AB187" s="1782"/>
      <c r="AC187" s="1512"/>
      <c r="AD187" s="1512"/>
      <c r="AE187" s="690"/>
      <c r="AF187" s="1512"/>
      <c r="AG187" s="1512"/>
      <c r="AH187" s="1512"/>
      <c r="AI187" s="1512"/>
      <c r="AJ187" s="1512"/>
      <c r="AK187" s="1778"/>
      <c r="AL187" s="768"/>
      <c r="AM187" s="768"/>
      <c r="AN187" s="768"/>
      <c r="AO187" s="768"/>
      <c r="AP187" s="1787">
        <v>11</v>
      </c>
    </row>
    <row s="6314" customFormat="1" customHeight="1" ht="11.549999999999999">
      <c r="A188" s="1133"/>
      <c r="B188" s="1133"/>
      <c r="C188" s="1133"/>
      <c r="D188" s="1133"/>
      <c r="E188" s="1133"/>
      <c r="F188" s="1782"/>
      <c r="G188" s="1782"/>
      <c r="H188" s="497"/>
      <c r="N188" s="6314"/>
      <c r="O188" s="6314"/>
      <c r="P188" s="6314"/>
      <c r="Q188" s="6314"/>
      <c r="R188" s="6314"/>
      <c r="S188" s="1512"/>
      <c r="U188" s="1512"/>
      <c r="V188" s="1782"/>
      <c r="W188" s="1782"/>
      <c r="X188" s="1512"/>
      <c r="Y188" s="1512"/>
      <c r="Z188" s="1512"/>
      <c r="AA188" s="1512"/>
      <c r="AB188" s="1782"/>
      <c r="AC188" s="1512"/>
      <c r="AD188" s="1512"/>
      <c r="AE188" s="690"/>
      <c r="AF188" s="1512"/>
      <c r="AG188" s="1512"/>
      <c r="AH188" s="1512"/>
      <c r="AI188" s="1512"/>
      <c r="AJ188" s="1512"/>
      <c r="AK188" s="1778"/>
      <c r="AL188" s="768"/>
      <c r="AM188" s="768"/>
      <c r="AN188" s="768"/>
      <c r="AO188" s="768"/>
      <c r="AP188" s="1787">
        <v>11</v>
      </c>
    </row>
    <row s="6314" customFormat="1" customHeight="1" ht="11.549999999999999">
      <c r="A189" s="1133"/>
      <c r="B189" s="1133"/>
      <c r="C189" s="1133"/>
      <c r="D189" s="1133"/>
      <c r="E189" s="1133"/>
      <c r="F189" s="1782"/>
      <c r="G189" s="1782"/>
      <c r="H189" s="497"/>
      <c r="N189" s="6314"/>
      <c r="O189" s="6314"/>
      <c r="P189" s="6314"/>
      <c r="Q189" s="6314"/>
      <c r="R189" s="6314"/>
      <c r="S189" s="1512"/>
      <c r="U189" s="1512"/>
      <c r="V189" s="1782"/>
      <c r="W189" s="1782"/>
      <c r="X189" s="1512"/>
      <c r="Y189" s="1512"/>
      <c r="Z189" s="1512"/>
      <c r="AA189" s="1512"/>
      <c r="AB189" s="1782"/>
      <c r="AC189" s="1512"/>
      <c r="AD189" s="1512"/>
      <c r="AE189" s="690"/>
      <c r="AF189" s="1512"/>
      <c r="AG189" s="1512"/>
      <c r="AH189" s="1512"/>
      <c r="AI189" s="1512"/>
      <c r="AJ189" s="1512"/>
      <c r="AK189" s="1778"/>
      <c r="AL189" s="768"/>
      <c r="AM189" s="768"/>
      <c r="AN189" s="768"/>
      <c r="AO189" s="768"/>
      <c r="AP189" s="1787">
        <v>11</v>
      </c>
    </row>
    <row customHeight="1" ht="11.549999999999999">
      <c r="N190" s="7235"/>
      <c r="O190" s="7235"/>
      <c r="P190" s="7235"/>
      <c r="Q190" s="7235"/>
      <c r="R190" s="7235"/>
      <c r="AP190" s="1777">
        <v>11</v>
      </c>
    </row>
    <row customHeight="1" ht="11.549999999999999">
      <c r="N191" s="7235"/>
      <c r="O191" s="7235"/>
      <c r="P191" s="7235"/>
      <c r="Q191" s="7235"/>
      <c r="R191" s="7235"/>
      <c r="AP191" s="1777">
        <v>11</v>
      </c>
    </row>
    <row customHeight="1" ht="11.549999999999999">
      <c r="N192" s="7235"/>
      <c r="O192" s="7235"/>
      <c r="P192" s="7235"/>
      <c r="Q192" s="7235"/>
      <c r="R192" s="7235"/>
      <c r="AP192" s="1777">
        <v>11</v>
      </c>
    </row>
    <row customHeight="1" ht="11.549999999999999">
      <c r="A193" s="1136"/>
      <c r="B193" s="1136"/>
      <c r="C193" s="1136"/>
      <c r="D193" s="1136"/>
      <c r="E193" s="1136"/>
      <c r="F193" s="1777"/>
      <c r="H193" s="1777"/>
      <c r="N193" s="7235"/>
      <c r="O193" s="7235"/>
      <c r="P193" s="7235"/>
      <c r="Q193" s="7235"/>
      <c r="R193" s="7235"/>
      <c r="S193" s="1777"/>
      <c r="U193" s="1777"/>
      <c r="X193" s="1777"/>
      <c r="Y193" s="1777"/>
      <c r="Z193" s="1777"/>
      <c r="AA193" s="1777"/>
      <c r="AC193" s="1777"/>
      <c r="AD193" s="1777"/>
      <c r="AE193" s="1777"/>
      <c r="AF193" s="1777"/>
      <c r="AG193" s="1777"/>
      <c r="AH193" s="1777"/>
      <c r="AI193" s="1777"/>
      <c r="AJ193" s="1777"/>
      <c r="AK193" s="1777"/>
      <c r="AL193" s="1777"/>
      <c r="AM193" s="1777"/>
      <c r="AN193" s="1777"/>
      <c r="AO193" s="1777"/>
      <c r="AP193" s="1777">
        <v>11</v>
      </c>
    </row>
    <row customHeight="1" ht="11.549999999999999">
      <c r="A194" s="1136"/>
      <c r="B194" s="1136"/>
      <c r="C194" s="1136"/>
      <c r="D194" s="1136"/>
      <c r="E194" s="1136"/>
      <c r="F194" s="1777"/>
      <c r="H194" s="1777"/>
      <c r="N194" s="7235"/>
      <c r="O194" s="7235"/>
      <c r="P194" s="7235"/>
      <c r="Q194" s="7235"/>
      <c r="R194" s="7235"/>
      <c r="S194" s="1777"/>
      <c r="U194" s="1777"/>
      <c r="X194" s="1777"/>
      <c r="Y194" s="1777"/>
      <c r="Z194" s="1777"/>
      <c r="AA194" s="1777"/>
      <c r="AC194" s="1777"/>
      <c r="AD194" s="1777"/>
      <c r="AE194" s="1777"/>
      <c r="AF194" s="1777"/>
      <c r="AG194" s="1777"/>
      <c r="AH194" s="1777"/>
      <c r="AI194" s="1777"/>
      <c r="AJ194" s="1777"/>
      <c r="AK194" s="1777"/>
      <c r="AL194" s="1777"/>
      <c r="AM194" s="1777"/>
      <c r="AN194" s="1777"/>
      <c r="AO194" s="1777"/>
      <c r="AP194" s="1777">
        <v>11</v>
      </c>
    </row>
    <row customHeight="1" ht="11.549999999999999">
      <c r="A195" s="1136"/>
      <c r="B195" s="1136"/>
      <c r="C195" s="1136"/>
      <c r="D195" s="1136"/>
      <c r="E195" s="1136"/>
      <c r="F195" s="1777"/>
      <c r="H195" s="1777"/>
      <c r="N195" s="7235"/>
      <c r="O195" s="7235"/>
      <c r="P195" s="7235"/>
      <c r="Q195" s="7235"/>
      <c r="R195" s="7235"/>
      <c r="S195" s="1777"/>
      <c r="U195" s="1777"/>
      <c r="X195" s="1777"/>
      <c r="Y195" s="1777"/>
      <c r="Z195" s="1777"/>
      <c r="AA195" s="1777"/>
      <c r="AC195" s="1777"/>
      <c r="AD195" s="1777"/>
      <c r="AE195" s="1777"/>
      <c r="AF195" s="1777"/>
      <c r="AG195" s="1777"/>
      <c r="AH195" s="1777"/>
      <c r="AI195" s="1777"/>
      <c r="AJ195" s="1777"/>
      <c r="AK195" s="1777"/>
      <c r="AL195" s="1777"/>
      <c r="AM195" s="1777"/>
      <c r="AN195" s="1777"/>
      <c r="AO195" s="1777"/>
      <c r="AP195" s="1777">
        <v>11</v>
      </c>
    </row>
    <row customHeight="1" ht="11.549999999999999">
      <c r="A196" s="1136"/>
      <c r="B196" s="1136"/>
      <c r="C196" s="1136"/>
      <c r="D196" s="1136"/>
      <c r="E196" s="1136"/>
      <c r="F196" s="1777"/>
      <c r="H196" s="1777"/>
      <c r="N196" s="7235"/>
      <c r="O196" s="7235"/>
      <c r="P196" s="7235"/>
      <c r="Q196" s="7235"/>
      <c r="R196" s="7235"/>
      <c r="S196" s="1777"/>
      <c r="U196" s="1777"/>
      <c r="X196" s="1777"/>
      <c r="Y196" s="1777"/>
      <c r="Z196" s="1777"/>
      <c r="AA196" s="1777"/>
      <c r="AC196" s="1777"/>
      <c r="AD196" s="1777"/>
      <c r="AE196" s="1777"/>
      <c r="AF196" s="1777"/>
      <c r="AG196" s="1777"/>
      <c r="AH196" s="1777"/>
      <c r="AI196" s="1777"/>
      <c r="AJ196" s="1777"/>
      <c r="AK196" s="1777"/>
      <c r="AL196" s="1777"/>
      <c r="AM196" s="1777"/>
      <c r="AN196" s="1777"/>
      <c r="AO196" s="1777"/>
      <c r="AP196" s="1777">
        <v>11</v>
      </c>
    </row>
    <row customHeight="1" ht="11.549999999999999">
      <c r="A197" s="1136"/>
      <c r="B197" s="1136"/>
      <c r="C197" s="1136"/>
      <c r="D197" s="1136"/>
      <c r="E197" s="1136"/>
      <c r="F197" s="1777"/>
      <c r="H197" s="1777"/>
      <c r="N197" s="7235"/>
      <c r="O197" s="7235"/>
      <c r="P197" s="7235"/>
      <c r="Q197" s="7235"/>
      <c r="R197" s="7235"/>
      <c r="S197" s="1777"/>
      <c r="U197" s="1777"/>
      <c r="X197" s="1777"/>
      <c r="Y197" s="1777"/>
      <c r="Z197" s="1777"/>
      <c r="AA197" s="1777"/>
      <c r="AC197" s="1777"/>
      <c r="AD197" s="1777"/>
      <c r="AE197" s="1777"/>
      <c r="AF197" s="1777"/>
      <c r="AG197" s="1777"/>
      <c r="AH197" s="1777"/>
      <c r="AI197" s="1777"/>
      <c r="AJ197" s="1777"/>
      <c r="AK197" s="1777"/>
      <c r="AL197" s="1777"/>
      <c r="AM197" s="1777"/>
      <c r="AN197" s="1777"/>
      <c r="AO197" s="1777"/>
      <c r="AP197" s="1777">
        <v>11</v>
      </c>
    </row>
    <row customHeight="1" ht="11.549999999999999">
      <c r="A198" s="1136"/>
      <c r="B198" s="1136"/>
      <c r="C198" s="1136"/>
      <c r="D198" s="1136"/>
      <c r="E198" s="1136"/>
      <c r="F198" s="1777"/>
      <c r="H198" s="1777"/>
      <c r="N198" s="7235"/>
      <c r="O198" s="7235"/>
      <c r="P198" s="7235"/>
      <c r="Q198" s="7235"/>
      <c r="R198" s="7235"/>
      <c r="S198" s="1777"/>
      <c r="U198" s="1777"/>
      <c r="X198" s="1777"/>
      <c r="Y198" s="1777"/>
      <c r="Z198" s="1777"/>
      <c r="AA198" s="1777"/>
      <c r="AC198" s="1777"/>
      <c r="AD198" s="1777"/>
      <c r="AE198" s="1777"/>
      <c r="AF198" s="1777"/>
      <c r="AG198" s="1777"/>
      <c r="AH198" s="1777"/>
      <c r="AI198" s="1777"/>
      <c r="AJ198" s="1777"/>
      <c r="AK198" s="1777"/>
      <c r="AL198" s="1777"/>
      <c r="AM198" s="1777"/>
      <c r="AN198" s="1777"/>
      <c r="AO198" s="1777"/>
      <c r="AP198" s="1777">
        <v>11</v>
      </c>
    </row>
    <row customHeight="1" ht="11.549999999999999">
      <c r="A199" s="1136"/>
      <c r="B199" s="1136"/>
      <c r="C199" s="1136"/>
      <c r="D199" s="1136"/>
      <c r="E199" s="1136"/>
      <c r="F199" s="1777"/>
      <c r="H199" s="1777"/>
      <c r="N199" s="7235"/>
      <c r="O199" s="7235"/>
      <c r="P199" s="7235"/>
      <c r="Q199" s="7235"/>
      <c r="R199" s="7235"/>
      <c r="S199" s="1777"/>
      <c r="U199" s="1777"/>
      <c r="X199" s="1777"/>
      <c r="Y199" s="1777"/>
      <c r="Z199" s="1777"/>
      <c r="AA199" s="1777"/>
      <c r="AC199" s="1777"/>
      <c r="AD199" s="1777"/>
      <c r="AE199" s="1777"/>
      <c r="AF199" s="1777"/>
      <c r="AG199" s="1777"/>
      <c r="AH199" s="1777"/>
      <c r="AI199" s="1777"/>
      <c r="AJ199" s="1777"/>
      <c r="AK199" s="1777"/>
      <c r="AL199" s="1777"/>
      <c r="AM199" s="1777"/>
      <c r="AN199" s="1777"/>
      <c r="AO199" s="1777"/>
      <c r="AP199" s="1777">
        <v>11</v>
      </c>
    </row>
    <row customHeight="1" ht="11.549999999999999">
      <c r="A200" s="1136"/>
      <c r="B200" s="1136"/>
      <c r="C200" s="1136"/>
      <c r="D200" s="1136"/>
      <c r="E200" s="1136"/>
      <c r="F200" s="1777"/>
      <c r="H200" s="1777"/>
      <c r="N200" s="7235"/>
      <c r="O200" s="7235"/>
      <c r="P200" s="7235"/>
      <c r="Q200" s="7235"/>
      <c r="R200" s="7235"/>
      <c r="S200" s="1777"/>
      <c r="U200" s="1777"/>
      <c r="X200" s="1777"/>
      <c r="Y200" s="1777"/>
      <c r="Z200" s="1777"/>
      <c r="AA200" s="1777"/>
      <c r="AC200" s="1777"/>
      <c r="AD200" s="1777"/>
      <c r="AE200" s="1777"/>
      <c r="AF200" s="1777"/>
      <c r="AG200" s="1777"/>
      <c r="AH200" s="1777"/>
      <c r="AI200" s="1777"/>
      <c r="AJ200" s="1777"/>
      <c r="AK200" s="1777"/>
      <c r="AL200" s="1777"/>
      <c r="AM200" s="1777"/>
      <c r="AN200" s="1777"/>
      <c r="AO200" s="1777"/>
      <c r="AP200" s="1777">
        <v>11</v>
      </c>
    </row>
    <row customHeight="1" ht="11.549999999999999">
      <c r="A201" s="1136"/>
      <c r="B201" s="1136"/>
      <c r="C201" s="1136"/>
      <c r="D201" s="1136"/>
      <c r="E201" s="1136"/>
      <c r="F201" s="1777"/>
      <c r="H201" s="1777"/>
      <c r="N201" s="7235"/>
      <c r="O201" s="7235"/>
      <c r="P201" s="7235"/>
      <c r="Q201" s="7235"/>
      <c r="R201" s="7235"/>
      <c r="S201" s="1777"/>
      <c r="U201" s="1777"/>
      <c r="X201" s="1777"/>
      <c r="Y201" s="1777"/>
      <c r="Z201" s="1777"/>
      <c r="AA201" s="1777"/>
      <c r="AC201" s="1777"/>
      <c r="AD201" s="1777"/>
      <c r="AE201" s="1777"/>
      <c r="AF201" s="1777"/>
      <c r="AG201" s="1777"/>
      <c r="AH201" s="1777"/>
      <c r="AI201" s="1777"/>
      <c r="AJ201" s="1777"/>
      <c r="AK201" s="1777"/>
      <c r="AL201" s="1777"/>
      <c r="AM201" s="1777"/>
      <c r="AN201" s="1777"/>
      <c r="AO201" s="1777"/>
      <c r="AP201" s="1777">
        <v>11</v>
      </c>
    </row>
    <row customHeight="1" ht="11.549999999999999">
      <c r="A202" s="1136"/>
      <c r="B202" s="1136"/>
      <c r="C202" s="1136"/>
      <c r="D202" s="1136"/>
      <c r="E202" s="1136"/>
      <c r="F202" s="1777"/>
      <c r="H202" s="1777"/>
      <c r="N202" s="7235"/>
      <c r="O202" s="7235"/>
      <c r="P202" s="7235"/>
      <c r="Q202" s="7235"/>
      <c r="R202" s="7235"/>
      <c r="S202" s="1777"/>
      <c r="U202" s="1777"/>
      <c r="X202" s="1777"/>
      <c r="Y202" s="1777"/>
      <c r="Z202" s="1777"/>
      <c r="AA202" s="1777"/>
      <c r="AC202" s="1777"/>
      <c r="AD202" s="1777"/>
      <c r="AE202" s="1777"/>
      <c r="AF202" s="1777"/>
      <c r="AG202" s="1777"/>
      <c r="AH202" s="1777"/>
      <c r="AI202" s="1777"/>
      <c r="AJ202" s="1777"/>
      <c r="AK202" s="1777"/>
      <c r="AL202" s="1777"/>
      <c r="AM202" s="1777"/>
      <c r="AN202" s="1777"/>
      <c r="AO202" s="1777"/>
      <c r="AP202" s="1777">
        <v>11</v>
      </c>
    </row>
    <row customHeight="1" ht="11.549999999999999">
      <c r="A203" s="1136"/>
      <c r="B203" s="1136"/>
      <c r="C203" s="1136"/>
      <c r="D203" s="1136"/>
      <c r="E203" s="1136"/>
      <c r="F203" s="1777"/>
      <c r="H203" s="1777"/>
      <c r="N203" s="7235"/>
      <c r="O203" s="7235"/>
      <c r="P203" s="7235"/>
      <c r="Q203" s="7235"/>
      <c r="R203" s="7235"/>
      <c r="S203" s="1777"/>
      <c r="U203" s="1777"/>
      <c r="X203" s="1777"/>
      <c r="Y203" s="1777"/>
      <c r="Z203" s="1777"/>
      <c r="AA203" s="1777"/>
      <c r="AC203" s="1777"/>
      <c r="AD203" s="1777"/>
      <c r="AE203" s="1777"/>
      <c r="AF203" s="1777"/>
      <c r="AG203" s="1777"/>
      <c r="AH203" s="1777"/>
      <c r="AI203" s="1777"/>
      <c r="AJ203" s="1777"/>
      <c r="AK203" s="1777"/>
      <c r="AL203" s="1777"/>
      <c r="AM203" s="1777"/>
      <c r="AN203" s="1777"/>
      <c r="AO203" s="1777"/>
      <c r="AP203" s="1777">
        <v>11</v>
      </c>
    </row>
    <row customHeight="1" ht="12.75" hidden="1">
      <c r="A204" s="1133" t="s">
        <v>83</v>
      </c>
      <c r="B204" s="1133" t="s">
        <v>173</v>
      </c>
      <c r="C204" s="1133" t="s">
        <v>173</v>
      </c>
      <c r="D204" s="1133" t="s">
        <v>173</v>
      </c>
      <c r="E204" s="1133" t="s">
        <v>173</v>
      </c>
      <c r="F204" s="1781">
        <v>16</v>
      </c>
      <c r="G204" s="1782">
        <v>0</v>
      </c>
      <c r="H204" s="1781">
        <v>3</v>
      </c>
      <c r="I204" s="1777">
        <v>7</v>
      </c>
      <c r="J204" s="1777">
        <v>56</v>
      </c>
      <c r="K204" s="1777">
        <v>10</v>
      </c>
      <c r="L204" s="1777">
        <v>40</v>
      </c>
      <c r="M204" s="1777">
        <v>40</v>
      </c>
      <c r="N204" s="7235">
        <v>40</v>
      </c>
      <c r="O204" s="7235">
        <v>40</v>
      </c>
      <c r="P204" s="7235">
        <v>40</v>
      </c>
      <c r="Q204" s="7235">
        <v>40</v>
      </c>
      <c r="R204" s="7235">
        <v>40</v>
      </c>
      <c r="S204" s="1512">
        <v>9</v>
      </c>
      <c r="T204" s="1777">
        <v>102</v>
      </c>
      <c r="U204" s="1512">
        <v>9</v>
      </c>
      <c r="V204" s="1782">
        <v>5</v>
      </c>
      <c r="W204" s="1782">
        <v>3</v>
      </c>
      <c r="X204" s="1512">
        <v>3</v>
      </c>
      <c r="Y204" s="1512">
        <v>3</v>
      </c>
      <c r="Z204" s="1512">
        <v>3</v>
      </c>
      <c r="AA204" s="1512">
        <v>3</v>
      </c>
      <c r="AB204" s="1782">
        <v>10</v>
      </c>
      <c r="AC204" s="1512">
        <v>34</v>
      </c>
      <c r="AD204" s="1512">
        <v>9</v>
      </c>
      <c r="AE204" s="690">
        <v>8</v>
      </c>
      <c r="AF204" s="1512">
        <v>8</v>
      </c>
      <c r="AG204" s="1512">
        <v>8</v>
      </c>
      <c r="AH204" s="1512">
        <v>8</v>
      </c>
      <c r="AI204" s="1512">
        <v>8</v>
      </c>
      <c r="AJ204" s="1512">
        <v>8</v>
      </c>
      <c r="AK204" s="1778">
        <v>8</v>
      </c>
      <c r="AL204" s="1778">
        <v>8</v>
      </c>
      <c r="AM204" s="1778">
        <v>8</v>
      </c>
      <c r="AN204" s="1778">
        <v>8</v>
      </c>
      <c r="AO204" s="1778">
        <v>8</v>
      </c>
      <c r="AP204" s="1777">
        <v>11</v>
      </c>
    </row>
  </sheetData>
  <sheetProtection sort="0" autoFilter="0" insertRows="0" insertColumns="1" deleteRows="0" deleteColumns="0"/>
  <mergeCells count="7">
    <mergeCell ref="I6:M6"/>
    <mergeCell ref="I7:M7"/>
    <mergeCell ref="J10:K10"/>
    <mergeCell ref="T10:T14"/>
    <mergeCell ref="J11:K11"/>
    <mergeCell ref="J12:K12"/>
    <mergeCell ref="I13:K13"/>
  </mergeCells>
  <dataValidations count="4">
    <dataValidation type="decimal" allowBlank="1" showErrorMessage="1" errorTitle="Ошибка" error="Допускается ввод только неотрицательных чисел!" sqref="L32:R33 L19:R29 L16:R16 L2:R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formula1>900</formula1>
    </dataValidation>
    <dataValidation type="whole" allowBlank="1" showErrorMessage="1" errorTitle="Ошибка" error="Допускается ввод только неотрицательных целых чисел!" sqref="L30:R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81901B-B8C5-6F52-915E-0.83A8C135}"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7235" width="10.57421875" hidden="1"/>
    <col min="5" max="5" style="7938" width="9.140625" hidden="1" customWidth="1"/>
    <col min="6" max="7" style="7180" width="9.140625" hidden="1" customWidth="1"/>
    <col min="8" max="8" style="7205" width="3.00390625" customWidth="1"/>
    <col min="9" max="9" style="7235" width="6.00390625" customWidth="1"/>
    <col min="10" max="10" style="7235" width="63.00390625" customWidth="1"/>
    <col min="11" max="11" style="7235" width="9.00390625" customWidth="1"/>
    <col min="12" max="12" style="7235" width="39.00390625" customWidth="1"/>
    <col min="13" max="13" style="7235" width="89.00390625" customWidth="1"/>
    <col min="14" max="14" style="7235" width="10.00390625" customWidth="1"/>
    <col min="15" max="16" style="7183" width="10.00390625" customWidth="1"/>
    <col min="17" max="22" style="7235" width="10.00390625" customWidth="1"/>
    <col min="23" max="23" style="7235" width="10.57421875" hidden="1"/>
  </cols>
  <sheetData>
    <row customHeight="1" ht="22.5" hidden="1">
      <c r="S1" s="401"/>
      <c r="T1" s="401"/>
      <c r="V1" s="401"/>
      <c r="W1" s="1777" t="s">
        <v>14</v>
      </c>
    </row>
    <row customHeight="1" ht="22.5" hidden="1">
      <c r="B2" s="2196" t="s">
        <v>731</v>
      </c>
      <c r="C2" s="2196" t="s">
        <v>732</v>
      </c>
      <c r="D2" s="2195" t="s">
        <v>671</v>
      </c>
      <c r="E2" s="2201">
        <f>I2-3</f>
        <v>-3</v>
      </c>
      <c r="F2" s="2201">
        <f>J2</f>
        <v>0</v>
      </c>
      <c r="H2" s="1875" t="s">
        <v>106</v>
      </c>
      <c r="I2" s="2167"/>
      <c r="J2" s="1827"/>
      <c r="K2" s="2161" t="s">
        <v>328</v>
      </c>
      <c r="L2" s="1310"/>
      <c r="M2" s="443"/>
      <c r="N2" s="1770"/>
      <c r="P2" s="1777"/>
      <c r="W2" s="1777">
        <v>0</v>
      </c>
    </row>
    <row customHeight="1" ht="14.25" hidden="1">
      <c r="W3" s="1777">
        <v>0</v>
      </c>
    </row>
    <row customHeight="1" ht="6.3">
      <c r="H4" s="522"/>
      <c r="I4" s="603"/>
      <c r="J4" s="603"/>
      <c r="K4" s="603"/>
      <c r="L4" s="231"/>
      <c r="M4" s="231"/>
      <c r="W4" s="1777">
        <v>6</v>
      </c>
    </row>
    <row customHeight="1" ht="50.25">
      <c r="H5" s="522"/>
      <c r="I5" s="2407" t="s">
        <v>733</v>
      </c>
      <c r="J5" s="2407"/>
      <c r="K5" s="2407"/>
      <c r="L5" s="2407"/>
      <c r="M5" s="412"/>
      <c r="W5" s="1777">
        <v>48</v>
      </c>
    </row>
    <row customHeight="1" ht="18">
      <c r="H6" s="522"/>
      <c r="I6" s="2408" t="str">
        <f>IF(org=0,"Не определено",org)</f>
        <v>ПАО "ТГК-14"</v>
      </c>
      <c r="J6" s="2408"/>
      <c r="K6" s="2408"/>
      <c r="L6" s="2408"/>
      <c r="M6" s="412"/>
      <c r="W6" s="1777">
        <v>17</v>
      </c>
    </row>
    <row customHeight="1" ht="14.699999999999998">
      <c r="H7" s="522"/>
      <c r="I7" s="603"/>
      <c r="J7" s="609"/>
      <c r="K7" s="609"/>
      <c r="L7" s="898"/>
      <c r="M7" s="339"/>
      <c r="W7" s="1777">
        <v>14</v>
      </c>
    </row>
    <row customHeight="1" ht="14.699999999999998">
      <c r="H8" s="522"/>
      <c r="I8" s="2545" t="s">
        <v>322</v>
      </c>
      <c r="J8" s="2546"/>
      <c r="K8" s="2546"/>
      <c r="L8" s="2547"/>
      <c r="M8" s="2548" t="s">
        <v>323</v>
      </c>
      <c r="W8" s="1777">
        <v>14</v>
      </c>
    </row>
    <row customHeight="1" ht="35.699999999999996">
      <c r="E9" s="2194" t="s">
        <v>662</v>
      </c>
      <c r="F9" s="2194" t="s">
        <v>668</v>
      </c>
      <c r="H9" s="522"/>
      <c r="I9" s="2168" t="s">
        <v>89</v>
      </c>
      <c r="J9" s="2169" t="s">
        <v>324</v>
      </c>
      <c r="K9" s="2207" t="s">
        <v>588</v>
      </c>
      <c r="L9" s="2208" t="s">
        <v>325</v>
      </c>
      <c r="M9" s="2548"/>
      <c r="W9" s="1777">
        <v>34</v>
      </c>
    </row>
    <row customHeight="1" ht="35.699999999999996">
      <c r="B10" s="2196" t="s">
        <v>734</v>
      </c>
      <c r="C10" s="2196" t="s">
        <v>735</v>
      </c>
      <c r="D10" s="2195" t="s">
        <v>671</v>
      </c>
      <c r="E10" s="2199" t="s">
        <v>672</v>
      </c>
      <c r="F10" s="2199" t="s">
        <v>672</v>
      </c>
      <c r="H10" s="522"/>
      <c r="I10" s="2167" t="s">
        <v>121</v>
      </c>
      <c r="J10" s="2029" t="s">
        <v>736</v>
      </c>
      <c r="K10" s="2161" t="s">
        <v>328</v>
      </c>
      <c r="L10" s="964"/>
      <c r="M10" s="443" t="s">
        <v>737</v>
      </c>
      <c r="W10" s="1777">
        <v>34</v>
      </c>
    </row>
    <row customHeight="1" ht="50.25">
      <c r="B11" s="2196" t="s">
        <v>738</v>
      </c>
      <c r="C11" s="2196" t="s">
        <v>739</v>
      </c>
      <c r="D11" s="2195" t="s">
        <v>671</v>
      </c>
      <c r="E11" s="2199" t="s">
        <v>672</v>
      </c>
      <c r="F11" s="2199" t="s">
        <v>672</v>
      </c>
      <c r="H11" s="522"/>
      <c r="I11" s="2167" t="s">
        <v>105</v>
      </c>
      <c r="J11" s="2029" t="s">
        <v>740</v>
      </c>
      <c r="K11" s="2161" t="s">
        <v>328</v>
      </c>
      <c r="L11" s="964"/>
      <c r="M11" s="443" t="s">
        <v>737</v>
      </c>
      <c r="W11" s="1777">
        <v>48</v>
      </c>
    </row>
    <row customHeight="1" ht="48.29999999999999">
      <c r="B12" s="2196" t="s">
        <v>741</v>
      </c>
      <c r="C12" s="2196" t="s">
        <v>742</v>
      </c>
      <c r="D12" s="2195" t="s">
        <v>671</v>
      </c>
      <c r="E12" s="2199" t="s">
        <v>672</v>
      </c>
      <c r="F12" s="2199" t="s">
        <v>672</v>
      </c>
      <c r="H12" s="1833"/>
      <c r="I12" s="2167" t="s">
        <v>91</v>
      </c>
      <c r="J12" s="2174" t="s">
        <v>743</v>
      </c>
      <c r="K12" s="2161" t="s">
        <v>328</v>
      </c>
      <c r="L12" s="964"/>
      <c r="M12" s="443" t="s">
        <v>744</v>
      </c>
      <c r="N12" s="1770"/>
      <c r="P12" s="1777"/>
      <c r="W12" s="1777">
        <v>46</v>
      </c>
    </row>
    <row customHeight="1" ht="14.699999999999998">
      <c r="E13" s="489"/>
      <c r="H13" s="522"/>
      <c r="I13" s="493"/>
      <c r="J13" s="797" t="s">
        <v>745</v>
      </c>
      <c r="K13" s="717"/>
      <c r="L13" s="360"/>
      <c r="M13" s="443"/>
      <c r="W13" s="1777">
        <v>14</v>
      </c>
    </row>
    <row customHeight="1" ht="14.699999999999998">
      <c r="E14" s="489"/>
      <c r="H14" s="522"/>
      <c r="I14" s="1203"/>
      <c r="J14" s="1822"/>
      <c r="K14" s="1823"/>
      <c r="L14" s="1824"/>
      <c r="M14" s="2171"/>
      <c r="W14" s="1777">
        <v>14</v>
      </c>
    </row>
    <row customHeight="1" ht="14.699999999999998">
      <c r="I15" s="1826"/>
      <c r="J15" s="2544"/>
      <c r="K15" s="2544"/>
      <c r="L15" s="2544"/>
      <c r="M15" s="2544"/>
      <c r="W15" s="1777">
        <v>14</v>
      </c>
    </row>
    <row customHeight="1" ht="21" hidden="1">
      <c r="A16" s="2173" t="s">
        <v>83</v>
      </c>
      <c r="B16" s="1777">
        <v>9</v>
      </c>
      <c r="C16" s="1777">
        <v>9</v>
      </c>
      <c r="D16" s="1777">
        <v>9</v>
      </c>
      <c r="E16" s="2173" t="s">
        <v>172</v>
      </c>
      <c r="F16" s="2198" t="s">
        <v>172</v>
      </c>
      <c r="G16" s="2200"/>
      <c r="H16" s="490">
        <v>3</v>
      </c>
      <c r="I16" s="1777">
        <v>6</v>
      </c>
      <c r="J16" s="1777">
        <v>63</v>
      </c>
      <c r="K16" s="1777">
        <v>9</v>
      </c>
      <c r="L16" s="1777">
        <v>39</v>
      </c>
      <c r="M16" s="1777">
        <v>89</v>
      </c>
      <c r="N16" s="1777">
        <v>10</v>
      </c>
      <c r="O16" s="1770">
        <v>10</v>
      </c>
      <c r="P16" s="1770">
        <v>10</v>
      </c>
      <c r="Q16" s="1777">
        <v>10</v>
      </c>
      <c r="R16" s="1777">
        <v>10</v>
      </c>
      <c r="S16" s="1777">
        <v>10</v>
      </c>
      <c r="T16" s="1777">
        <v>10</v>
      </c>
      <c r="U16" s="1777">
        <v>10</v>
      </c>
      <c r="V16" s="1777">
        <v>10</v>
      </c>
      <c r="W16" s="1777">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10F43C-43FD-10EE-7EF1-0.363CFE38}" mc:Ignorable="x14ac xr xr2 xr3">
  <sheetPr>
    <tabColor theme="9" tint="-0.25"/>
  </sheetPr>
  <dimension ref="A1:AK219"/>
  <sheetViews>
    <sheetView topLeftCell="A1" showGridLines="0" zoomScale="90" workbookViewId="0">
      <selection activeCell="N9" sqref="N9"/>
    </sheetView>
  </sheetViews>
  <sheetFormatPr defaultColWidth="9.140625" customHeight="1" defaultRowHeight="11.25"/>
  <cols>
    <col min="1" max="1" style="6697" width="10.7109375" hidden="1" customWidth="1"/>
    <col min="2" max="2" style="7180" width="16.8515625" hidden="1" customWidth="1"/>
    <col min="3" max="3" style="6720" width="5.57421875" hidden="1" customWidth="1"/>
    <col min="4" max="4" style="7235" width="3.00390625" customWidth="1"/>
    <col min="5" max="5" style="7235" width="7.00390625" customWidth="1"/>
    <col min="6" max="6" style="7235" width="56.00390625" customWidth="1"/>
    <col min="7" max="7" style="7235" width="10.00390625" customWidth="1"/>
    <col min="8" max="8" style="7235" width="40.7109375" hidden="1" customWidth="1"/>
    <col min="9" max="9" style="7235" width="40.00390625" customWidth="1"/>
    <col min="10" max="14" style="7235" width="40.7109375" customWidth="1"/>
    <col min="15" max="15" style="7235" width="102.00390625" customWidth="1"/>
    <col min="16" max="16" style="7180" width="9.00390625" customWidth="1"/>
    <col min="17" max="17" style="6720" width="5.00390625" customWidth="1"/>
    <col min="18" max="18" style="6720" width="3.00390625" customWidth="1"/>
    <col min="19" max="22" style="7180" width="3.00390625" customWidth="1"/>
    <col min="23" max="23" style="6720" width="10.00390625" customWidth="1"/>
    <col min="24" max="24" style="7180" width="34.00390625" customWidth="1"/>
    <col min="25" max="25" style="7180" width="9.00390625" customWidth="1"/>
    <col min="26" max="26" style="6698" width="8.00390625" customWidth="1"/>
    <col min="27" max="31" style="7180" width="8.00390625" customWidth="1"/>
    <col min="32" max="36" style="7486" width="8.00390625" customWidth="1"/>
    <col min="37" max="37" style="7235" width="10.421875" hidden="1" customWidth="1"/>
  </cols>
  <sheetData>
    <row s="7180" customFormat="1" customHeight="1" ht="22.5" hidden="1">
      <c r="A1" s="1133"/>
      <c r="C1" s="1782"/>
      <c r="D1" s="683"/>
      <c r="H1" s="1306">
        <v>4</v>
      </c>
      <c r="I1" s="1306">
        <v>4</v>
      </c>
      <c r="J1" s="7180">
        <v>4</v>
      </c>
      <c r="K1" s="7180">
        <v>4</v>
      </c>
      <c r="L1" s="7180">
        <v>4</v>
      </c>
      <c r="M1" s="7180">
        <v>4</v>
      </c>
      <c r="N1" s="7180">
        <v>4</v>
      </c>
      <c r="Q1" s="1782"/>
      <c r="R1" s="1782"/>
      <c r="W1" s="1782"/>
      <c r="AK1" s="1306" t="s">
        <v>14</v>
      </c>
    </row>
    <row s="7180" customFormat="1" customHeight="1" ht="22.5" hidden="1">
      <c r="A2" s="1133"/>
      <c r="C2" s="1782"/>
      <c r="D2" s="684"/>
      <c r="E2" s="1783"/>
      <c r="F2" s="686"/>
      <c r="G2" s="1785" t="s">
        <v>574</v>
      </c>
      <c r="H2" s="687"/>
      <c r="I2" s="687"/>
      <c r="J2" s="6588"/>
      <c r="K2" s="6588"/>
      <c r="L2" s="6588"/>
      <c r="M2" s="6588"/>
      <c r="N2" s="6588"/>
      <c r="O2" s="688" t="s">
        <v>746</v>
      </c>
      <c r="P2" s="689"/>
      <c r="Q2" s="1782"/>
      <c r="R2" s="1782"/>
      <c r="W2" s="1782"/>
      <c r="Z2" s="690"/>
      <c r="AF2" s="1778"/>
      <c r="AG2" s="1778"/>
      <c r="AH2" s="1778"/>
      <c r="AI2" s="1778"/>
      <c r="AJ2" s="1778"/>
      <c r="AK2" s="1306">
        <v>0</v>
      </c>
    </row>
    <row customHeight="1" ht="11.25" hidden="1">
      <c r="J3" s="7235"/>
      <c r="K3" s="7235"/>
      <c r="L3" s="7235"/>
      <c r="M3" s="7235"/>
      <c r="N3" s="7235"/>
      <c r="AK3" s="1777">
        <v>0</v>
      </c>
    </row>
    <row s="7486" customFormat="1" customHeight="1" ht="11.25" hidden="1">
      <c r="A4" s="1133"/>
      <c r="B4" s="1306"/>
      <c r="C4" s="1782"/>
      <c r="D4" s="508"/>
      <c r="J4" s="7486"/>
      <c r="K4" s="7486"/>
      <c r="L4" s="7486"/>
      <c r="M4" s="7486"/>
      <c r="N4" s="7486"/>
      <c r="O4" s="1778">
        <v>4</v>
      </c>
      <c r="P4" s="1306"/>
      <c r="Q4" s="1782"/>
      <c r="R4" s="1782"/>
      <c r="S4" s="1306"/>
      <c r="T4" s="1306"/>
      <c r="U4" s="1306"/>
      <c r="V4" s="1306"/>
      <c r="W4" s="1782"/>
      <c r="X4" s="1306"/>
      <c r="Y4" s="1306"/>
      <c r="Z4" s="690"/>
      <c r="AA4" s="1306"/>
      <c r="AB4" s="1306"/>
      <c r="AC4" s="1306"/>
      <c r="AD4" s="1306"/>
      <c r="AE4" s="1306"/>
      <c r="AK4" s="1778">
        <v>0</v>
      </c>
    </row>
    <row customHeight="1" ht="11.549999999999999">
      <c r="J5" s="7235"/>
      <c r="K5" s="7235"/>
      <c r="L5" s="7235"/>
      <c r="M5" s="7235"/>
      <c r="N5" s="7235"/>
      <c r="AK5" s="1777">
        <v>11</v>
      </c>
    </row>
    <row customHeight="1" ht="31.5">
      <c r="E6" s="2466" t="s">
        <v>747</v>
      </c>
      <c r="F6" s="2466"/>
      <c r="G6" s="2466"/>
      <c r="H6" s="2466"/>
      <c r="I6" s="2466"/>
      <c r="J6" s="6363"/>
      <c r="K6" s="6363"/>
      <c r="L6" s="6363"/>
      <c r="M6" s="6363"/>
      <c r="N6" s="6363"/>
      <c r="O6" s="702"/>
      <c r="AK6" s="1777">
        <v>30</v>
      </c>
    </row>
    <row customHeight="1" ht="11.549999999999999">
      <c r="E7" s="2408" t="str">
        <f>IF(org=0,"Не определено",org)</f>
        <v>ПАО "ТГК-14"</v>
      </c>
      <c r="F7" s="2408"/>
      <c r="G7" s="2408"/>
      <c r="H7" s="2408"/>
      <c r="I7" s="2408"/>
      <c r="J7" s="6204"/>
      <c r="K7" s="6204"/>
      <c r="L7" s="6204"/>
      <c r="M7" s="6204"/>
      <c r="N7" s="6204"/>
      <c r="AK7" s="1777">
        <v>11</v>
      </c>
    </row>
    <row customHeight="1" ht="11.549999999999999">
      <c r="E8" s="1281"/>
      <c r="F8" s="1281"/>
      <c r="G8" s="1281"/>
      <c r="H8" s="1281"/>
      <c r="I8" s="1281"/>
      <c r="J8" s="6991" t="s">
        <v>22</v>
      </c>
      <c r="K8" s="6991" t="s">
        <v>22</v>
      </c>
      <c r="L8" s="6991" t="s">
        <v>22</v>
      </c>
      <c r="M8" s="6991" t="s">
        <v>22</v>
      </c>
      <c r="N8" s="6991" t="s">
        <v>22</v>
      </c>
      <c r="AK8" s="1777">
        <v>11</v>
      </c>
    </row>
    <row s="6720" customFormat="1" customHeight="1" ht="4.2">
      <c r="A9" s="1313"/>
      <c r="D9" s="1788"/>
      <c r="H9" s="1035"/>
      <c r="I9" s="1035" t="s">
        <v>129</v>
      </c>
      <c r="J9" s="6601" t="s">
        <v>137</v>
      </c>
      <c r="K9" s="6601" t="s">
        <v>139</v>
      </c>
      <c r="L9" s="6601" t="s">
        <v>143</v>
      </c>
      <c r="M9" s="6601" t="s">
        <v>134</v>
      </c>
      <c r="N9" s="6601" t="s">
        <v>141</v>
      </c>
      <c r="AK9" s="1782">
        <v>4</v>
      </c>
    </row>
    <row customHeight="1" ht="11.549999999999999">
      <c r="E10" s="857"/>
      <c r="F10" s="2526" t="s">
        <v>117</v>
      </c>
      <c r="G10" s="2527"/>
      <c r="H10" s="1698" t="str">
        <f>IF(H9="","",INDEX(DIFFERENTIATION_UNMERGE_VD,MATCH(H9,DIFFERENTIATION_ID_DIFF,0)))</f>
        <v/>
      </c>
      <c r="I10" s="169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10" s="6869" t="str">
        <f>IF(J9="","",INDEX(DIFFERENTIATION_UNMERGE_VD,MATCH(J9,DIFFERENTIATION_ID_DIFF,0)))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10" s="6869" t="str">
        <f>IF(K9="","",INDEX(DIFFERENTIATION_UNMERGE_VD,MATCH(K9,DIFFERENTIATION_ID_DIFF,0)))</f>
        <v>Производство. Теплоноситель</v>
      </c>
      <c r="L10" s="6869" t="str">
        <f>IF(L9="","",INDEX(DIFFERENTIATION_UNMERGE_VD,MATCH(L9,DIFFERENTIATION_ID_DIFF,0)))</f>
        <v>Производство тепловой энергии. Некомбинированная выработка; Передача. Тепловая энергия; Сбыт. Тепловая энергия</v>
      </c>
      <c r="M10" s="6869"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10" s="6869" t="str">
        <f>IF(N9="","",INDEX(DIFFERENTIATION_UNMERGE_VD,MATCH(N9,DIFFERENTIATION_ID_DIFF,0)))</f>
        <v>Производство. Теплоноситель</v>
      </c>
      <c r="O10" s="2286" t="s">
        <v>323</v>
      </c>
      <c r="AK10" s="1777">
        <v>11</v>
      </c>
    </row>
    <row customHeight="1" ht="11.549999999999999">
      <c r="E11" s="857"/>
      <c r="F11" s="2526" t="s">
        <v>586</v>
      </c>
      <c r="G11" s="2527"/>
      <c r="H11" s="1698" t="str">
        <f>IF(H9="","",INDEX(DIFFERENTIATION_UNMERGE_AREA,MATCH(H9,DIFFERENTIATION_ID_DIFF,0)))</f>
        <v/>
      </c>
      <c r="I11" s="1698" t="str">
        <f>IF(I9="","",INDEX(DIFFERENTIATION_UNMERGE_AREA,MATCH(I9,DIFFERENTIATION_ID_DIFF,0)))</f>
        <v>Территория 1</v>
      </c>
      <c r="J11" s="6869" t="str">
        <f>IF(J9="","",INDEX(DIFFERENTIATION_UNMERGE_AREA,MATCH(J9,DIFFERENTIATION_ID_DIFF,0)))</f>
        <v>Территория 3</v>
      </c>
      <c r="K11" s="6869" t="str">
        <f>IF(K9="","",INDEX(DIFFERENTIATION_UNMERGE_AREA,MATCH(K9,DIFFERENTIATION_ID_DIFF,0)))</f>
        <v>Территория 1</v>
      </c>
      <c r="L11" s="6869" t="str">
        <f>IF(L9="","",INDEX(DIFFERENTIATION_UNMERGE_AREA,MATCH(L9,DIFFERENTIATION_ID_DIFF,0)))</f>
        <v>Территория 3</v>
      </c>
      <c r="M11" s="6869" t="str">
        <f>IF(M9="","",INDEX(DIFFERENTIATION_UNMERGE_AREA,MATCH(M9,DIFFERENTIATION_ID_DIFF,0)))</f>
        <v>Территория 2</v>
      </c>
      <c r="N11" s="6869" t="str">
        <f>IF(N9="","",INDEX(DIFFERENTIATION_UNMERGE_AREA,MATCH(N9,DIFFERENTIATION_ID_DIFF,0)))</f>
        <v>Территория 2</v>
      </c>
      <c r="O11" s="2286"/>
      <c r="AK11" s="1777">
        <v>11</v>
      </c>
    </row>
    <row customHeight="1" ht="1.05">
      <c r="E12" s="1808"/>
      <c r="F12" s="2549" t="s">
        <v>587</v>
      </c>
      <c r="G12" s="2550"/>
      <c r="H12" s="1809" t="str">
        <f>IF(H9="","",INDEX(DIFFERENTIATION_UNMERGE_SYSTEM,MATCH(H9,DIFFERENTIATION_ID_DIFF,0)))</f>
        <v/>
      </c>
      <c r="I12" s="1809" t="str">
        <f>IF(I9="","",INDEX(DIFFERENTIATION_UNMERGE_SYSTEM,MATCH(I9,DIFFERENTIATION_ID_DIFF,0)))</f>
        <v>Шерловогорская ТЭЦ</v>
      </c>
      <c r="J12" s="6838" t="str">
        <f>IF(J9="","",INDEX(DIFFERENTIATION_UNMERGE_SYSTEM,MATCH(J9,DIFFERENTIATION_ID_DIFF,0)))</f>
        <v>ЦТС г. Чита (ЧТЭЦ-1, ЧТЭЦ-2)</v>
      </c>
      <c r="K12" s="6838" t="str">
        <f>IF(K9="","",INDEX(DIFFERENTIATION_UNMERGE_SYSTEM,MATCH(K9,DIFFERENTIATION_ID_DIFF,0)))</f>
        <v>Шерловогорская ТЭЦ</v>
      </c>
      <c r="L12" s="6838" t="str">
        <f>IF(L9="","",INDEX(DIFFERENTIATION_UNMERGE_SYSTEM,MATCH(L9,DIFFERENTIATION_ID_DIFF,0)))</f>
        <v>Котельные г. Чита</v>
      </c>
      <c r="M12" s="6838" t="str">
        <f>IF(M9="","",INDEX(DIFFERENTIATION_UNMERGE_SYSTEM,MATCH(M9,DIFFERENTIATION_ID_DIFF,0)))</f>
        <v>Приаргунская ТЭЦ</v>
      </c>
      <c r="N12" s="6838" t="str">
        <f>IF(N9="","",INDEX(DIFFERENTIATION_UNMERGE_SYSTEM,MATCH(N9,DIFFERENTIATION_ID_DIFF,0)))</f>
        <v>Приаргунская ТЭЦ</v>
      </c>
      <c r="O12" s="2286"/>
      <c r="AK12" s="1777">
        <v>1</v>
      </c>
    </row>
    <row customHeight="1" ht="11.549999999999999">
      <c r="E13" s="2528" t="s">
        <v>322</v>
      </c>
      <c r="F13" s="2529"/>
      <c r="G13" s="2529"/>
      <c r="H13" s="1697"/>
      <c r="I13" s="1697"/>
      <c r="J13" s="6942"/>
      <c r="K13" s="6942"/>
      <c r="L13" s="6942"/>
      <c r="M13" s="6942"/>
      <c r="N13" s="6942"/>
      <c r="O13" s="2286"/>
      <c r="AK13" s="1777">
        <v>11</v>
      </c>
    </row>
    <row customHeight="1" ht="24">
      <c r="E14" s="1785" t="s">
        <v>89</v>
      </c>
      <c r="F14" s="1780" t="s">
        <v>324</v>
      </c>
      <c r="G14" s="1780" t="s">
        <v>588</v>
      </c>
      <c r="H14" s="1780" t="s">
        <v>325</v>
      </c>
      <c r="I14" s="1780" t="s">
        <v>325</v>
      </c>
      <c r="J14" s="7599" t="s">
        <v>325</v>
      </c>
      <c r="K14" s="7599" t="s">
        <v>325</v>
      </c>
      <c r="L14" s="7599" t="s">
        <v>325</v>
      </c>
      <c r="M14" s="7599" t="s">
        <v>325</v>
      </c>
      <c r="N14" s="7599" t="s">
        <v>325</v>
      </c>
      <c r="O14" s="2286"/>
      <c r="AK14" s="1777">
        <v>23</v>
      </c>
    </row>
    <row customHeight="1" ht="19.95">
      <c r="D15" s="1784"/>
      <c r="E15" s="1776" t="s">
        <v>121</v>
      </c>
      <c r="F15" s="853" t="s">
        <v>748</v>
      </c>
      <c r="G15" s="1792" t="s">
        <v>574</v>
      </c>
      <c r="H15" s="703"/>
      <c r="I15" s="703"/>
      <c r="J15" s="6612"/>
      <c r="K15" s="6612"/>
      <c r="L15" s="6612"/>
      <c r="M15" s="6612"/>
      <c r="N15" s="6612"/>
      <c r="O15" s="435" t="s">
        <v>749</v>
      </c>
      <c r="P15" s="689" t="s">
        <v>674</v>
      </c>
      <c r="AK15" s="1777">
        <v>19</v>
      </c>
    </row>
    <row customHeight="1" ht="35.699999999999996">
      <c r="D16" s="1784"/>
      <c r="E16" s="1776" t="s">
        <v>105</v>
      </c>
      <c r="F16" s="853" t="s">
        <v>750</v>
      </c>
      <c r="G16" s="1792" t="s">
        <v>574</v>
      </c>
      <c r="H16" s="704">
        <f>SUM(H17,H20,H23,H26,H29:H32,H35)</f>
        <v>0</v>
      </c>
      <c r="I16" s="704">
        <f>SUM(I17,I20,I23,I26,I29:I32,I35)</f>
        <v>0</v>
      </c>
      <c r="J16" s="6613">
        <f>SUM(J17,J20,J23,J26,J29:J32,J35)</f>
        <v>0</v>
      </c>
      <c r="K16" s="6613">
        <f>SUM(K17,K20,K23,K26,K29:K32,K35)</f>
        <v>0</v>
      </c>
      <c r="L16" s="6613">
        <f>SUM(L17,L20,L23,L26,L29:L32,L35)</f>
        <v>0</v>
      </c>
      <c r="M16" s="6613">
        <f>SUM(M17,M20,M23,M26,M29:M32,M35)</f>
        <v>0</v>
      </c>
      <c r="N16" s="6613">
        <f>SUM(N17,N20,N23,N26,N29:N32,N35)</f>
        <v>0</v>
      </c>
      <c r="O16" s="435" t="s">
        <v>751</v>
      </c>
      <c r="P16" s="689" t="s">
        <v>674</v>
      </c>
      <c r="AK16" s="1777">
        <v>34</v>
      </c>
    </row>
    <row customHeight="1" ht="19.95">
      <c r="D17" s="1784"/>
      <c r="E17" s="1810" t="s">
        <v>752</v>
      </c>
      <c r="F17" s="1100" t="s">
        <v>753</v>
      </c>
      <c r="G17" s="1789" t="s">
        <v>574</v>
      </c>
      <c r="H17" s="703"/>
      <c r="I17" s="703"/>
      <c r="J17" s="6612"/>
      <c r="K17" s="6612"/>
      <c r="L17" s="6612"/>
      <c r="M17" s="6612"/>
      <c r="N17" s="6612"/>
      <c r="O17" s="435" t="s">
        <v>754</v>
      </c>
      <c r="P17" s="689"/>
      <c r="AK17" s="1777">
        <v>19</v>
      </c>
    </row>
    <row customHeight="1" ht="24">
      <c r="D18" s="1784"/>
      <c r="E18" s="1810" t="s">
        <v>755</v>
      </c>
      <c r="F18" s="1796" t="s">
        <v>756</v>
      </c>
      <c r="G18" s="1789" t="s">
        <v>574</v>
      </c>
      <c r="H18" s="703"/>
      <c r="I18" s="703"/>
      <c r="J18" s="6612"/>
      <c r="K18" s="6612"/>
      <c r="L18" s="6612"/>
      <c r="M18" s="6612"/>
      <c r="N18" s="6612"/>
      <c r="O18" s="435" t="s">
        <v>757</v>
      </c>
      <c r="P18" s="689"/>
      <c r="AK18" s="1777">
        <v>23</v>
      </c>
    </row>
    <row customHeight="1" ht="35.699999999999996">
      <c r="D19" s="1784"/>
      <c r="E19" s="1810" t="s">
        <v>758</v>
      </c>
      <c r="F19" s="1796" t="s">
        <v>759</v>
      </c>
      <c r="G19" s="1789" t="s">
        <v>574</v>
      </c>
      <c r="H19" s="703"/>
      <c r="I19" s="703"/>
      <c r="J19" s="6612"/>
      <c r="K19" s="6612"/>
      <c r="L19" s="6612"/>
      <c r="M19" s="6612"/>
      <c r="N19" s="6612"/>
      <c r="O19" s="435"/>
      <c r="P19" s="689"/>
      <c r="AK19" s="1777">
        <v>34</v>
      </c>
    </row>
    <row customHeight="1" ht="19.95">
      <c r="D20" s="1784"/>
      <c r="E20" s="1810" t="s">
        <v>329</v>
      </c>
      <c r="F20" s="1100" t="s">
        <v>760</v>
      </c>
      <c r="G20" s="1789" t="s">
        <v>574</v>
      </c>
      <c r="H20" s="703"/>
      <c r="I20" s="703"/>
      <c r="J20" s="6612"/>
      <c r="K20" s="6612"/>
      <c r="L20" s="6612"/>
      <c r="M20" s="6612"/>
      <c r="N20" s="6612"/>
      <c r="O20" s="435" t="s">
        <v>761</v>
      </c>
      <c r="P20" s="689"/>
      <c r="AK20" s="1777">
        <v>19</v>
      </c>
    </row>
    <row customHeight="1" ht="19.95">
      <c r="D21" s="1784"/>
      <c r="E21" s="1810" t="s">
        <v>762</v>
      </c>
      <c r="F21" s="1796" t="s">
        <v>763</v>
      </c>
      <c r="G21" s="1789" t="s">
        <v>574</v>
      </c>
      <c r="H21" s="703"/>
      <c r="I21" s="703"/>
      <c r="J21" s="6612"/>
      <c r="K21" s="6612"/>
      <c r="L21" s="6612"/>
      <c r="M21" s="6612"/>
      <c r="N21" s="6612"/>
      <c r="O21" s="435"/>
      <c r="P21" s="689"/>
      <c r="AK21" s="1777">
        <v>19</v>
      </c>
    </row>
    <row customHeight="1" ht="19.95">
      <c r="D22" s="1784"/>
      <c r="E22" s="1810" t="s">
        <v>764</v>
      </c>
      <c r="F22" s="1796" t="s">
        <v>765</v>
      </c>
      <c r="G22" s="1789" t="s">
        <v>574</v>
      </c>
      <c r="H22" s="703"/>
      <c r="I22" s="703"/>
      <c r="J22" s="6612"/>
      <c r="K22" s="6612"/>
      <c r="L22" s="6612"/>
      <c r="M22" s="6612"/>
      <c r="N22" s="6612"/>
      <c r="O22" s="435"/>
      <c r="P22" s="689"/>
      <c r="AK22" s="1777">
        <v>19</v>
      </c>
    </row>
    <row customHeight="1" ht="24">
      <c r="D23" s="1784"/>
      <c r="E23" s="1810" t="s">
        <v>332</v>
      </c>
      <c r="F23" s="1100" t="s">
        <v>766</v>
      </c>
      <c r="G23" s="1789" t="s">
        <v>574</v>
      </c>
      <c r="H23" s="703"/>
      <c r="I23" s="703"/>
      <c r="J23" s="6612"/>
      <c r="K23" s="6612"/>
      <c r="L23" s="6612"/>
      <c r="M23" s="6612"/>
      <c r="N23" s="6612"/>
      <c r="O23" s="435" t="s">
        <v>767</v>
      </c>
      <c r="P23" s="689"/>
      <c r="AK23" s="1777">
        <v>23</v>
      </c>
    </row>
    <row customHeight="1" ht="19.95">
      <c r="D24" s="1784"/>
      <c r="E24" s="1810" t="s">
        <v>768</v>
      </c>
      <c r="F24" s="1796" t="s">
        <v>769</v>
      </c>
      <c r="G24" s="1789" t="s">
        <v>574</v>
      </c>
      <c r="H24" s="703"/>
      <c r="I24" s="703"/>
      <c r="J24" s="6612"/>
      <c r="K24" s="6612"/>
      <c r="L24" s="6612"/>
      <c r="M24" s="6612"/>
      <c r="N24" s="6612"/>
      <c r="O24" s="435"/>
      <c r="P24" s="689"/>
      <c r="AK24" s="1777">
        <v>19</v>
      </c>
    </row>
    <row customHeight="1" ht="35.699999999999996">
      <c r="D25" s="1784"/>
      <c r="E25" s="1810" t="s">
        <v>770</v>
      </c>
      <c r="F25" s="1796" t="s">
        <v>771</v>
      </c>
      <c r="G25" s="1789" t="s">
        <v>574</v>
      </c>
      <c r="H25" s="703"/>
      <c r="I25" s="703"/>
      <c r="J25" s="6612"/>
      <c r="K25" s="6612"/>
      <c r="L25" s="6612"/>
      <c r="M25" s="6612"/>
      <c r="N25" s="6612"/>
      <c r="O25" s="435"/>
      <c r="P25" s="689"/>
      <c r="AK25" s="1777">
        <v>34</v>
      </c>
    </row>
    <row customHeight="1" ht="24">
      <c r="D26" s="1784"/>
      <c r="E26" s="1810" t="s">
        <v>772</v>
      </c>
      <c r="F26" s="1100" t="s">
        <v>773</v>
      </c>
      <c r="G26" s="1789" t="s">
        <v>574</v>
      </c>
      <c r="H26" s="703"/>
      <c r="I26" s="703"/>
      <c r="J26" s="6612"/>
      <c r="K26" s="6612"/>
      <c r="L26" s="6612"/>
      <c r="M26" s="6612"/>
      <c r="N26" s="6612"/>
      <c r="O26" s="435" t="s">
        <v>774</v>
      </c>
      <c r="P26" s="689"/>
      <c r="AK26" s="1777">
        <v>23</v>
      </c>
    </row>
    <row customHeight="1" ht="19.95">
      <c r="D27" s="1784"/>
      <c r="E27" s="1820" t="s">
        <v>775</v>
      </c>
      <c r="F27" s="1796" t="s">
        <v>776</v>
      </c>
      <c r="G27" s="1800" t="s">
        <v>574</v>
      </c>
      <c r="H27" s="1821"/>
      <c r="I27" s="1821"/>
      <c r="J27" s="6791"/>
      <c r="K27" s="6791"/>
      <c r="L27" s="6791"/>
      <c r="M27" s="6791"/>
      <c r="N27" s="6791"/>
      <c r="O27" s="435"/>
      <c r="P27" s="689"/>
      <c r="AK27" s="1777">
        <v>19</v>
      </c>
    </row>
    <row customHeight="1" ht="19.95">
      <c r="D28" s="1784"/>
      <c r="E28" s="1820" t="s">
        <v>777</v>
      </c>
      <c r="F28" s="1796" t="s">
        <v>778</v>
      </c>
      <c r="G28" s="1800" t="s">
        <v>574</v>
      </c>
      <c r="H28" s="1821"/>
      <c r="I28" s="1821"/>
      <c r="J28" s="6791"/>
      <c r="K28" s="6791"/>
      <c r="L28" s="6791"/>
      <c r="M28" s="6791"/>
      <c r="N28" s="6791"/>
      <c r="O28" s="435"/>
      <c r="P28" s="689"/>
      <c r="AK28" s="1777">
        <v>19</v>
      </c>
    </row>
    <row customHeight="1" ht="19.95">
      <c r="D29" s="1784"/>
      <c r="E29" s="1820" t="s">
        <v>779</v>
      </c>
      <c r="F29" s="1100" t="s">
        <v>780</v>
      </c>
      <c r="G29" s="1800" t="s">
        <v>574</v>
      </c>
      <c r="H29" s="1821"/>
      <c r="I29" s="1821"/>
      <c r="J29" s="6791"/>
      <c r="K29" s="6791"/>
      <c r="L29" s="6791"/>
      <c r="M29" s="6791"/>
      <c r="N29" s="6791"/>
      <c r="O29" s="435"/>
      <c r="P29" s="689"/>
      <c r="AK29" s="1777">
        <v>19</v>
      </c>
    </row>
    <row customHeight="1" ht="19.95">
      <c r="D30" s="1784"/>
      <c r="E30" s="1820" t="s">
        <v>781</v>
      </c>
      <c r="F30" s="1100" t="s">
        <v>782</v>
      </c>
      <c r="G30" s="1800" t="s">
        <v>574</v>
      </c>
      <c r="H30" s="1821"/>
      <c r="I30" s="1821"/>
      <c r="J30" s="6791"/>
      <c r="K30" s="6791"/>
      <c r="L30" s="6791"/>
      <c r="M30" s="6791"/>
      <c r="N30" s="6791"/>
      <c r="O30" s="435"/>
      <c r="P30" s="689"/>
      <c r="AK30" s="1777">
        <v>19</v>
      </c>
    </row>
    <row customHeight="1" ht="19.95">
      <c r="D31" s="1784"/>
      <c r="E31" s="1820" t="s">
        <v>783</v>
      </c>
      <c r="F31" s="1100" t="s">
        <v>784</v>
      </c>
      <c r="G31" s="1800" t="s">
        <v>574</v>
      </c>
      <c r="H31" s="1821"/>
      <c r="I31" s="1821"/>
      <c r="J31" s="6791"/>
      <c r="K31" s="6791"/>
      <c r="L31" s="6791"/>
      <c r="M31" s="6791"/>
      <c r="N31" s="6791"/>
      <c r="O31" s="435"/>
      <c r="P31" s="689"/>
      <c r="AK31" s="1777">
        <v>19</v>
      </c>
    </row>
    <row s="7180" customFormat="1" customHeight="1" ht="35.699999999999996">
      <c r="A32" s="1133"/>
      <c r="C32" s="1782"/>
      <c r="D32" s="1784"/>
      <c r="E32" s="1820" t="s">
        <v>785</v>
      </c>
      <c r="F32" s="1100" t="s">
        <v>786</v>
      </c>
      <c r="G32" s="1790" t="s">
        <v>574</v>
      </c>
      <c r="H32" s="725">
        <f>SUM(H33:H34)</f>
        <v>0</v>
      </c>
      <c r="I32" s="725">
        <f>SUM(I33:I34)</f>
        <v>0</v>
      </c>
      <c r="J32" s="6644">
        <f>SUM(J33:J34)</f>
        <v>0</v>
      </c>
      <c r="K32" s="6644">
        <f>SUM(K33:K34)</f>
        <v>0</v>
      </c>
      <c r="L32" s="6644">
        <f>SUM(L33:L34)</f>
        <v>0</v>
      </c>
      <c r="M32" s="6644">
        <f>SUM(M33:M34)</f>
        <v>0</v>
      </c>
      <c r="N32" s="6644">
        <f>SUM(N33:N34)</f>
        <v>0</v>
      </c>
      <c r="O32" s="435" t="s">
        <v>787</v>
      </c>
      <c r="P32" s="689"/>
      <c r="Q32" s="1782"/>
      <c r="R32" s="1782"/>
      <c r="W32" s="1782"/>
      <c r="Z32" s="690"/>
      <c r="AF32" s="1778"/>
      <c r="AG32" s="1778"/>
      <c r="AH32" s="1778"/>
      <c r="AI32" s="1778"/>
      <c r="AJ32" s="1778"/>
      <c r="AK32" s="1306">
        <v>34</v>
      </c>
    </row>
    <row s="6720" customFormat="1" customHeight="1" ht="1.05">
      <c r="A33" s="1313"/>
      <c r="D33" s="694"/>
      <c r="E33" s="948" t="str">
        <f>E32&amp;".0"</f>
        <v>2.8.0</v>
      </c>
      <c r="F33" s="1137"/>
      <c r="G33" s="697"/>
      <c r="H33" s="1138"/>
      <c r="I33" s="1138"/>
      <c r="J33" s="6646"/>
      <c r="K33" s="6646"/>
      <c r="L33" s="6646"/>
      <c r="M33" s="6646"/>
      <c r="N33" s="6646"/>
      <c r="O33" s="1139"/>
      <c r="AK33" s="1782">
        <v>1</v>
      </c>
    </row>
    <row s="7180" customFormat="1" customHeight="1" ht="19.95">
      <c r="A34" s="1133"/>
      <c r="C34" s="1782"/>
      <c r="D34" s="1779"/>
      <c r="E34" s="716"/>
      <c r="F34" s="1811" t="s">
        <v>613</v>
      </c>
      <c r="G34" s="718"/>
      <c r="H34" s="719"/>
      <c r="I34" s="719"/>
      <c r="J34" s="8025"/>
      <c r="K34" s="8026"/>
      <c r="L34" s="8027"/>
      <c r="M34" s="8028"/>
      <c r="N34" s="8029"/>
      <c r="O34" s="447" t="s">
        <v>788</v>
      </c>
      <c r="P34" s="689"/>
      <c r="Q34" s="1782"/>
      <c r="R34" s="1782"/>
      <c r="W34" s="1782"/>
      <c r="Z34" s="690"/>
      <c r="AF34" s="1778"/>
      <c r="AG34" s="1778"/>
      <c r="AH34" s="1778"/>
      <c r="AI34" s="1778"/>
      <c r="AJ34" s="1778"/>
      <c r="AK34" s="1306">
        <v>19</v>
      </c>
    </row>
    <row customHeight="1" ht="60">
      <c r="D35" s="1784"/>
      <c r="E35" s="1820" t="s">
        <v>789</v>
      </c>
      <c r="F35" s="1100" t="s">
        <v>790</v>
      </c>
      <c r="G35" s="1800" t="s">
        <v>574</v>
      </c>
      <c r="H35" s="1821"/>
      <c r="I35" s="1821"/>
      <c r="J35" s="6791"/>
      <c r="K35" s="6791"/>
      <c r="L35" s="6791"/>
      <c r="M35" s="6791"/>
      <c r="N35" s="6791"/>
      <c r="O35" s="435" t="s">
        <v>791</v>
      </c>
      <c r="P35" s="689"/>
      <c r="AK35" s="1777">
        <v>57</v>
      </c>
    </row>
    <row customHeight="1" ht="19.95">
      <c r="B36" s="1512"/>
      <c r="D36" s="2221"/>
      <c r="E36" s="1820" t="s">
        <v>792</v>
      </c>
      <c r="F36" s="2225" t="s">
        <v>793</v>
      </c>
      <c r="G36" s="2220" t="s">
        <v>574</v>
      </c>
      <c r="H36" s="2226"/>
      <c r="I36" s="2226"/>
      <c r="J36" s="6850"/>
      <c r="K36" s="6850"/>
      <c r="L36" s="6850"/>
      <c r="M36" s="6850"/>
      <c r="N36" s="6850"/>
      <c r="O36" s="2227" t="s">
        <v>794</v>
      </c>
      <c r="P36" s="689"/>
      <c r="S36" s="1512"/>
      <c r="T36" s="1512"/>
      <c r="U36" s="1512"/>
      <c r="V36" s="1512"/>
      <c r="X36" s="1512"/>
      <c r="Y36" s="1512"/>
      <c r="AA36" s="1512"/>
      <c r="AB36" s="1512"/>
      <c r="AC36" s="1512"/>
      <c r="AD36" s="1512"/>
      <c r="AE36" s="1512"/>
      <c r="AK36" s="1777">
        <v>19</v>
      </c>
    </row>
    <row customHeight="1" ht="19.95">
      <c r="B37" s="1512"/>
      <c r="D37" s="2221"/>
      <c r="E37" s="1820" t="s">
        <v>795</v>
      </c>
      <c r="F37" s="2225" t="s">
        <v>796</v>
      </c>
      <c r="G37" s="2220" t="s">
        <v>574</v>
      </c>
      <c r="H37" s="2226"/>
      <c r="I37" s="2226"/>
      <c r="J37" s="6850"/>
      <c r="K37" s="6850"/>
      <c r="L37" s="6850"/>
      <c r="M37" s="6850"/>
      <c r="N37" s="6850"/>
      <c r="O37" s="2227" t="s">
        <v>797</v>
      </c>
      <c r="P37" s="689"/>
      <c r="S37" s="1512"/>
      <c r="T37" s="1512"/>
      <c r="U37" s="1512"/>
      <c r="V37" s="1512"/>
      <c r="X37" s="1512"/>
      <c r="Y37" s="1512"/>
      <c r="AA37" s="1512"/>
      <c r="AB37" s="1512"/>
      <c r="AC37" s="1512"/>
      <c r="AD37" s="1512"/>
      <c r="AE37" s="1512"/>
      <c r="AK37" s="1777">
        <v>19</v>
      </c>
    </row>
    <row s="7180" customFormat="1" customHeight="1" ht="24">
      <c r="A38" s="1135" t="s">
        <v>614</v>
      </c>
      <c r="C38" s="1782"/>
      <c r="D38" s="1784"/>
      <c r="E38" s="1810" t="s">
        <v>91</v>
      </c>
      <c r="F38" s="853" t="s">
        <v>798</v>
      </c>
      <c r="G38" s="1789" t="s">
        <v>574</v>
      </c>
      <c r="H38" s="703"/>
      <c r="I38" s="703"/>
      <c r="J38" s="6612"/>
      <c r="K38" s="6612"/>
      <c r="L38" s="6612"/>
      <c r="M38" s="6612"/>
      <c r="N38" s="6612"/>
      <c r="O38" s="435" t="s">
        <v>799</v>
      </c>
      <c r="P38" s="689"/>
      <c r="Q38" s="1782"/>
      <c r="R38" s="1782"/>
      <c r="W38" s="1782"/>
      <c r="Z38" s="690"/>
      <c r="AF38" s="1778"/>
      <c r="AG38" s="1778"/>
      <c r="AH38" s="1778"/>
      <c r="AI38" s="1778"/>
      <c r="AJ38" s="1778"/>
      <c r="AK38" s="1306">
        <v>23</v>
      </c>
    </row>
    <row s="7180" customFormat="1" customHeight="1" ht="35.699999999999996">
      <c r="A39" s="1135"/>
      <c r="C39" s="1782"/>
      <c r="D39" s="1784"/>
      <c r="E39" s="1810" t="s">
        <v>346</v>
      </c>
      <c r="F39" s="1100" t="s">
        <v>800</v>
      </c>
      <c r="G39" s="1800"/>
      <c r="H39" s="703"/>
      <c r="I39" s="703"/>
      <c r="J39" s="6612"/>
      <c r="K39" s="6612"/>
      <c r="L39" s="6612"/>
      <c r="M39" s="6612"/>
      <c r="N39" s="6612"/>
      <c r="O39" s="435"/>
      <c r="P39" s="689"/>
      <c r="Q39" s="1782"/>
      <c r="R39" s="1782"/>
      <c r="W39" s="1782"/>
      <c r="Z39" s="690"/>
      <c r="AF39" s="1778"/>
      <c r="AG39" s="1778"/>
      <c r="AH39" s="1778"/>
      <c r="AI39" s="1778"/>
      <c r="AJ39" s="1778"/>
      <c r="AK39" s="1306">
        <v>34</v>
      </c>
    </row>
    <row s="7180" customFormat="1" customHeight="1" ht="19.95">
      <c r="A40" s="1133"/>
      <c r="C40" s="1782"/>
      <c r="D40" s="721"/>
      <c r="E40" s="1810" t="s">
        <v>92</v>
      </c>
      <c r="F40" s="853" t="s">
        <v>801</v>
      </c>
      <c r="G40" s="1789" t="s">
        <v>574</v>
      </c>
      <c r="H40" s="703"/>
      <c r="I40" s="703"/>
      <c r="J40" s="6612"/>
      <c r="K40" s="6612"/>
      <c r="L40" s="6612"/>
      <c r="M40" s="6612"/>
      <c r="N40" s="6612"/>
      <c r="O40" s="435" t="s">
        <v>802</v>
      </c>
      <c r="P40" s="689"/>
      <c r="Q40" s="1782"/>
      <c r="R40" s="1782"/>
      <c r="W40" s="1782"/>
      <c r="Z40" s="690"/>
      <c r="AF40" s="1778"/>
      <c r="AG40" s="1778"/>
      <c r="AH40" s="1778"/>
      <c r="AI40" s="1778"/>
      <c r="AJ40" s="1778"/>
      <c r="AK40" s="1306">
        <v>19</v>
      </c>
    </row>
    <row s="7180" customFormat="1" customHeight="1" ht="24">
      <c r="A41" s="1133"/>
      <c r="C41" s="1782"/>
      <c r="D41" s="721"/>
      <c r="E41" s="1810" t="s">
        <v>803</v>
      </c>
      <c r="F41" s="1100" t="s">
        <v>804</v>
      </c>
      <c r="G41" s="1800" t="s">
        <v>574</v>
      </c>
      <c r="H41" s="703"/>
      <c r="I41" s="703"/>
      <c r="J41" s="6612"/>
      <c r="K41" s="6612"/>
      <c r="L41" s="6612"/>
      <c r="M41" s="6612"/>
      <c r="N41" s="6612"/>
      <c r="O41" s="435" t="s">
        <v>805</v>
      </c>
      <c r="P41" s="689"/>
      <c r="Q41" s="1782"/>
      <c r="R41" s="1782"/>
      <c r="W41" s="1782"/>
      <c r="Z41" s="690"/>
      <c r="AF41" s="1778"/>
      <c r="AG41" s="1778"/>
      <c r="AH41" s="1778"/>
      <c r="AI41" s="1778"/>
      <c r="AJ41" s="1778"/>
      <c r="AK41" s="1306">
        <v>23</v>
      </c>
    </row>
    <row s="7180" customFormat="1" customHeight="1" ht="24">
      <c r="A42" s="1133"/>
      <c r="C42" s="1782"/>
      <c r="D42" s="1784"/>
      <c r="E42" s="1810" t="s">
        <v>806</v>
      </c>
      <c r="F42" s="1796" t="s">
        <v>807</v>
      </c>
      <c r="G42" s="1789" t="s">
        <v>574</v>
      </c>
      <c r="H42" s="703"/>
      <c r="I42" s="703"/>
      <c r="J42" s="6612"/>
      <c r="K42" s="6612"/>
      <c r="L42" s="6612"/>
      <c r="M42" s="6612"/>
      <c r="N42" s="6612"/>
      <c r="O42" s="435" t="s">
        <v>808</v>
      </c>
      <c r="P42" s="689"/>
      <c r="Q42" s="1782"/>
      <c r="R42" s="1782"/>
      <c r="W42" s="1782"/>
      <c r="Z42" s="690"/>
      <c r="AF42" s="1778"/>
      <c r="AG42" s="1778"/>
      <c r="AH42" s="1778"/>
      <c r="AI42" s="1778"/>
      <c r="AJ42" s="1778"/>
      <c r="AK42" s="1306">
        <v>23</v>
      </c>
    </row>
    <row s="7180" customFormat="1" customHeight="1" ht="24">
      <c r="A43" s="1133"/>
      <c r="C43" s="1782"/>
      <c r="D43" s="1784"/>
      <c r="E43" s="1810" t="s">
        <v>809</v>
      </c>
      <c r="F43" s="1796" t="s">
        <v>810</v>
      </c>
      <c r="G43" s="1789" t="s">
        <v>574</v>
      </c>
      <c r="H43" s="703"/>
      <c r="I43" s="703"/>
      <c r="J43" s="6612"/>
      <c r="K43" s="6612"/>
      <c r="L43" s="6612"/>
      <c r="M43" s="6612"/>
      <c r="N43" s="6612"/>
      <c r="O43" s="435" t="s">
        <v>811</v>
      </c>
      <c r="P43" s="689"/>
      <c r="Q43" s="1782"/>
      <c r="R43" s="1782"/>
      <c r="W43" s="1782"/>
      <c r="Z43" s="690"/>
      <c r="AF43" s="1778"/>
      <c r="AG43" s="1778"/>
      <c r="AH43" s="1778"/>
      <c r="AI43" s="1778"/>
      <c r="AJ43" s="1778"/>
      <c r="AK43" s="1306">
        <v>23</v>
      </c>
    </row>
    <row s="7180" customFormat="1" customHeight="1" ht="24">
      <c r="A44" s="1133"/>
      <c r="C44" s="1782"/>
      <c r="D44" s="1784"/>
      <c r="E44" s="1810" t="s">
        <v>812</v>
      </c>
      <c r="F44" s="1796" t="s">
        <v>813</v>
      </c>
      <c r="G44" s="1789" t="s">
        <v>574</v>
      </c>
      <c r="H44" s="703"/>
      <c r="I44" s="703"/>
      <c r="J44" s="6612"/>
      <c r="K44" s="6612"/>
      <c r="L44" s="6612"/>
      <c r="M44" s="6612"/>
      <c r="N44" s="6612"/>
      <c r="O44" s="435" t="s">
        <v>814</v>
      </c>
      <c r="P44" s="689"/>
      <c r="Q44" s="1782"/>
      <c r="R44" s="1782"/>
      <c r="W44" s="1782"/>
      <c r="Z44" s="690"/>
      <c r="AF44" s="1778"/>
      <c r="AG44" s="1778"/>
      <c r="AH44" s="1778"/>
      <c r="AI44" s="1778"/>
      <c r="AJ44" s="1778"/>
      <c r="AK44" s="1306">
        <v>23</v>
      </c>
    </row>
    <row s="7180" customFormat="1" customHeight="1" ht="35.699999999999996">
      <c r="A45" s="1133"/>
      <c r="C45" s="1782" t="s">
        <v>616</v>
      </c>
      <c r="D45" s="1784"/>
      <c r="E45" s="1810" t="s">
        <v>122</v>
      </c>
      <c r="F45" s="853" t="s">
        <v>673</v>
      </c>
      <c r="G45" s="1792" t="s">
        <v>815</v>
      </c>
      <c r="H45" s="8030"/>
      <c r="I45" s="8030"/>
      <c r="J45" s="8030"/>
      <c r="K45" s="8030"/>
      <c r="L45" s="8030"/>
      <c r="M45" s="8030"/>
      <c r="N45" s="8030"/>
      <c r="O45" s="435" t="s">
        <v>816</v>
      </c>
      <c r="P45" s="689"/>
      <c r="Q45" s="1782"/>
      <c r="R45" s="1782"/>
      <c r="W45" s="1782"/>
      <c r="Z45" s="690"/>
      <c r="AF45" s="1778"/>
      <c r="AG45" s="1778"/>
      <c r="AH45" s="1778"/>
      <c r="AI45" s="1778"/>
      <c r="AJ45" s="1778"/>
      <c r="AK45" s="1306">
        <v>34</v>
      </c>
    </row>
    <row s="7180" customFormat="1" customHeight="1" ht="35.699999999999996">
      <c r="A46" s="1133"/>
      <c r="C46" s="1782"/>
      <c r="D46" s="1784"/>
      <c r="E46" s="1810" t="s">
        <v>93</v>
      </c>
      <c r="F46" s="853" t="s">
        <v>817</v>
      </c>
      <c r="G46" s="1789" t="s">
        <v>818</v>
      </c>
      <c r="H46" s="691"/>
      <c r="I46" s="691"/>
      <c r="J46" s="6596"/>
      <c r="K46" s="6596"/>
      <c r="L46" s="6596"/>
      <c r="M46" s="6596"/>
      <c r="N46" s="6596"/>
      <c r="O46" s="435" t="s">
        <v>819</v>
      </c>
      <c r="P46" s="689"/>
      <c r="Q46" s="1782"/>
      <c r="R46" s="1782"/>
      <c r="W46" s="1782"/>
      <c r="Z46" s="690"/>
      <c r="AF46" s="1778"/>
      <c r="AG46" s="1778"/>
      <c r="AH46" s="1778"/>
      <c r="AI46" s="1778"/>
      <c r="AJ46" s="1778"/>
      <c r="AK46" s="1306">
        <v>34</v>
      </c>
    </row>
    <row s="7180" customFormat="1" customHeight="1" ht="24">
      <c r="A47" s="1133"/>
      <c r="C47" s="1782"/>
      <c r="D47" s="1784"/>
      <c r="E47" s="1810" t="s">
        <v>94</v>
      </c>
      <c r="F47" s="853" t="s">
        <v>820</v>
      </c>
      <c r="G47" s="1800" t="s">
        <v>821</v>
      </c>
      <c r="H47" s="691"/>
      <c r="I47" s="691"/>
      <c r="J47" s="6596"/>
      <c r="K47" s="6596"/>
      <c r="L47" s="6596"/>
      <c r="M47" s="6596"/>
      <c r="N47" s="6596"/>
      <c r="O47" s="435" t="s">
        <v>822</v>
      </c>
      <c r="P47" s="689"/>
      <c r="Q47" s="1782"/>
      <c r="R47" s="1782"/>
      <c r="W47" s="1782"/>
      <c r="Z47" s="690"/>
      <c r="AF47" s="1778"/>
      <c r="AG47" s="1778"/>
      <c r="AH47" s="1778"/>
      <c r="AI47" s="1778"/>
      <c r="AJ47" s="1778"/>
      <c r="AK47" s="1306">
        <v>23</v>
      </c>
    </row>
    <row s="7180" customFormat="1" customHeight="1" ht="19.95">
      <c r="A48" s="1133"/>
      <c r="C48" s="1782"/>
      <c r="D48" s="1784"/>
      <c r="E48" s="1810" t="s">
        <v>123</v>
      </c>
      <c r="F48" s="853" t="s">
        <v>823</v>
      </c>
      <c r="G48" s="1789" t="s">
        <v>627</v>
      </c>
      <c r="H48" s="723"/>
      <c r="I48" s="723"/>
      <c r="J48" s="6635"/>
      <c r="K48" s="6635"/>
      <c r="L48" s="6635"/>
      <c r="M48" s="6635"/>
      <c r="N48" s="6635"/>
      <c r="O48" s="435"/>
      <c r="P48" s="689"/>
      <c r="Q48" s="1782"/>
      <c r="R48" s="1782"/>
      <c r="W48" s="1782"/>
      <c r="Z48" s="690"/>
      <c r="AF48" s="1778"/>
      <c r="AG48" s="1778"/>
      <c r="AH48" s="1778"/>
      <c r="AI48" s="1778"/>
      <c r="AJ48" s="1778"/>
      <c r="AK48" s="1306">
        <v>19</v>
      </c>
    </row>
    <row customHeight="1" ht="11.549999999999999">
      <c r="D49" s="1784"/>
      <c r="J49" s="7235"/>
      <c r="K49" s="7235"/>
      <c r="L49" s="7235"/>
      <c r="M49" s="7235"/>
      <c r="N49" s="7235"/>
      <c r="AK49" s="1777">
        <v>11</v>
      </c>
    </row>
    <row s="6314" customFormat="1" customHeight="1" ht="11.549999999999999">
      <c r="A50" s="1133"/>
      <c r="B50" s="1782"/>
      <c r="C50" s="1782"/>
      <c r="D50" s="497"/>
      <c r="J50" s="6314"/>
      <c r="K50" s="6314"/>
      <c r="L50" s="6314"/>
      <c r="M50" s="6314"/>
      <c r="N50" s="6314"/>
      <c r="P50" s="1306"/>
      <c r="Q50" s="1782"/>
      <c r="R50" s="1782"/>
      <c r="S50" s="1306"/>
      <c r="T50" s="1306"/>
      <c r="U50" s="1306"/>
      <c r="V50" s="1306"/>
      <c r="W50" s="1782"/>
      <c r="X50" s="1306"/>
      <c r="Y50" s="1306"/>
      <c r="Z50" s="690"/>
      <c r="AA50" s="1306"/>
      <c r="AB50" s="1306"/>
      <c r="AC50" s="1306"/>
      <c r="AD50" s="1306"/>
      <c r="AE50" s="1306"/>
      <c r="AF50" s="1778"/>
      <c r="AG50" s="712"/>
      <c r="AH50" s="712"/>
      <c r="AI50" s="712"/>
      <c r="AJ50" s="712"/>
      <c r="AK50" s="1787">
        <v>11</v>
      </c>
    </row>
    <row s="6314" customFormat="1" customHeight="1" ht="11.549999999999999">
      <c r="A51" s="1133"/>
      <c r="B51" s="1782"/>
      <c r="C51" s="1782"/>
      <c r="D51" s="497"/>
      <c r="J51" s="6314"/>
      <c r="K51" s="6314"/>
      <c r="L51" s="6314"/>
      <c r="M51" s="6314"/>
      <c r="N51" s="6314"/>
      <c r="P51" s="1306"/>
      <c r="Q51" s="1782"/>
      <c r="R51" s="1782"/>
      <c r="S51" s="1306"/>
      <c r="T51" s="1306"/>
      <c r="U51" s="1306"/>
      <c r="V51" s="1306"/>
      <c r="W51" s="1782"/>
      <c r="X51" s="1306"/>
      <c r="Y51" s="1306"/>
      <c r="Z51" s="690"/>
      <c r="AA51" s="1306"/>
      <c r="AB51" s="1306"/>
      <c r="AC51" s="1306"/>
      <c r="AD51" s="1306"/>
      <c r="AE51" s="1306"/>
      <c r="AF51" s="1778"/>
      <c r="AG51" s="712"/>
      <c r="AH51" s="712"/>
      <c r="AI51" s="712"/>
      <c r="AJ51" s="712"/>
      <c r="AK51" s="1787">
        <v>11</v>
      </c>
    </row>
    <row s="6314" customFormat="1" customHeight="1" ht="11.549999999999999">
      <c r="A52" s="1133"/>
      <c r="B52" s="1782"/>
      <c r="C52" s="1782"/>
      <c r="D52" s="497"/>
      <c r="H52" s="712"/>
      <c r="I52" s="712"/>
      <c r="J52" s="6710"/>
      <c r="K52" s="6710"/>
      <c r="L52" s="6710"/>
      <c r="M52" s="6710"/>
      <c r="N52" s="6710"/>
      <c r="P52" s="1306"/>
      <c r="Q52" s="1782"/>
      <c r="R52" s="1782"/>
      <c r="S52" s="1306"/>
      <c r="T52" s="1306"/>
      <c r="U52" s="1306"/>
      <c r="V52" s="1306"/>
      <c r="W52" s="1782"/>
      <c r="X52" s="1306"/>
      <c r="Y52" s="1306"/>
      <c r="Z52" s="690"/>
      <c r="AA52" s="1306"/>
      <c r="AB52" s="1306"/>
      <c r="AC52" s="1306"/>
      <c r="AD52" s="1306"/>
      <c r="AE52" s="1306"/>
      <c r="AF52" s="1778"/>
      <c r="AG52" s="712"/>
      <c r="AH52" s="712"/>
      <c r="AI52" s="712"/>
      <c r="AJ52" s="712"/>
      <c r="AK52" s="1787">
        <v>11</v>
      </c>
    </row>
    <row s="6314" customFormat="1" customHeight="1" ht="11.549999999999999">
      <c r="A53" s="1133"/>
      <c r="B53" s="1782"/>
      <c r="C53" s="1782"/>
      <c r="D53" s="497"/>
      <c r="J53" s="6314"/>
      <c r="K53" s="6314"/>
      <c r="L53" s="6314"/>
      <c r="M53" s="6314"/>
      <c r="N53" s="6314"/>
      <c r="P53" s="1306"/>
      <c r="Q53" s="1782"/>
      <c r="R53" s="1782"/>
      <c r="S53" s="1306"/>
      <c r="T53" s="1306"/>
      <c r="U53" s="1306"/>
      <c r="V53" s="1306"/>
      <c r="W53" s="1782"/>
      <c r="X53" s="1306"/>
      <c r="Y53" s="1306"/>
      <c r="Z53" s="690"/>
      <c r="AA53" s="1306"/>
      <c r="AB53" s="1306"/>
      <c r="AC53" s="1306"/>
      <c r="AD53" s="1306"/>
      <c r="AE53" s="1306"/>
      <c r="AF53" s="1778"/>
      <c r="AG53" s="712"/>
      <c r="AH53" s="712"/>
      <c r="AI53" s="712"/>
      <c r="AJ53" s="712"/>
      <c r="AK53" s="1787">
        <v>11</v>
      </c>
    </row>
    <row s="6314" customFormat="1" customHeight="1" ht="11.549999999999999">
      <c r="A54" s="1133"/>
      <c r="B54" s="1782"/>
      <c r="C54" s="1782"/>
      <c r="D54" s="497"/>
      <c r="J54" s="6314"/>
      <c r="K54" s="6314"/>
      <c r="L54" s="6314"/>
      <c r="M54" s="6314"/>
      <c r="N54" s="6314"/>
      <c r="P54" s="1306"/>
      <c r="Q54" s="1782"/>
      <c r="R54" s="1782"/>
      <c r="S54" s="1306"/>
      <c r="T54" s="1306"/>
      <c r="U54" s="1306"/>
      <c r="V54" s="1306"/>
      <c r="W54" s="1782"/>
      <c r="X54" s="1306"/>
      <c r="Y54" s="1306"/>
      <c r="Z54" s="690"/>
      <c r="AA54" s="1306"/>
      <c r="AB54" s="1306"/>
      <c r="AC54" s="1306"/>
      <c r="AD54" s="1306"/>
      <c r="AE54" s="1306"/>
      <c r="AF54" s="1778"/>
      <c r="AG54" s="712"/>
      <c r="AH54" s="712"/>
      <c r="AI54" s="712"/>
      <c r="AJ54" s="712"/>
      <c r="AK54" s="1787">
        <v>11</v>
      </c>
    </row>
    <row s="6314" customFormat="1" customHeight="1" ht="11.549999999999999">
      <c r="A55" s="1133"/>
      <c r="B55" s="1782"/>
      <c r="C55" s="1782"/>
      <c r="D55" s="497"/>
      <c r="J55" s="6314"/>
      <c r="K55" s="6314"/>
      <c r="L55" s="6314"/>
      <c r="M55" s="6314"/>
      <c r="N55" s="6314"/>
      <c r="P55" s="1306"/>
      <c r="Q55" s="1782"/>
      <c r="R55" s="1782"/>
      <c r="S55" s="1306"/>
      <c r="T55" s="1306"/>
      <c r="U55" s="1306"/>
      <c r="V55" s="1306"/>
      <c r="W55" s="1782"/>
      <c r="X55" s="1306"/>
      <c r="Y55" s="1306"/>
      <c r="Z55" s="690"/>
      <c r="AA55" s="1306"/>
      <c r="AB55" s="1306"/>
      <c r="AC55" s="1306"/>
      <c r="AD55" s="1306"/>
      <c r="AE55" s="1306"/>
      <c r="AF55" s="1778"/>
      <c r="AG55" s="712"/>
      <c r="AH55" s="712"/>
      <c r="AI55" s="712"/>
      <c r="AJ55" s="712"/>
      <c r="AK55" s="1787">
        <v>11</v>
      </c>
    </row>
    <row s="6314" customFormat="1" customHeight="1" ht="11.549999999999999">
      <c r="A56" s="1133"/>
      <c r="B56" s="1782"/>
      <c r="C56" s="1782"/>
      <c r="D56" s="497"/>
      <c r="J56" s="6314"/>
      <c r="K56" s="6314"/>
      <c r="L56" s="6314"/>
      <c r="M56" s="6314"/>
      <c r="N56" s="6314"/>
      <c r="P56" s="1306"/>
      <c r="Q56" s="1782"/>
      <c r="R56" s="1782"/>
      <c r="S56" s="1306"/>
      <c r="T56" s="1306"/>
      <c r="U56" s="1306"/>
      <c r="V56" s="1306"/>
      <c r="W56" s="1782"/>
      <c r="X56" s="1306"/>
      <c r="Y56" s="1306"/>
      <c r="Z56" s="690"/>
      <c r="AA56" s="1306"/>
      <c r="AB56" s="1306"/>
      <c r="AC56" s="1306"/>
      <c r="AD56" s="1306"/>
      <c r="AE56" s="1306"/>
      <c r="AF56" s="1778"/>
      <c r="AG56" s="712"/>
      <c r="AH56" s="712"/>
      <c r="AI56" s="712"/>
      <c r="AJ56" s="712"/>
      <c r="AK56" s="1787">
        <v>11</v>
      </c>
    </row>
    <row s="6314" customFormat="1" customHeight="1" ht="11.549999999999999">
      <c r="A57" s="1133"/>
      <c r="B57" s="1782"/>
      <c r="C57" s="1782"/>
      <c r="D57" s="497"/>
      <c r="J57" s="6314"/>
      <c r="K57" s="6314"/>
      <c r="L57" s="6314"/>
      <c r="M57" s="6314"/>
      <c r="N57" s="6314"/>
      <c r="P57" s="1306"/>
      <c r="Q57" s="1782"/>
      <c r="R57" s="1782"/>
      <c r="S57" s="1306"/>
      <c r="T57" s="1306"/>
      <c r="U57" s="1306"/>
      <c r="V57" s="1306"/>
      <c r="W57" s="1782"/>
      <c r="X57" s="1306"/>
      <c r="Y57" s="1306"/>
      <c r="Z57" s="690"/>
      <c r="AA57" s="1306"/>
      <c r="AB57" s="1306"/>
      <c r="AC57" s="1306"/>
      <c r="AD57" s="1306"/>
      <c r="AE57" s="1306"/>
      <c r="AF57" s="1778"/>
      <c r="AG57" s="712"/>
      <c r="AH57" s="712"/>
      <c r="AI57" s="712"/>
      <c r="AJ57" s="712"/>
      <c r="AK57" s="1787">
        <v>11</v>
      </c>
    </row>
    <row s="6314" customFormat="1" customHeight="1" ht="11.549999999999999">
      <c r="A58" s="1133"/>
      <c r="B58" s="1782"/>
      <c r="C58" s="1782"/>
      <c r="D58" s="497"/>
      <c r="J58" s="6314"/>
      <c r="K58" s="6314"/>
      <c r="L58" s="6314"/>
      <c r="M58" s="6314"/>
      <c r="N58" s="6314"/>
      <c r="P58" s="1306"/>
      <c r="Q58" s="1782"/>
      <c r="R58" s="1782"/>
      <c r="S58" s="1306"/>
      <c r="T58" s="1306"/>
      <c r="U58" s="1306"/>
      <c r="V58" s="1306"/>
      <c r="W58" s="1782"/>
      <c r="X58" s="1306"/>
      <c r="Y58" s="1306"/>
      <c r="Z58" s="690"/>
      <c r="AA58" s="1306"/>
      <c r="AB58" s="1306"/>
      <c r="AC58" s="1306"/>
      <c r="AD58" s="1306"/>
      <c r="AE58" s="1306"/>
      <c r="AF58" s="1778"/>
      <c r="AG58" s="712"/>
      <c r="AH58" s="712"/>
      <c r="AI58" s="712"/>
      <c r="AJ58" s="712"/>
      <c r="AK58" s="1787">
        <v>11</v>
      </c>
    </row>
    <row s="6314" customFormat="1" customHeight="1" ht="11.549999999999999">
      <c r="A59" s="1133"/>
      <c r="B59" s="1782"/>
      <c r="C59" s="1782"/>
      <c r="D59" s="497"/>
      <c r="J59" s="6314"/>
      <c r="K59" s="6314"/>
      <c r="L59" s="6314"/>
      <c r="M59" s="6314"/>
      <c r="N59" s="6314"/>
      <c r="P59" s="1306"/>
      <c r="Q59" s="1782"/>
      <c r="R59" s="1782"/>
      <c r="S59" s="1306"/>
      <c r="T59" s="1306"/>
      <c r="U59" s="1306"/>
      <c r="V59" s="1306"/>
      <c r="W59" s="1782"/>
      <c r="X59" s="1306"/>
      <c r="Y59" s="1306"/>
      <c r="Z59" s="690"/>
      <c r="AA59" s="1306"/>
      <c r="AB59" s="1306"/>
      <c r="AC59" s="1306"/>
      <c r="AD59" s="1306"/>
      <c r="AE59" s="1306"/>
      <c r="AF59" s="1778"/>
      <c r="AG59" s="712"/>
      <c r="AH59" s="712"/>
      <c r="AI59" s="712"/>
      <c r="AJ59" s="712"/>
      <c r="AK59" s="1787">
        <v>11</v>
      </c>
    </row>
    <row s="6314" customFormat="1" customHeight="1" ht="11.549999999999999">
      <c r="A60" s="1133"/>
      <c r="B60" s="1782"/>
      <c r="C60" s="1782"/>
      <c r="D60" s="497"/>
      <c r="J60" s="6314"/>
      <c r="K60" s="6314"/>
      <c r="L60" s="6314"/>
      <c r="M60" s="6314"/>
      <c r="N60" s="6314"/>
      <c r="P60" s="1306"/>
      <c r="Q60" s="1782"/>
      <c r="R60" s="1782"/>
      <c r="S60" s="1306"/>
      <c r="T60" s="1306"/>
      <c r="U60" s="1306"/>
      <c r="V60" s="1306"/>
      <c r="W60" s="1782"/>
      <c r="X60" s="1306"/>
      <c r="Y60" s="1306"/>
      <c r="Z60" s="690"/>
      <c r="AA60" s="1306"/>
      <c r="AB60" s="1306"/>
      <c r="AC60" s="1306"/>
      <c r="AD60" s="1306"/>
      <c r="AE60" s="1306"/>
      <c r="AF60" s="1778"/>
      <c r="AG60" s="712"/>
      <c r="AH60" s="712"/>
      <c r="AI60" s="712"/>
      <c r="AJ60" s="712"/>
      <c r="AK60" s="1787">
        <v>11</v>
      </c>
    </row>
    <row s="6314" customFormat="1" customHeight="1" ht="11.549999999999999">
      <c r="A61" s="1133"/>
      <c r="B61" s="1782"/>
      <c r="C61" s="1782"/>
      <c r="D61" s="497"/>
      <c r="J61" s="6314"/>
      <c r="K61" s="6314"/>
      <c r="L61" s="6314"/>
      <c r="M61" s="6314"/>
      <c r="N61" s="6314"/>
      <c r="P61" s="1306"/>
      <c r="Q61" s="1782"/>
      <c r="R61" s="1782"/>
      <c r="S61" s="1306"/>
      <c r="T61" s="1306"/>
      <c r="U61" s="1306"/>
      <c r="V61" s="1306"/>
      <c r="W61" s="1782"/>
      <c r="X61" s="1306"/>
      <c r="Y61" s="1306"/>
      <c r="Z61" s="690"/>
      <c r="AA61" s="1306"/>
      <c r="AB61" s="1306"/>
      <c r="AC61" s="1306"/>
      <c r="AD61" s="1306"/>
      <c r="AE61" s="1306"/>
      <c r="AF61" s="1778"/>
      <c r="AG61" s="712"/>
      <c r="AH61" s="712"/>
      <c r="AI61" s="712"/>
      <c r="AJ61" s="712"/>
      <c r="AK61" s="1787">
        <v>11</v>
      </c>
    </row>
    <row s="6314" customFormat="1" customHeight="1" ht="11.549999999999999">
      <c r="A62" s="1133"/>
      <c r="B62" s="1782"/>
      <c r="C62" s="1782"/>
      <c r="D62" s="497"/>
      <c r="J62" s="6314"/>
      <c r="K62" s="6314"/>
      <c r="L62" s="6314"/>
      <c r="M62" s="6314"/>
      <c r="N62" s="6314"/>
      <c r="P62" s="1306"/>
      <c r="Q62" s="1782"/>
      <c r="R62" s="1782"/>
      <c r="S62" s="1306"/>
      <c r="T62" s="1306"/>
      <c r="U62" s="1306"/>
      <c r="V62" s="1306"/>
      <c r="W62" s="1782"/>
      <c r="X62" s="1306"/>
      <c r="Y62" s="1306"/>
      <c r="Z62" s="690"/>
      <c r="AA62" s="1306"/>
      <c r="AB62" s="1306"/>
      <c r="AC62" s="1306"/>
      <c r="AD62" s="1306"/>
      <c r="AE62" s="1306"/>
      <c r="AF62" s="1778"/>
      <c r="AG62" s="712"/>
      <c r="AH62" s="712"/>
      <c r="AI62" s="712"/>
      <c r="AJ62" s="712"/>
      <c r="AK62" s="1787">
        <v>11</v>
      </c>
    </row>
    <row s="6314" customFormat="1" customHeight="1" ht="11.549999999999999">
      <c r="A63" s="1133"/>
      <c r="B63" s="1782"/>
      <c r="C63" s="1782"/>
      <c r="D63" s="497"/>
      <c r="J63" s="6314"/>
      <c r="K63" s="6314"/>
      <c r="L63" s="6314"/>
      <c r="M63" s="6314"/>
      <c r="N63" s="6314"/>
      <c r="P63" s="1306"/>
      <c r="Q63" s="1782"/>
      <c r="R63" s="1782"/>
      <c r="S63" s="1306"/>
      <c r="T63" s="1306"/>
      <c r="U63" s="1306"/>
      <c r="V63" s="1306"/>
      <c r="W63" s="1782"/>
      <c r="X63" s="1306"/>
      <c r="Y63" s="1306"/>
      <c r="Z63" s="690"/>
      <c r="AA63" s="1306"/>
      <c r="AB63" s="1306"/>
      <c r="AC63" s="1306"/>
      <c r="AD63" s="1306"/>
      <c r="AE63" s="1306"/>
      <c r="AF63" s="1778"/>
      <c r="AG63" s="712"/>
      <c r="AH63" s="712"/>
      <c r="AI63" s="712"/>
      <c r="AJ63" s="712"/>
      <c r="AK63" s="1787">
        <v>11</v>
      </c>
    </row>
    <row s="6314" customFormat="1" customHeight="1" ht="11.549999999999999">
      <c r="A64" s="1133"/>
      <c r="B64" s="1782"/>
      <c r="C64" s="1782"/>
      <c r="D64" s="497"/>
      <c r="J64" s="6314"/>
      <c r="K64" s="6314"/>
      <c r="L64" s="6314"/>
      <c r="M64" s="6314"/>
      <c r="N64" s="6314"/>
      <c r="P64" s="1306"/>
      <c r="Q64" s="1782"/>
      <c r="R64" s="1782"/>
      <c r="S64" s="1306"/>
      <c r="T64" s="1306"/>
      <c r="U64" s="1306"/>
      <c r="V64" s="1306"/>
      <c r="W64" s="1782"/>
      <c r="X64" s="1306"/>
      <c r="Y64" s="1306"/>
      <c r="Z64" s="690"/>
      <c r="AA64" s="1306"/>
      <c r="AB64" s="1306"/>
      <c r="AC64" s="1306"/>
      <c r="AD64" s="1306"/>
      <c r="AE64" s="1306"/>
      <c r="AF64" s="1778"/>
      <c r="AG64" s="712"/>
      <c r="AH64" s="712"/>
      <c r="AI64" s="712"/>
      <c r="AJ64" s="712"/>
      <c r="AK64" s="1787">
        <v>11</v>
      </c>
    </row>
    <row s="6314" customFormat="1" customHeight="1" ht="11.549999999999999">
      <c r="A65" s="1133"/>
      <c r="B65" s="1782"/>
      <c r="C65" s="1782"/>
      <c r="D65" s="497"/>
      <c r="J65" s="6314"/>
      <c r="K65" s="6314"/>
      <c r="L65" s="6314"/>
      <c r="M65" s="6314"/>
      <c r="N65" s="6314"/>
      <c r="P65" s="1306"/>
      <c r="Q65" s="1782"/>
      <c r="R65" s="1782"/>
      <c r="S65" s="1306"/>
      <c r="T65" s="1306"/>
      <c r="U65" s="1306"/>
      <c r="V65" s="1306"/>
      <c r="W65" s="1782"/>
      <c r="X65" s="1306"/>
      <c r="Y65" s="1306"/>
      <c r="Z65" s="690"/>
      <c r="AA65" s="1306"/>
      <c r="AB65" s="1306"/>
      <c r="AC65" s="1306"/>
      <c r="AD65" s="1306"/>
      <c r="AE65" s="1306"/>
      <c r="AF65" s="1778"/>
      <c r="AG65" s="712"/>
      <c r="AH65" s="712"/>
      <c r="AI65" s="712"/>
      <c r="AJ65" s="712"/>
      <c r="AK65" s="1787">
        <v>11</v>
      </c>
    </row>
    <row s="6314" customFormat="1" customHeight="1" ht="11.549999999999999">
      <c r="A66" s="1133"/>
      <c r="B66" s="1782"/>
      <c r="C66" s="1782"/>
      <c r="D66" s="497"/>
      <c r="J66" s="6314"/>
      <c r="K66" s="6314"/>
      <c r="L66" s="6314"/>
      <c r="M66" s="6314"/>
      <c r="N66" s="6314"/>
      <c r="P66" s="1306"/>
      <c r="Q66" s="1782"/>
      <c r="R66" s="1782"/>
      <c r="S66" s="1306"/>
      <c r="T66" s="1306"/>
      <c r="U66" s="1306"/>
      <c r="V66" s="1306"/>
      <c r="W66" s="1782"/>
      <c r="X66" s="1306"/>
      <c r="Y66" s="1306"/>
      <c r="Z66" s="690"/>
      <c r="AA66" s="1306"/>
      <c r="AB66" s="1306"/>
      <c r="AC66" s="1306"/>
      <c r="AD66" s="1306"/>
      <c r="AE66" s="1306"/>
      <c r="AF66" s="1778"/>
      <c r="AG66" s="712"/>
      <c r="AH66" s="712"/>
      <c r="AI66" s="712"/>
      <c r="AJ66" s="712"/>
      <c r="AK66" s="1787">
        <v>11</v>
      </c>
    </row>
    <row s="6314" customFormat="1" customHeight="1" ht="11.549999999999999">
      <c r="A67" s="1133"/>
      <c r="B67" s="1782"/>
      <c r="C67" s="1782"/>
      <c r="D67" s="497"/>
      <c r="J67" s="6314"/>
      <c r="K67" s="6314"/>
      <c r="L67" s="6314"/>
      <c r="M67" s="6314"/>
      <c r="N67" s="6314"/>
      <c r="P67" s="1306"/>
      <c r="Q67" s="1782"/>
      <c r="R67" s="1782"/>
      <c r="S67" s="1306"/>
      <c r="T67" s="1306"/>
      <c r="U67" s="1306"/>
      <c r="V67" s="1306"/>
      <c r="W67" s="1782"/>
      <c r="X67" s="1306"/>
      <c r="Y67" s="1306"/>
      <c r="Z67" s="690"/>
      <c r="AA67" s="1306"/>
      <c r="AB67" s="1306"/>
      <c r="AC67" s="1306"/>
      <c r="AD67" s="1306"/>
      <c r="AE67" s="1306"/>
      <c r="AF67" s="1778"/>
      <c r="AG67" s="712"/>
      <c r="AH67" s="712"/>
      <c r="AI67" s="712"/>
      <c r="AJ67" s="712"/>
      <c r="AK67" s="1787">
        <v>11</v>
      </c>
    </row>
    <row s="6314" customFormat="1" customHeight="1" ht="11.549999999999999">
      <c r="A68" s="1133"/>
      <c r="B68" s="1782"/>
      <c r="C68" s="1782"/>
      <c r="D68" s="497"/>
      <c r="J68" s="6314"/>
      <c r="K68" s="6314"/>
      <c r="L68" s="6314"/>
      <c r="M68" s="6314"/>
      <c r="N68" s="6314"/>
      <c r="P68" s="1306"/>
      <c r="Q68" s="1782"/>
      <c r="R68" s="1782"/>
      <c r="S68" s="1306"/>
      <c r="T68" s="1306"/>
      <c r="U68" s="1306"/>
      <c r="V68" s="1306"/>
      <c r="W68" s="1782"/>
      <c r="X68" s="1306"/>
      <c r="Y68" s="1306"/>
      <c r="Z68" s="690"/>
      <c r="AA68" s="1306"/>
      <c r="AB68" s="1306"/>
      <c r="AC68" s="1306"/>
      <c r="AD68" s="1306"/>
      <c r="AE68" s="1306"/>
      <c r="AF68" s="1778"/>
      <c r="AG68" s="712"/>
      <c r="AH68" s="712"/>
      <c r="AI68" s="712"/>
      <c r="AJ68" s="712"/>
      <c r="AK68" s="1787">
        <v>11</v>
      </c>
    </row>
    <row s="6314" customFormat="1" customHeight="1" ht="11.549999999999999">
      <c r="A69" s="1133"/>
      <c r="B69" s="1782"/>
      <c r="C69" s="1782"/>
      <c r="D69" s="497"/>
      <c r="J69" s="6314"/>
      <c r="K69" s="6314"/>
      <c r="L69" s="6314"/>
      <c r="M69" s="6314"/>
      <c r="N69" s="6314"/>
      <c r="P69" s="1306"/>
      <c r="Q69" s="1782"/>
      <c r="R69" s="1782"/>
      <c r="S69" s="1306"/>
      <c r="T69" s="1306"/>
      <c r="U69" s="1306"/>
      <c r="V69" s="1306"/>
      <c r="W69" s="1782"/>
      <c r="X69" s="1306"/>
      <c r="Y69" s="1306"/>
      <c r="Z69" s="690"/>
      <c r="AA69" s="1306"/>
      <c r="AB69" s="1306"/>
      <c r="AC69" s="1306"/>
      <c r="AD69" s="1306"/>
      <c r="AE69" s="1306"/>
      <c r="AF69" s="1778"/>
      <c r="AG69" s="712"/>
      <c r="AH69" s="712"/>
      <c r="AI69" s="712"/>
      <c r="AJ69" s="712"/>
      <c r="AK69" s="1787">
        <v>11</v>
      </c>
    </row>
    <row s="6314" customFormat="1" customHeight="1" ht="11.549999999999999">
      <c r="A70" s="1133"/>
      <c r="B70" s="1782"/>
      <c r="C70" s="1782"/>
      <c r="D70" s="497"/>
      <c r="J70" s="6314"/>
      <c r="K70" s="6314"/>
      <c r="L70" s="6314"/>
      <c r="M70" s="6314"/>
      <c r="N70" s="6314"/>
      <c r="P70" s="1306"/>
      <c r="Q70" s="1782"/>
      <c r="R70" s="1782"/>
      <c r="S70" s="1306"/>
      <c r="T70" s="1306"/>
      <c r="U70" s="1306"/>
      <c r="V70" s="1306"/>
      <c r="W70" s="1782"/>
      <c r="X70" s="1306"/>
      <c r="Y70" s="1306"/>
      <c r="Z70" s="690"/>
      <c r="AA70" s="1306"/>
      <c r="AB70" s="1306"/>
      <c r="AC70" s="1306"/>
      <c r="AD70" s="1306"/>
      <c r="AE70" s="1306"/>
      <c r="AF70" s="1778"/>
      <c r="AG70" s="712"/>
      <c r="AH70" s="712"/>
      <c r="AI70" s="712"/>
      <c r="AJ70" s="712"/>
      <c r="AK70" s="1787">
        <v>11</v>
      </c>
    </row>
    <row s="6314" customFormat="1" customHeight="1" ht="11.549999999999999">
      <c r="A71" s="1133"/>
      <c r="B71" s="1782"/>
      <c r="C71" s="1782"/>
      <c r="D71" s="497"/>
      <c r="J71" s="6314"/>
      <c r="K71" s="6314"/>
      <c r="L71" s="6314"/>
      <c r="M71" s="6314"/>
      <c r="N71" s="6314"/>
      <c r="P71" s="1306"/>
      <c r="Q71" s="1782"/>
      <c r="R71" s="1782"/>
      <c r="S71" s="1306"/>
      <c r="T71" s="1306"/>
      <c r="U71" s="1306"/>
      <c r="V71" s="1306"/>
      <c r="W71" s="1782"/>
      <c r="X71" s="1306"/>
      <c r="Y71" s="1306"/>
      <c r="Z71" s="690"/>
      <c r="AA71" s="1306"/>
      <c r="AB71" s="1306"/>
      <c r="AC71" s="1306"/>
      <c r="AD71" s="1306"/>
      <c r="AE71" s="1306"/>
      <c r="AF71" s="1778"/>
      <c r="AG71" s="712"/>
      <c r="AH71" s="712"/>
      <c r="AI71" s="712"/>
      <c r="AJ71" s="712"/>
      <c r="AK71" s="1787">
        <v>11</v>
      </c>
    </row>
    <row s="6314" customFormat="1" customHeight="1" ht="11.549999999999999">
      <c r="A72" s="1133"/>
      <c r="B72" s="1782"/>
      <c r="C72" s="1782"/>
      <c r="D72" s="497"/>
      <c r="J72" s="6314"/>
      <c r="K72" s="6314"/>
      <c r="L72" s="6314"/>
      <c r="M72" s="6314"/>
      <c r="N72" s="6314"/>
      <c r="P72" s="1306"/>
      <c r="Q72" s="1782"/>
      <c r="R72" s="1782"/>
      <c r="S72" s="1306"/>
      <c r="T72" s="1306"/>
      <c r="U72" s="1306"/>
      <c r="V72" s="1306"/>
      <c r="W72" s="1782"/>
      <c r="X72" s="1306"/>
      <c r="Y72" s="1306"/>
      <c r="Z72" s="690"/>
      <c r="AA72" s="1306"/>
      <c r="AB72" s="1306"/>
      <c r="AC72" s="1306"/>
      <c r="AD72" s="1306"/>
      <c r="AE72" s="1306"/>
      <c r="AF72" s="1778"/>
      <c r="AG72" s="712"/>
      <c r="AH72" s="712"/>
      <c r="AI72" s="712"/>
      <c r="AJ72" s="712"/>
      <c r="AK72" s="1787">
        <v>11</v>
      </c>
    </row>
    <row s="6314" customFormat="1" customHeight="1" ht="11.549999999999999">
      <c r="A73" s="1133"/>
      <c r="B73" s="1782"/>
      <c r="C73" s="1782"/>
      <c r="D73" s="497"/>
      <c r="J73" s="6314"/>
      <c r="K73" s="6314"/>
      <c r="L73" s="6314"/>
      <c r="M73" s="6314"/>
      <c r="N73" s="6314"/>
      <c r="P73" s="1306"/>
      <c r="Q73" s="1782"/>
      <c r="R73" s="1782"/>
      <c r="S73" s="1306"/>
      <c r="T73" s="1306"/>
      <c r="U73" s="1306"/>
      <c r="V73" s="1306"/>
      <c r="W73" s="1782"/>
      <c r="X73" s="1306"/>
      <c r="Y73" s="1306"/>
      <c r="Z73" s="690"/>
      <c r="AA73" s="1306"/>
      <c r="AB73" s="1306"/>
      <c r="AC73" s="1306"/>
      <c r="AD73" s="1306"/>
      <c r="AE73" s="1306"/>
      <c r="AF73" s="1778"/>
      <c r="AG73" s="712"/>
      <c r="AH73" s="712"/>
      <c r="AI73" s="712"/>
      <c r="AJ73" s="712"/>
      <c r="AK73" s="1787">
        <v>11</v>
      </c>
    </row>
    <row s="6314" customFormat="1" customHeight="1" ht="11.549999999999999">
      <c r="A74" s="1133"/>
      <c r="B74" s="1782"/>
      <c r="C74" s="1782"/>
      <c r="D74" s="497"/>
      <c r="J74" s="6314"/>
      <c r="K74" s="6314"/>
      <c r="L74" s="6314"/>
      <c r="M74" s="6314"/>
      <c r="N74" s="6314"/>
      <c r="P74" s="1306"/>
      <c r="Q74" s="1782"/>
      <c r="R74" s="1782"/>
      <c r="S74" s="1306"/>
      <c r="T74" s="1306"/>
      <c r="U74" s="1306"/>
      <c r="V74" s="1306"/>
      <c r="W74" s="1782"/>
      <c r="X74" s="1306"/>
      <c r="Y74" s="1306"/>
      <c r="Z74" s="690"/>
      <c r="AA74" s="1306"/>
      <c r="AB74" s="1306"/>
      <c r="AC74" s="1306"/>
      <c r="AD74" s="1306"/>
      <c r="AE74" s="1306"/>
      <c r="AF74" s="1778"/>
      <c r="AG74" s="712"/>
      <c r="AH74" s="712"/>
      <c r="AI74" s="712"/>
      <c r="AJ74" s="712"/>
      <c r="AK74" s="1787">
        <v>11</v>
      </c>
    </row>
    <row s="6314" customFormat="1" customHeight="1" ht="11.549999999999999">
      <c r="A75" s="1133"/>
      <c r="B75" s="1782"/>
      <c r="C75" s="1782"/>
      <c r="D75" s="497"/>
      <c r="J75" s="6314"/>
      <c r="K75" s="6314"/>
      <c r="L75" s="6314"/>
      <c r="M75" s="6314"/>
      <c r="N75" s="6314"/>
      <c r="P75" s="1306"/>
      <c r="Q75" s="1782"/>
      <c r="R75" s="1782"/>
      <c r="S75" s="1306"/>
      <c r="T75" s="1306"/>
      <c r="U75" s="1306"/>
      <c r="V75" s="1306"/>
      <c r="W75" s="1782"/>
      <c r="X75" s="1306"/>
      <c r="Y75" s="1306"/>
      <c r="Z75" s="690"/>
      <c r="AA75" s="1306"/>
      <c r="AB75" s="1306"/>
      <c r="AC75" s="1306"/>
      <c r="AD75" s="1306"/>
      <c r="AE75" s="1306"/>
      <c r="AF75" s="1778"/>
      <c r="AG75" s="712"/>
      <c r="AH75" s="712"/>
      <c r="AI75" s="712"/>
      <c r="AJ75" s="712"/>
      <c r="AK75" s="1787">
        <v>11</v>
      </c>
    </row>
    <row s="6314" customFormat="1" customHeight="1" ht="11.549999999999999">
      <c r="A76" s="1133"/>
      <c r="B76" s="1782"/>
      <c r="C76" s="1782"/>
      <c r="D76" s="497"/>
      <c r="J76" s="6314"/>
      <c r="K76" s="6314"/>
      <c r="L76" s="6314"/>
      <c r="M76" s="6314"/>
      <c r="N76" s="6314"/>
      <c r="P76" s="1306"/>
      <c r="Q76" s="1782"/>
      <c r="R76" s="1782"/>
      <c r="S76" s="1306"/>
      <c r="T76" s="1306"/>
      <c r="U76" s="1306"/>
      <c r="V76" s="1306"/>
      <c r="W76" s="1782"/>
      <c r="X76" s="1306"/>
      <c r="Y76" s="1306"/>
      <c r="Z76" s="690"/>
      <c r="AA76" s="1306"/>
      <c r="AB76" s="1306"/>
      <c r="AC76" s="1306"/>
      <c r="AD76" s="1306"/>
      <c r="AE76" s="1306"/>
      <c r="AF76" s="1778"/>
      <c r="AG76" s="712"/>
      <c r="AH76" s="712"/>
      <c r="AI76" s="712"/>
      <c r="AJ76" s="712"/>
      <c r="AK76" s="1787">
        <v>11</v>
      </c>
    </row>
    <row s="6314" customFormat="1" customHeight="1" ht="11.549999999999999">
      <c r="A77" s="1133"/>
      <c r="B77" s="1782"/>
      <c r="C77" s="1782"/>
      <c r="D77" s="497"/>
      <c r="J77" s="6314"/>
      <c r="K77" s="6314"/>
      <c r="L77" s="6314"/>
      <c r="M77" s="6314"/>
      <c r="N77" s="6314"/>
      <c r="P77" s="1306"/>
      <c r="Q77" s="1782"/>
      <c r="R77" s="1782"/>
      <c r="S77" s="1306"/>
      <c r="T77" s="1306"/>
      <c r="U77" s="1306"/>
      <c r="V77" s="1306"/>
      <c r="W77" s="1782"/>
      <c r="X77" s="1306"/>
      <c r="Y77" s="1306"/>
      <c r="Z77" s="690"/>
      <c r="AA77" s="1306"/>
      <c r="AB77" s="1306"/>
      <c r="AC77" s="1306"/>
      <c r="AD77" s="1306"/>
      <c r="AE77" s="1306"/>
      <c r="AF77" s="1778"/>
      <c r="AG77" s="712"/>
      <c r="AH77" s="712"/>
      <c r="AI77" s="712"/>
      <c r="AJ77" s="712"/>
      <c r="AK77" s="1787">
        <v>11</v>
      </c>
    </row>
    <row s="6314" customFormat="1" customHeight="1" ht="11.549999999999999">
      <c r="A78" s="1133"/>
      <c r="B78" s="1782"/>
      <c r="C78" s="1782"/>
      <c r="D78" s="497"/>
      <c r="J78" s="6314"/>
      <c r="K78" s="6314"/>
      <c r="L78" s="6314"/>
      <c r="M78" s="6314"/>
      <c r="N78" s="6314"/>
      <c r="P78" s="1306"/>
      <c r="Q78" s="1782"/>
      <c r="R78" s="1782"/>
      <c r="S78" s="1306"/>
      <c r="T78" s="1306"/>
      <c r="U78" s="1306"/>
      <c r="V78" s="1306"/>
      <c r="W78" s="1782"/>
      <c r="X78" s="1306"/>
      <c r="Y78" s="1306"/>
      <c r="Z78" s="690"/>
      <c r="AA78" s="1306"/>
      <c r="AB78" s="1306"/>
      <c r="AC78" s="1306"/>
      <c r="AD78" s="1306"/>
      <c r="AE78" s="1306"/>
      <c r="AF78" s="1778"/>
      <c r="AG78" s="712"/>
      <c r="AH78" s="712"/>
      <c r="AI78" s="712"/>
      <c r="AJ78" s="712"/>
      <c r="AK78" s="1787">
        <v>11</v>
      </c>
    </row>
    <row s="6314" customFormat="1" customHeight="1" ht="11.549999999999999">
      <c r="A79" s="1133"/>
      <c r="B79" s="1782"/>
      <c r="C79" s="1782"/>
      <c r="D79" s="497"/>
      <c r="J79" s="6314"/>
      <c r="K79" s="6314"/>
      <c r="L79" s="6314"/>
      <c r="M79" s="6314"/>
      <c r="N79" s="6314"/>
      <c r="P79" s="1306"/>
      <c r="Q79" s="1782"/>
      <c r="R79" s="1782"/>
      <c r="S79" s="1306"/>
      <c r="T79" s="1306"/>
      <c r="U79" s="1306"/>
      <c r="V79" s="1306"/>
      <c r="W79" s="1782"/>
      <c r="X79" s="1306"/>
      <c r="Y79" s="1306"/>
      <c r="Z79" s="690"/>
      <c r="AA79" s="1306"/>
      <c r="AB79" s="1306"/>
      <c r="AC79" s="1306"/>
      <c r="AD79" s="1306"/>
      <c r="AE79" s="1306"/>
      <c r="AF79" s="1778"/>
      <c r="AG79" s="712"/>
      <c r="AH79" s="712"/>
      <c r="AI79" s="712"/>
      <c r="AJ79" s="712"/>
      <c r="AK79" s="1787">
        <v>11</v>
      </c>
    </row>
    <row s="6314" customFormat="1" customHeight="1" ht="11.549999999999999">
      <c r="A80" s="1133"/>
      <c r="B80" s="1782"/>
      <c r="C80" s="1782"/>
      <c r="D80" s="497"/>
      <c r="J80" s="6314"/>
      <c r="K80" s="6314"/>
      <c r="L80" s="6314"/>
      <c r="M80" s="6314"/>
      <c r="N80" s="6314"/>
      <c r="P80" s="1306"/>
      <c r="Q80" s="1782"/>
      <c r="R80" s="1782"/>
      <c r="S80" s="1306"/>
      <c r="T80" s="1306"/>
      <c r="U80" s="1306"/>
      <c r="V80" s="1306"/>
      <c r="W80" s="1782"/>
      <c r="X80" s="1306"/>
      <c r="Y80" s="1306"/>
      <c r="Z80" s="690"/>
      <c r="AA80" s="1306"/>
      <c r="AB80" s="1306"/>
      <c r="AC80" s="1306"/>
      <c r="AD80" s="1306"/>
      <c r="AE80" s="1306"/>
      <c r="AF80" s="1778"/>
      <c r="AG80" s="712"/>
      <c r="AH80" s="712"/>
      <c r="AI80" s="712"/>
      <c r="AJ80" s="712"/>
      <c r="AK80" s="1787">
        <v>11</v>
      </c>
    </row>
    <row s="6314" customFormat="1" customHeight="1" ht="11.549999999999999">
      <c r="A81" s="1133"/>
      <c r="B81" s="1782"/>
      <c r="C81" s="1782"/>
      <c r="D81" s="497"/>
      <c r="J81" s="6314"/>
      <c r="K81" s="6314"/>
      <c r="L81" s="6314"/>
      <c r="M81" s="6314"/>
      <c r="N81" s="6314"/>
      <c r="P81" s="1306"/>
      <c r="Q81" s="1782"/>
      <c r="R81" s="1782"/>
      <c r="S81" s="1306"/>
      <c r="T81" s="1306"/>
      <c r="U81" s="1306"/>
      <c r="V81" s="1306"/>
      <c r="W81" s="1782"/>
      <c r="X81" s="1306"/>
      <c r="Y81" s="1306"/>
      <c r="Z81" s="690"/>
      <c r="AA81" s="1306"/>
      <c r="AB81" s="1306"/>
      <c r="AC81" s="1306"/>
      <c r="AD81" s="1306"/>
      <c r="AE81" s="1306"/>
      <c r="AF81" s="1778"/>
      <c r="AG81" s="712"/>
      <c r="AH81" s="712"/>
      <c r="AI81" s="712"/>
      <c r="AJ81" s="712"/>
      <c r="AK81" s="1787">
        <v>11</v>
      </c>
    </row>
    <row s="6314" customFormat="1" customHeight="1" ht="11.549999999999999">
      <c r="A82" s="1133"/>
      <c r="B82" s="1782"/>
      <c r="C82" s="1782"/>
      <c r="D82" s="497"/>
      <c r="J82" s="6314"/>
      <c r="K82" s="6314"/>
      <c r="L82" s="6314"/>
      <c r="M82" s="6314"/>
      <c r="N82" s="6314"/>
      <c r="P82" s="1306"/>
      <c r="Q82" s="1782"/>
      <c r="R82" s="1782"/>
      <c r="S82" s="1306"/>
      <c r="T82" s="1306"/>
      <c r="U82" s="1306"/>
      <c r="V82" s="1306"/>
      <c r="W82" s="1782"/>
      <c r="X82" s="1306"/>
      <c r="Y82" s="1306"/>
      <c r="Z82" s="690"/>
      <c r="AA82" s="1306"/>
      <c r="AB82" s="1306"/>
      <c r="AC82" s="1306"/>
      <c r="AD82" s="1306"/>
      <c r="AE82" s="1306"/>
      <c r="AF82" s="1778"/>
      <c r="AG82" s="712"/>
      <c r="AH82" s="712"/>
      <c r="AI82" s="712"/>
      <c r="AJ82" s="712"/>
      <c r="AK82" s="1787">
        <v>11</v>
      </c>
    </row>
    <row s="6314" customFormat="1" customHeight="1" ht="11.549999999999999">
      <c r="A83" s="1133"/>
      <c r="B83" s="1782"/>
      <c r="C83" s="1782"/>
      <c r="D83" s="497"/>
      <c r="J83" s="6314"/>
      <c r="K83" s="6314"/>
      <c r="L83" s="6314"/>
      <c r="M83" s="6314"/>
      <c r="N83" s="6314"/>
      <c r="P83" s="1306"/>
      <c r="Q83" s="1782"/>
      <c r="R83" s="1782"/>
      <c r="S83" s="1306"/>
      <c r="T83" s="1306"/>
      <c r="U83" s="1306"/>
      <c r="V83" s="1306"/>
      <c r="W83" s="1782"/>
      <c r="X83" s="1306"/>
      <c r="Y83" s="1306"/>
      <c r="Z83" s="690"/>
      <c r="AA83" s="1306"/>
      <c r="AB83" s="1306"/>
      <c r="AC83" s="1306"/>
      <c r="AD83" s="1306"/>
      <c r="AE83" s="1306"/>
      <c r="AF83" s="1778"/>
      <c r="AG83" s="712"/>
      <c r="AH83" s="712"/>
      <c r="AI83" s="712"/>
      <c r="AJ83" s="712"/>
      <c r="AK83" s="1787">
        <v>11</v>
      </c>
    </row>
    <row s="6314" customFormat="1" customHeight="1" ht="11.549999999999999">
      <c r="A84" s="1133"/>
      <c r="B84" s="1782"/>
      <c r="C84" s="1782"/>
      <c r="D84" s="497"/>
      <c r="J84" s="6314"/>
      <c r="K84" s="6314"/>
      <c r="L84" s="6314"/>
      <c r="M84" s="6314"/>
      <c r="N84" s="6314"/>
      <c r="P84" s="1306"/>
      <c r="Q84" s="1782"/>
      <c r="R84" s="1782"/>
      <c r="S84" s="1306"/>
      <c r="T84" s="1306"/>
      <c r="U84" s="1306"/>
      <c r="V84" s="1306"/>
      <c r="W84" s="1782"/>
      <c r="X84" s="1306"/>
      <c r="Y84" s="1306"/>
      <c r="Z84" s="690"/>
      <c r="AA84" s="1306"/>
      <c r="AB84" s="1306"/>
      <c r="AC84" s="1306"/>
      <c r="AD84" s="1306"/>
      <c r="AE84" s="1306"/>
      <c r="AF84" s="1778"/>
      <c r="AG84" s="712"/>
      <c r="AH84" s="712"/>
      <c r="AI84" s="712"/>
      <c r="AJ84" s="712"/>
      <c r="AK84" s="1787">
        <v>11</v>
      </c>
    </row>
    <row s="6314" customFormat="1" customHeight="1" ht="11.549999999999999">
      <c r="A85" s="1133"/>
      <c r="B85" s="1782"/>
      <c r="C85" s="1782"/>
      <c r="D85" s="497"/>
      <c r="J85" s="6314"/>
      <c r="K85" s="6314"/>
      <c r="L85" s="6314"/>
      <c r="M85" s="6314"/>
      <c r="N85" s="6314"/>
      <c r="P85" s="1306"/>
      <c r="Q85" s="1782"/>
      <c r="R85" s="1782"/>
      <c r="S85" s="1306"/>
      <c r="T85" s="1306"/>
      <c r="U85" s="1306"/>
      <c r="V85" s="1306"/>
      <c r="W85" s="1782"/>
      <c r="X85" s="1306"/>
      <c r="Y85" s="1306"/>
      <c r="Z85" s="690"/>
      <c r="AA85" s="1306"/>
      <c r="AB85" s="1306"/>
      <c r="AC85" s="1306"/>
      <c r="AD85" s="1306"/>
      <c r="AE85" s="1306"/>
      <c r="AF85" s="1778"/>
      <c r="AG85" s="712"/>
      <c r="AH85" s="712"/>
      <c r="AI85" s="712"/>
      <c r="AJ85" s="712"/>
      <c r="AK85" s="1787">
        <v>11</v>
      </c>
    </row>
    <row s="6314" customFormat="1" customHeight="1" ht="11.549999999999999">
      <c r="A86" s="1133"/>
      <c r="B86" s="1782"/>
      <c r="C86" s="1782"/>
      <c r="D86" s="497"/>
      <c r="J86" s="6314"/>
      <c r="K86" s="6314"/>
      <c r="L86" s="6314"/>
      <c r="M86" s="6314"/>
      <c r="N86" s="6314"/>
      <c r="P86" s="1306"/>
      <c r="Q86" s="1782"/>
      <c r="R86" s="1782"/>
      <c r="S86" s="1306"/>
      <c r="T86" s="1306"/>
      <c r="U86" s="1306"/>
      <c r="V86" s="1306"/>
      <c r="W86" s="1782"/>
      <c r="X86" s="1306"/>
      <c r="Y86" s="1306"/>
      <c r="Z86" s="690"/>
      <c r="AA86" s="1306"/>
      <c r="AB86" s="1306"/>
      <c r="AC86" s="1306"/>
      <c r="AD86" s="1306"/>
      <c r="AE86" s="1306"/>
      <c r="AF86" s="1778"/>
      <c r="AG86" s="712"/>
      <c r="AH86" s="712"/>
      <c r="AI86" s="712"/>
      <c r="AJ86" s="712"/>
      <c r="AK86" s="1787">
        <v>11</v>
      </c>
    </row>
    <row s="6314" customFormat="1" customHeight="1" ht="11.549999999999999">
      <c r="A87" s="1133"/>
      <c r="B87" s="1782"/>
      <c r="C87" s="1782"/>
      <c r="D87" s="497"/>
      <c r="J87" s="6314"/>
      <c r="K87" s="6314"/>
      <c r="L87" s="6314"/>
      <c r="M87" s="6314"/>
      <c r="N87" s="6314"/>
      <c r="P87" s="1306"/>
      <c r="Q87" s="1782"/>
      <c r="R87" s="1782"/>
      <c r="S87" s="1306"/>
      <c r="T87" s="1306"/>
      <c r="U87" s="1306"/>
      <c r="V87" s="1306"/>
      <c r="W87" s="1782"/>
      <c r="X87" s="1306"/>
      <c r="Y87" s="1306"/>
      <c r="Z87" s="690"/>
      <c r="AA87" s="1306"/>
      <c r="AB87" s="1306"/>
      <c r="AC87" s="1306"/>
      <c r="AD87" s="1306"/>
      <c r="AE87" s="1306"/>
      <c r="AF87" s="1778"/>
      <c r="AG87" s="712"/>
      <c r="AH87" s="712"/>
      <c r="AI87" s="712"/>
      <c r="AJ87" s="712"/>
      <c r="AK87" s="1787">
        <v>11</v>
      </c>
    </row>
    <row s="6314" customFormat="1" customHeight="1" ht="11.549999999999999">
      <c r="A88" s="1133"/>
      <c r="B88" s="1782"/>
      <c r="C88" s="1782"/>
      <c r="D88" s="497"/>
      <c r="J88" s="6314"/>
      <c r="K88" s="6314"/>
      <c r="L88" s="6314"/>
      <c r="M88" s="6314"/>
      <c r="N88" s="6314"/>
      <c r="P88" s="1306"/>
      <c r="Q88" s="1782"/>
      <c r="R88" s="1782"/>
      <c r="S88" s="1306"/>
      <c r="T88" s="1306"/>
      <c r="U88" s="1306"/>
      <c r="V88" s="1306"/>
      <c r="W88" s="1782"/>
      <c r="X88" s="1306"/>
      <c r="Y88" s="1306"/>
      <c r="Z88" s="690"/>
      <c r="AA88" s="1306"/>
      <c r="AB88" s="1306"/>
      <c r="AC88" s="1306"/>
      <c r="AD88" s="1306"/>
      <c r="AE88" s="1306"/>
      <c r="AF88" s="1778"/>
      <c r="AG88" s="712"/>
      <c r="AH88" s="712"/>
      <c r="AI88" s="712"/>
      <c r="AJ88" s="712"/>
      <c r="AK88" s="1787">
        <v>11</v>
      </c>
    </row>
    <row s="6314" customFormat="1" customHeight="1" ht="11.549999999999999">
      <c r="A89" s="1133"/>
      <c r="B89" s="1782"/>
      <c r="C89" s="1782"/>
      <c r="D89" s="497"/>
      <c r="J89" s="6314"/>
      <c r="K89" s="6314"/>
      <c r="L89" s="6314"/>
      <c r="M89" s="6314"/>
      <c r="N89" s="6314"/>
      <c r="P89" s="1306"/>
      <c r="Q89" s="1782"/>
      <c r="R89" s="1782"/>
      <c r="S89" s="1306"/>
      <c r="T89" s="1306"/>
      <c r="U89" s="1306"/>
      <c r="V89" s="1306"/>
      <c r="W89" s="1782"/>
      <c r="X89" s="1306"/>
      <c r="Y89" s="1306"/>
      <c r="Z89" s="690"/>
      <c r="AA89" s="1306"/>
      <c r="AB89" s="1306"/>
      <c r="AC89" s="1306"/>
      <c r="AD89" s="1306"/>
      <c r="AE89" s="1306"/>
      <c r="AF89" s="1778"/>
      <c r="AG89" s="712"/>
      <c r="AH89" s="712"/>
      <c r="AI89" s="712"/>
      <c r="AJ89" s="712"/>
      <c r="AK89" s="1787">
        <v>11</v>
      </c>
    </row>
    <row s="6314" customFormat="1" customHeight="1" ht="11.549999999999999">
      <c r="A90" s="1133"/>
      <c r="B90" s="1782"/>
      <c r="C90" s="1782"/>
      <c r="D90" s="497"/>
      <c r="J90" s="6314"/>
      <c r="K90" s="6314"/>
      <c r="L90" s="6314"/>
      <c r="M90" s="6314"/>
      <c r="N90" s="6314"/>
      <c r="P90" s="1306"/>
      <c r="Q90" s="1782"/>
      <c r="R90" s="1782"/>
      <c r="S90" s="1306"/>
      <c r="T90" s="1306"/>
      <c r="U90" s="1306"/>
      <c r="V90" s="1306"/>
      <c r="W90" s="1782"/>
      <c r="X90" s="1306"/>
      <c r="Y90" s="1306"/>
      <c r="Z90" s="690"/>
      <c r="AA90" s="1306"/>
      <c r="AB90" s="1306"/>
      <c r="AC90" s="1306"/>
      <c r="AD90" s="1306"/>
      <c r="AE90" s="1306"/>
      <c r="AF90" s="1778"/>
      <c r="AG90" s="712"/>
      <c r="AH90" s="712"/>
      <c r="AI90" s="712"/>
      <c r="AJ90" s="712"/>
      <c r="AK90" s="1787">
        <v>11</v>
      </c>
    </row>
    <row s="6314" customFormat="1" customHeight="1" ht="11.549999999999999">
      <c r="A91" s="1133"/>
      <c r="B91" s="1782"/>
      <c r="C91" s="1782"/>
      <c r="D91" s="497"/>
      <c r="J91" s="6314"/>
      <c r="K91" s="6314"/>
      <c r="L91" s="6314"/>
      <c r="M91" s="6314"/>
      <c r="N91" s="6314"/>
      <c r="P91" s="1306"/>
      <c r="Q91" s="1782"/>
      <c r="R91" s="1782"/>
      <c r="S91" s="1306"/>
      <c r="T91" s="1306"/>
      <c r="U91" s="1306"/>
      <c r="V91" s="1306"/>
      <c r="W91" s="1782"/>
      <c r="X91" s="1306"/>
      <c r="Y91" s="1306"/>
      <c r="Z91" s="690"/>
      <c r="AA91" s="1306"/>
      <c r="AB91" s="1306"/>
      <c r="AC91" s="1306"/>
      <c r="AD91" s="1306"/>
      <c r="AE91" s="1306"/>
      <c r="AF91" s="1778"/>
      <c r="AG91" s="712"/>
      <c r="AH91" s="712"/>
      <c r="AI91" s="712"/>
      <c r="AJ91" s="712"/>
      <c r="AK91" s="1787">
        <v>11</v>
      </c>
    </row>
    <row s="6314" customFormat="1" customHeight="1" ht="11.549999999999999">
      <c r="A92" s="1133"/>
      <c r="B92" s="1782"/>
      <c r="C92" s="1782"/>
      <c r="D92" s="497"/>
      <c r="J92" s="6314"/>
      <c r="K92" s="6314"/>
      <c r="L92" s="6314"/>
      <c r="M92" s="6314"/>
      <c r="N92" s="6314"/>
      <c r="P92" s="1306"/>
      <c r="Q92" s="1782"/>
      <c r="R92" s="1782"/>
      <c r="S92" s="1306"/>
      <c r="T92" s="1306"/>
      <c r="U92" s="1306"/>
      <c r="V92" s="1306"/>
      <c r="W92" s="1782"/>
      <c r="X92" s="1306"/>
      <c r="Y92" s="1306"/>
      <c r="Z92" s="690"/>
      <c r="AA92" s="1306"/>
      <c r="AB92" s="1306"/>
      <c r="AC92" s="1306"/>
      <c r="AD92" s="1306"/>
      <c r="AE92" s="1306"/>
      <c r="AF92" s="1778"/>
      <c r="AG92" s="712"/>
      <c r="AH92" s="712"/>
      <c r="AI92" s="712"/>
      <c r="AJ92" s="712"/>
      <c r="AK92" s="1787">
        <v>11</v>
      </c>
    </row>
    <row s="6314" customFormat="1" customHeight="1" ht="11.549999999999999">
      <c r="A93" s="1133"/>
      <c r="B93" s="1782"/>
      <c r="C93" s="1782"/>
      <c r="D93" s="497"/>
      <c r="J93" s="6314"/>
      <c r="K93" s="6314"/>
      <c r="L93" s="6314"/>
      <c r="M93" s="6314"/>
      <c r="N93" s="6314"/>
      <c r="P93" s="1306"/>
      <c r="Q93" s="1782"/>
      <c r="R93" s="1782"/>
      <c r="S93" s="1306"/>
      <c r="T93" s="1306"/>
      <c r="U93" s="1306"/>
      <c r="V93" s="1306"/>
      <c r="W93" s="1782"/>
      <c r="X93" s="1306"/>
      <c r="Y93" s="1306"/>
      <c r="Z93" s="690"/>
      <c r="AA93" s="1306"/>
      <c r="AB93" s="1306"/>
      <c r="AC93" s="1306"/>
      <c r="AD93" s="1306"/>
      <c r="AE93" s="1306"/>
      <c r="AF93" s="1778"/>
      <c r="AG93" s="712"/>
      <c r="AH93" s="712"/>
      <c r="AI93" s="712"/>
      <c r="AJ93" s="712"/>
      <c r="AK93" s="1787">
        <v>11</v>
      </c>
    </row>
    <row s="6314" customFormat="1" customHeight="1" ht="11.549999999999999">
      <c r="A94" s="1133"/>
      <c r="B94" s="1782"/>
      <c r="C94" s="1782"/>
      <c r="D94" s="497"/>
      <c r="J94" s="6314"/>
      <c r="K94" s="6314"/>
      <c r="L94" s="6314"/>
      <c r="M94" s="6314"/>
      <c r="N94" s="6314"/>
      <c r="P94" s="1306"/>
      <c r="Q94" s="1782"/>
      <c r="R94" s="1782"/>
      <c r="S94" s="1306"/>
      <c r="T94" s="1306"/>
      <c r="U94" s="1306"/>
      <c r="V94" s="1306"/>
      <c r="W94" s="1782"/>
      <c r="X94" s="1306"/>
      <c r="Y94" s="1306"/>
      <c r="Z94" s="690"/>
      <c r="AA94" s="1306"/>
      <c r="AB94" s="1306"/>
      <c r="AC94" s="1306"/>
      <c r="AD94" s="1306"/>
      <c r="AE94" s="1306"/>
      <c r="AF94" s="1778"/>
      <c r="AG94" s="712"/>
      <c r="AH94" s="712"/>
      <c r="AI94" s="712"/>
      <c r="AJ94" s="712"/>
      <c r="AK94" s="1787">
        <v>11</v>
      </c>
    </row>
    <row s="6314" customFormat="1" customHeight="1" ht="11.549999999999999">
      <c r="A95" s="1133"/>
      <c r="B95" s="1782"/>
      <c r="C95" s="1782"/>
      <c r="D95" s="497"/>
      <c r="J95" s="6314"/>
      <c r="K95" s="6314"/>
      <c r="L95" s="6314"/>
      <c r="M95" s="6314"/>
      <c r="N95" s="6314"/>
      <c r="P95" s="1306"/>
      <c r="Q95" s="1782"/>
      <c r="R95" s="1782"/>
      <c r="S95" s="1306"/>
      <c r="T95" s="1306"/>
      <c r="U95" s="1306"/>
      <c r="V95" s="1306"/>
      <c r="W95" s="1782"/>
      <c r="X95" s="1306"/>
      <c r="Y95" s="1306"/>
      <c r="Z95" s="690"/>
      <c r="AA95" s="1306"/>
      <c r="AB95" s="1306"/>
      <c r="AC95" s="1306"/>
      <c r="AD95" s="1306"/>
      <c r="AE95" s="1306"/>
      <c r="AF95" s="1778"/>
      <c r="AG95" s="712"/>
      <c r="AH95" s="712"/>
      <c r="AI95" s="712"/>
      <c r="AJ95" s="712"/>
      <c r="AK95" s="1787">
        <v>11</v>
      </c>
    </row>
    <row s="6314" customFormat="1" customHeight="1" ht="11.549999999999999">
      <c r="A96" s="1133"/>
      <c r="B96" s="1782"/>
      <c r="C96" s="1782"/>
      <c r="D96" s="497"/>
      <c r="J96" s="6314"/>
      <c r="K96" s="6314"/>
      <c r="L96" s="6314"/>
      <c r="M96" s="6314"/>
      <c r="N96" s="6314"/>
      <c r="P96" s="1306"/>
      <c r="Q96" s="1782"/>
      <c r="R96" s="1782"/>
      <c r="S96" s="1306"/>
      <c r="T96" s="1306"/>
      <c r="U96" s="1306"/>
      <c r="V96" s="1306"/>
      <c r="W96" s="1782"/>
      <c r="X96" s="1306"/>
      <c r="Y96" s="1306"/>
      <c r="Z96" s="690"/>
      <c r="AA96" s="1306"/>
      <c r="AB96" s="1306"/>
      <c r="AC96" s="1306"/>
      <c r="AD96" s="1306"/>
      <c r="AE96" s="1306"/>
      <c r="AF96" s="1778"/>
      <c r="AG96" s="712"/>
      <c r="AH96" s="712"/>
      <c r="AI96" s="712"/>
      <c r="AJ96" s="712"/>
      <c r="AK96" s="1787">
        <v>11</v>
      </c>
    </row>
    <row s="6314" customFormat="1" customHeight="1" ht="11.549999999999999">
      <c r="A97" s="1133"/>
      <c r="B97" s="1782"/>
      <c r="C97" s="1782"/>
      <c r="D97" s="497"/>
      <c r="J97" s="6314"/>
      <c r="K97" s="6314"/>
      <c r="L97" s="6314"/>
      <c r="M97" s="6314"/>
      <c r="N97" s="6314"/>
      <c r="P97" s="1306"/>
      <c r="Q97" s="1782"/>
      <c r="R97" s="1782"/>
      <c r="S97" s="1306"/>
      <c r="T97" s="1306"/>
      <c r="U97" s="1306"/>
      <c r="V97" s="1306"/>
      <c r="W97" s="1782"/>
      <c r="X97" s="1306"/>
      <c r="Y97" s="1306"/>
      <c r="Z97" s="690"/>
      <c r="AA97" s="1306"/>
      <c r="AB97" s="1306"/>
      <c r="AC97" s="1306"/>
      <c r="AD97" s="1306"/>
      <c r="AE97" s="1306"/>
      <c r="AF97" s="1778"/>
      <c r="AG97" s="712"/>
      <c r="AH97" s="712"/>
      <c r="AI97" s="712"/>
      <c r="AJ97" s="712"/>
      <c r="AK97" s="1787">
        <v>11</v>
      </c>
    </row>
    <row s="6314" customFormat="1" customHeight="1" ht="11.549999999999999">
      <c r="A98" s="1133"/>
      <c r="B98" s="1782"/>
      <c r="C98" s="1782"/>
      <c r="D98" s="497"/>
      <c r="J98" s="6314"/>
      <c r="K98" s="6314"/>
      <c r="L98" s="6314"/>
      <c r="M98" s="6314"/>
      <c r="N98" s="6314"/>
      <c r="P98" s="1306"/>
      <c r="Q98" s="1782"/>
      <c r="R98" s="1782"/>
      <c r="S98" s="1306"/>
      <c r="T98" s="1306"/>
      <c r="U98" s="1306"/>
      <c r="V98" s="1306"/>
      <c r="W98" s="1782"/>
      <c r="X98" s="1306"/>
      <c r="Y98" s="1306"/>
      <c r="Z98" s="690"/>
      <c r="AA98" s="1306"/>
      <c r="AB98" s="1306"/>
      <c r="AC98" s="1306"/>
      <c r="AD98" s="1306"/>
      <c r="AE98" s="1306"/>
      <c r="AF98" s="1778"/>
      <c r="AG98" s="712"/>
      <c r="AH98" s="712"/>
      <c r="AI98" s="712"/>
      <c r="AJ98" s="712"/>
      <c r="AK98" s="1787">
        <v>11</v>
      </c>
    </row>
    <row s="6314" customFormat="1" customHeight="1" ht="11.549999999999999">
      <c r="A99" s="1133"/>
      <c r="B99" s="1782"/>
      <c r="C99" s="1782"/>
      <c r="D99" s="497"/>
      <c r="J99" s="6314"/>
      <c r="K99" s="6314"/>
      <c r="L99" s="6314"/>
      <c r="M99" s="6314"/>
      <c r="N99" s="6314"/>
      <c r="P99" s="1306"/>
      <c r="Q99" s="1782"/>
      <c r="R99" s="1782"/>
      <c r="S99" s="1306"/>
      <c r="T99" s="1306"/>
      <c r="U99" s="1306"/>
      <c r="V99" s="1306"/>
      <c r="W99" s="1782"/>
      <c r="X99" s="1306"/>
      <c r="Y99" s="1306"/>
      <c r="Z99" s="690"/>
      <c r="AA99" s="1306"/>
      <c r="AB99" s="1306"/>
      <c r="AC99" s="1306"/>
      <c r="AD99" s="1306"/>
      <c r="AE99" s="1306"/>
      <c r="AF99" s="1778"/>
      <c r="AG99" s="712"/>
      <c r="AH99" s="712"/>
      <c r="AI99" s="712"/>
      <c r="AJ99" s="712"/>
      <c r="AK99" s="1787">
        <v>11</v>
      </c>
    </row>
    <row s="6314" customFormat="1" customHeight="1" ht="11.549999999999999">
      <c r="A100" s="1133"/>
      <c r="B100" s="1782"/>
      <c r="C100" s="1782"/>
      <c r="D100" s="497"/>
      <c r="J100" s="6314"/>
      <c r="K100" s="6314"/>
      <c r="L100" s="6314"/>
      <c r="M100" s="6314"/>
      <c r="N100" s="6314"/>
      <c r="P100" s="1306"/>
      <c r="Q100" s="1782"/>
      <c r="R100" s="1782"/>
      <c r="S100" s="1306"/>
      <c r="T100" s="1306"/>
      <c r="U100" s="1306"/>
      <c r="V100" s="1306"/>
      <c r="W100" s="1782"/>
      <c r="X100" s="1306"/>
      <c r="Y100" s="1306"/>
      <c r="Z100" s="690"/>
      <c r="AA100" s="1306"/>
      <c r="AB100" s="1306"/>
      <c r="AC100" s="1306"/>
      <c r="AD100" s="1306"/>
      <c r="AE100" s="1306"/>
      <c r="AF100" s="1778"/>
      <c r="AG100" s="712"/>
      <c r="AH100" s="712"/>
      <c r="AI100" s="712"/>
      <c r="AJ100" s="712"/>
      <c r="AK100" s="1787">
        <v>11</v>
      </c>
    </row>
    <row s="6314" customFormat="1" customHeight="1" ht="11.549999999999999">
      <c r="A101" s="1133"/>
      <c r="B101" s="1782"/>
      <c r="C101" s="1782"/>
      <c r="D101" s="497"/>
      <c r="J101" s="6314"/>
      <c r="K101" s="6314"/>
      <c r="L101" s="6314"/>
      <c r="M101" s="6314"/>
      <c r="N101" s="6314"/>
      <c r="P101" s="1306"/>
      <c r="Q101" s="1782"/>
      <c r="R101" s="1782"/>
      <c r="S101" s="1306"/>
      <c r="T101" s="1306"/>
      <c r="U101" s="1306"/>
      <c r="V101" s="1306"/>
      <c r="W101" s="1782"/>
      <c r="X101" s="1306"/>
      <c r="Y101" s="1306"/>
      <c r="Z101" s="690"/>
      <c r="AA101" s="1306"/>
      <c r="AB101" s="1306"/>
      <c r="AC101" s="1306"/>
      <c r="AD101" s="1306"/>
      <c r="AE101" s="1306"/>
      <c r="AF101" s="1778"/>
      <c r="AG101" s="712"/>
      <c r="AH101" s="712"/>
      <c r="AI101" s="712"/>
      <c r="AJ101" s="712"/>
      <c r="AK101" s="1787">
        <v>11</v>
      </c>
    </row>
    <row s="6314" customFormat="1" customHeight="1" ht="11.549999999999999">
      <c r="A102" s="1133"/>
      <c r="B102" s="1782"/>
      <c r="C102" s="1782"/>
      <c r="D102" s="497"/>
      <c r="J102" s="6314"/>
      <c r="K102" s="6314"/>
      <c r="L102" s="6314"/>
      <c r="M102" s="6314"/>
      <c r="N102" s="6314"/>
      <c r="P102" s="1306"/>
      <c r="Q102" s="1782"/>
      <c r="R102" s="1782"/>
      <c r="S102" s="1306"/>
      <c r="T102" s="1306"/>
      <c r="U102" s="1306"/>
      <c r="V102" s="1306"/>
      <c r="W102" s="1782"/>
      <c r="X102" s="1306"/>
      <c r="Y102" s="1306"/>
      <c r="Z102" s="690"/>
      <c r="AA102" s="1306"/>
      <c r="AB102" s="1306"/>
      <c r="AC102" s="1306"/>
      <c r="AD102" s="1306"/>
      <c r="AE102" s="1306"/>
      <c r="AF102" s="1778"/>
      <c r="AG102" s="712"/>
      <c r="AH102" s="712"/>
      <c r="AI102" s="712"/>
      <c r="AJ102" s="712"/>
      <c r="AK102" s="1787">
        <v>11</v>
      </c>
    </row>
    <row s="6314" customFormat="1" customHeight="1" ht="11.549999999999999">
      <c r="A103" s="1133"/>
      <c r="B103" s="1782"/>
      <c r="C103" s="1782"/>
      <c r="D103" s="497"/>
      <c r="J103" s="6314"/>
      <c r="K103" s="6314"/>
      <c r="L103" s="6314"/>
      <c r="M103" s="6314"/>
      <c r="N103" s="6314"/>
      <c r="P103" s="1306"/>
      <c r="Q103" s="1782"/>
      <c r="R103" s="1782"/>
      <c r="S103" s="1306"/>
      <c r="T103" s="1306"/>
      <c r="U103" s="1306"/>
      <c r="V103" s="1306"/>
      <c r="W103" s="1782"/>
      <c r="X103" s="1306"/>
      <c r="Y103" s="1306"/>
      <c r="Z103" s="690"/>
      <c r="AA103" s="1306"/>
      <c r="AB103" s="1306"/>
      <c r="AC103" s="1306"/>
      <c r="AD103" s="1306"/>
      <c r="AE103" s="1306"/>
      <c r="AF103" s="1778"/>
      <c r="AG103" s="712"/>
      <c r="AH103" s="712"/>
      <c r="AI103" s="712"/>
      <c r="AJ103" s="712"/>
      <c r="AK103" s="1787">
        <v>11</v>
      </c>
    </row>
    <row s="6314" customFormat="1" customHeight="1" ht="11.549999999999999">
      <c r="A104" s="1133"/>
      <c r="B104" s="1782"/>
      <c r="C104" s="1782"/>
      <c r="D104" s="497"/>
      <c r="J104" s="6314"/>
      <c r="K104" s="6314"/>
      <c r="L104" s="6314"/>
      <c r="M104" s="6314"/>
      <c r="N104" s="6314"/>
      <c r="P104" s="1306"/>
      <c r="Q104" s="1782"/>
      <c r="R104" s="1782"/>
      <c r="S104" s="1306"/>
      <c r="T104" s="1306"/>
      <c r="U104" s="1306"/>
      <c r="V104" s="1306"/>
      <c r="W104" s="1782"/>
      <c r="X104" s="1306"/>
      <c r="Y104" s="1306"/>
      <c r="Z104" s="690"/>
      <c r="AA104" s="1306"/>
      <c r="AB104" s="1306"/>
      <c r="AC104" s="1306"/>
      <c r="AD104" s="1306"/>
      <c r="AE104" s="1306"/>
      <c r="AF104" s="1778"/>
      <c r="AG104" s="712"/>
      <c r="AH104" s="712"/>
      <c r="AI104" s="712"/>
      <c r="AJ104" s="712"/>
      <c r="AK104" s="1787">
        <v>11</v>
      </c>
    </row>
    <row s="6314" customFormat="1" customHeight="1" ht="11.549999999999999">
      <c r="A105" s="1133"/>
      <c r="B105" s="1782"/>
      <c r="C105" s="1782"/>
      <c r="D105" s="497"/>
      <c r="J105" s="6314"/>
      <c r="K105" s="6314"/>
      <c r="L105" s="6314"/>
      <c r="M105" s="6314"/>
      <c r="N105" s="6314"/>
      <c r="P105" s="1306"/>
      <c r="Q105" s="1782"/>
      <c r="R105" s="1782"/>
      <c r="S105" s="1306"/>
      <c r="T105" s="1306"/>
      <c r="U105" s="1306"/>
      <c r="V105" s="1306"/>
      <c r="W105" s="1782"/>
      <c r="X105" s="1306"/>
      <c r="Y105" s="1306"/>
      <c r="Z105" s="690"/>
      <c r="AA105" s="1306"/>
      <c r="AB105" s="1306"/>
      <c r="AC105" s="1306"/>
      <c r="AD105" s="1306"/>
      <c r="AE105" s="1306"/>
      <c r="AF105" s="1778"/>
      <c r="AG105" s="712"/>
      <c r="AH105" s="712"/>
      <c r="AI105" s="712"/>
      <c r="AJ105" s="712"/>
      <c r="AK105" s="1787">
        <v>11</v>
      </c>
    </row>
    <row s="6314" customFormat="1" customHeight="1" ht="11.549999999999999">
      <c r="A106" s="1133"/>
      <c r="B106" s="1782"/>
      <c r="C106" s="1782"/>
      <c r="D106" s="497"/>
      <c r="J106" s="6314"/>
      <c r="K106" s="6314"/>
      <c r="L106" s="6314"/>
      <c r="M106" s="6314"/>
      <c r="N106" s="6314"/>
      <c r="P106" s="1306"/>
      <c r="Q106" s="1782"/>
      <c r="R106" s="1782"/>
      <c r="S106" s="1306"/>
      <c r="T106" s="1306"/>
      <c r="U106" s="1306"/>
      <c r="V106" s="1306"/>
      <c r="W106" s="1782"/>
      <c r="X106" s="1306"/>
      <c r="Y106" s="1306"/>
      <c r="Z106" s="690"/>
      <c r="AA106" s="1306"/>
      <c r="AB106" s="1306"/>
      <c r="AC106" s="1306"/>
      <c r="AD106" s="1306"/>
      <c r="AE106" s="1306"/>
      <c r="AF106" s="1778"/>
      <c r="AG106" s="712"/>
      <c r="AH106" s="712"/>
      <c r="AI106" s="712"/>
      <c r="AJ106" s="712"/>
      <c r="AK106" s="1787">
        <v>11</v>
      </c>
    </row>
    <row s="6314" customFormat="1" customHeight="1" ht="11.549999999999999">
      <c r="A107" s="1133"/>
      <c r="B107" s="1782"/>
      <c r="C107" s="1782"/>
      <c r="D107" s="497"/>
      <c r="J107" s="6314"/>
      <c r="K107" s="6314"/>
      <c r="L107" s="6314"/>
      <c r="M107" s="6314"/>
      <c r="N107" s="6314"/>
      <c r="P107" s="1306"/>
      <c r="Q107" s="1782"/>
      <c r="R107" s="1782"/>
      <c r="S107" s="1306"/>
      <c r="T107" s="1306"/>
      <c r="U107" s="1306"/>
      <c r="V107" s="1306"/>
      <c r="W107" s="1782"/>
      <c r="X107" s="1306"/>
      <c r="Y107" s="1306"/>
      <c r="Z107" s="690"/>
      <c r="AA107" s="1306"/>
      <c r="AB107" s="1306"/>
      <c r="AC107" s="1306"/>
      <c r="AD107" s="1306"/>
      <c r="AE107" s="1306"/>
      <c r="AF107" s="1778"/>
      <c r="AG107" s="712"/>
      <c r="AH107" s="712"/>
      <c r="AI107" s="712"/>
      <c r="AJ107" s="712"/>
      <c r="AK107" s="1787">
        <v>11</v>
      </c>
    </row>
    <row s="6314" customFormat="1" customHeight="1" ht="11.549999999999999">
      <c r="A108" s="1133"/>
      <c r="B108" s="1782"/>
      <c r="C108" s="1782"/>
      <c r="D108" s="497"/>
      <c r="J108" s="6314"/>
      <c r="K108" s="6314"/>
      <c r="L108" s="6314"/>
      <c r="M108" s="6314"/>
      <c r="N108" s="6314"/>
      <c r="P108" s="1306"/>
      <c r="Q108" s="1782"/>
      <c r="R108" s="1782"/>
      <c r="S108" s="1306"/>
      <c r="T108" s="1306"/>
      <c r="U108" s="1306"/>
      <c r="V108" s="1306"/>
      <c r="W108" s="1782"/>
      <c r="X108" s="1306"/>
      <c r="Y108" s="1306"/>
      <c r="Z108" s="690"/>
      <c r="AA108" s="1306"/>
      <c r="AB108" s="1306"/>
      <c r="AC108" s="1306"/>
      <c r="AD108" s="1306"/>
      <c r="AE108" s="1306"/>
      <c r="AF108" s="1778"/>
      <c r="AG108" s="712"/>
      <c r="AH108" s="712"/>
      <c r="AI108" s="712"/>
      <c r="AJ108" s="712"/>
      <c r="AK108" s="1787">
        <v>11</v>
      </c>
    </row>
    <row s="6314" customFormat="1" customHeight="1" ht="11.549999999999999">
      <c r="A109" s="1133"/>
      <c r="B109" s="1782"/>
      <c r="C109" s="1782"/>
      <c r="D109" s="497"/>
      <c r="J109" s="6314"/>
      <c r="K109" s="6314"/>
      <c r="L109" s="6314"/>
      <c r="M109" s="6314"/>
      <c r="N109" s="6314"/>
      <c r="P109" s="1306"/>
      <c r="Q109" s="1782"/>
      <c r="R109" s="1782"/>
      <c r="S109" s="1306"/>
      <c r="T109" s="1306"/>
      <c r="U109" s="1306"/>
      <c r="V109" s="1306"/>
      <c r="W109" s="1782"/>
      <c r="X109" s="1306"/>
      <c r="Y109" s="1306"/>
      <c r="Z109" s="690"/>
      <c r="AA109" s="1306"/>
      <c r="AB109" s="1306"/>
      <c r="AC109" s="1306"/>
      <c r="AD109" s="1306"/>
      <c r="AE109" s="1306"/>
      <c r="AF109" s="1778"/>
      <c r="AG109" s="712"/>
      <c r="AH109" s="712"/>
      <c r="AI109" s="712"/>
      <c r="AJ109" s="712"/>
      <c r="AK109" s="1787">
        <v>11</v>
      </c>
    </row>
    <row s="6314" customFormat="1" customHeight="1" ht="11.549999999999999">
      <c r="A110" s="1133"/>
      <c r="B110" s="1782"/>
      <c r="C110" s="1782"/>
      <c r="D110" s="497"/>
      <c r="J110" s="6314"/>
      <c r="K110" s="6314"/>
      <c r="L110" s="6314"/>
      <c r="M110" s="6314"/>
      <c r="N110" s="6314"/>
      <c r="P110" s="1306"/>
      <c r="Q110" s="1782"/>
      <c r="R110" s="1782"/>
      <c r="S110" s="1306"/>
      <c r="T110" s="1306"/>
      <c r="U110" s="1306"/>
      <c r="V110" s="1306"/>
      <c r="W110" s="1782"/>
      <c r="X110" s="1306"/>
      <c r="Y110" s="1306"/>
      <c r="Z110" s="690"/>
      <c r="AA110" s="1306"/>
      <c r="AB110" s="1306"/>
      <c r="AC110" s="1306"/>
      <c r="AD110" s="1306"/>
      <c r="AE110" s="1306"/>
      <c r="AF110" s="1778"/>
      <c r="AG110" s="712"/>
      <c r="AH110" s="712"/>
      <c r="AI110" s="712"/>
      <c r="AJ110" s="712"/>
      <c r="AK110" s="1787">
        <v>11</v>
      </c>
    </row>
    <row s="6314" customFormat="1" customHeight="1" ht="11.549999999999999">
      <c r="A111" s="1133"/>
      <c r="B111" s="1782"/>
      <c r="C111" s="1782"/>
      <c r="D111" s="497"/>
      <c r="J111" s="6314"/>
      <c r="K111" s="6314"/>
      <c r="L111" s="6314"/>
      <c r="M111" s="6314"/>
      <c r="N111" s="6314"/>
      <c r="P111" s="1306"/>
      <c r="Q111" s="1782"/>
      <c r="R111" s="1782"/>
      <c r="S111" s="1306"/>
      <c r="T111" s="1306"/>
      <c r="U111" s="1306"/>
      <c r="V111" s="1306"/>
      <c r="W111" s="1782"/>
      <c r="X111" s="1306"/>
      <c r="Y111" s="1306"/>
      <c r="Z111" s="690"/>
      <c r="AA111" s="1306"/>
      <c r="AB111" s="1306"/>
      <c r="AC111" s="1306"/>
      <c r="AD111" s="1306"/>
      <c r="AE111" s="1306"/>
      <c r="AF111" s="1778"/>
      <c r="AG111" s="712"/>
      <c r="AH111" s="712"/>
      <c r="AI111" s="712"/>
      <c r="AJ111" s="712"/>
      <c r="AK111" s="1787">
        <v>11</v>
      </c>
    </row>
    <row s="6314" customFormat="1" customHeight="1" ht="11.549999999999999">
      <c r="A112" s="1133"/>
      <c r="B112" s="1782"/>
      <c r="C112" s="1782"/>
      <c r="D112" s="497"/>
      <c r="J112" s="6314"/>
      <c r="K112" s="6314"/>
      <c r="L112" s="6314"/>
      <c r="M112" s="6314"/>
      <c r="N112" s="6314"/>
      <c r="P112" s="1306"/>
      <c r="Q112" s="1782"/>
      <c r="R112" s="1782"/>
      <c r="S112" s="1306"/>
      <c r="T112" s="1306"/>
      <c r="U112" s="1306"/>
      <c r="V112" s="1306"/>
      <c r="W112" s="1782"/>
      <c r="X112" s="1306"/>
      <c r="Y112" s="1306"/>
      <c r="Z112" s="690"/>
      <c r="AA112" s="1306"/>
      <c r="AB112" s="1306"/>
      <c r="AC112" s="1306"/>
      <c r="AD112" s="1306"/>
      <c r="AE112" s="1306"/>
      <c r="AF112" s="1778"/>
      <c r="AG112" s="712"/>
      <c r="AH112" s="712"/>
      <c r="AI112" s="712"/>
      <c r="AJ112" s="712"/>
      <c r="AK112" s="1787">
        <v>11</v>
      </c>
    </row>
    <row s="6314" customFormat="1" customHeight="1" ht="11.549999999999999">
      <c r="A113" s="1133"/>
      <c r="B113" s="1782"/>
      <c r="C113" s="1782"/>
      <c r="D113" s="497"/>
      <c r="J113" s="6314"/>
      <c r="K113" s="6314"/>
      <c r="L113" s="6314"/>
      <c r="M113" s="6314"/>
      <c r="N113" s="6314"/>
      <c r="P113" s="1306"/>
      <c r="Q113" s="1782"/>
      <c r="R113" s="1782"/>
      <c r="S113" s="1306"/>
      <c r="T113" s="1306"/>
      <c r="U113" s="1306"/>
      <c r="V113" s="1306"/>
      <c r="W113" s="1782"/>
      <c r="X113" s="1306"/>
      <c r="Y113" s="1306"/>
      <c r="Z113" s="690"/>
      <c r="AA113" s="1306"/>
      <c r="AB113" s="1306"/>
      <c r="AC113" s="1306"/>
      <c r="AD113" s="1306"/>
      <c r="AE113" s="1306"/>
      <c r="AF113" s="1778"/>
      <c r="AG113" s="712"/>
      <c r="AH113" s="712"/>
      <c r="AI113" s="712"/>
      <c r="AJ113" s="712"/>
      <c r="AK113" s="1787">
        <v>11</v>
      </c>
    </row>
    <row s="6314" customFormat="1" customHeight="1" ht="11.549999999999999">
      <c r="A114" s="1133"/>
      <c r="B114" s="1782"/>
      <c r="C114" s="1782"/>
      <c r="D114" s="497"/>
      <c r="J114" s="6314"/>
      <c r="K114" s="6314"/>
      <c r="L114" s="6314"/>
      <c r="M114" s="6314"/>
      <c r="N114" s="6314"/>
      <c r="P114" s="1306"/>
      <c r="Q114" s="1782"/>
      <c r="R114" s="1782"/>
      <c r="S114" s="1306"/>
      <c r="T114" s="1306"/>
      <c r="U114" s="1306"/>
      <c r="V114" s="1306"/>
      <c r="W114" s="1782"/>
      <c r="X114" s="1306"/>
      <c r="Y114" s="1306"/>
      <c r="Z114" s="690"/>
      <c r="AA114" s="1306"/>
      <c r="AB114" s="1306"/>
      <c r="AC114" s="1306"/>
      <c r="AD114" s="1306"/>
      <c r="AE114" s="1306"/>
      <c r="AF114" s="1778"/>
      <c r="AG114" s="712"/>
      <c r="AH114" s="712"/>
      <c r="AI114" s="712"/>
      <c r="AJ114" s="712"/>
      <c r="AK114" s="1787">
        <v>11</v>
      </c>
    </row>
    <row s="6314" customFormat="1" customHeight="1" ht="11.549999999999999">
      <c r="A115" s="1133"/>
      <c r="B115" s="1782"/>
      <c r="C115" s="1782"/>
      <c r="D115" s="497"/>
      <c r="J115" s="6314"/>
      <c r="K115" s="6314"/>
      <c r="L115" s="6314"/>
      <c r="M115" s="6314"/>
      <c r="N115" s="6314"/>
      <c r="P115" s="1306"/>
      <c r="Q115" s="1782"/>
      <c r="R115" s="1782"/>
      <c r="S115" s="1306"/>
      <c r="T115" s="1306"/>
      <c r="U115" s="1306"/>
      <c r="V115" s="1306"/>
      <c r="W115" s="1782"/>
      <c r="X115" s="1306"/>
      <c r="Y115" s="1306"/>
      <c r="Z115" s="690"/>
      <c r="AA115" s="1306"/>
      <c r="AB115" s="1306"/>
      <c r="AC115" s="1306"/>
      <c r="AD115" s="1306"/>
      <c r="AE115" s="1306"/>
      <c r="AF115" s="1778"/>
      <c r="AG115" s="712"/>
      <c r="AH115" s="712"/>
      <c r="AI115" s="712"/>
      <c r="AJ115" s="712"/>
      <c r="AK115" s="1787">
        <v>11</v>
      </c>
    </row>
    <row s="6314" customFormat="1" customHeight="1" ht="11.549999999999999">
      <c r="A116" s="1133"/>
      <c r="B116" s="1782"/>
      <c r="C116" s="1782"/>
      <c r="D116" s="497"/>
      <c r="J116" s="6314"/>
      <c r="K116" s="6314"/>
      <c r="L116" s="6314"/>
      <c r="M116" s="6314"/>
      <c r="N116" s="6314"/>
      <c r="P116" s="1306"/>
      <c r="Q116" s="1782"/>
      <c r="R116" s="1782"/>
      <c r="S116" s="1306"/>
      <c r="T116" s="1306"/>
      <c r="U116" s="1306"/>
      <c r="V116" s="1306"/>
      <c r="W116" s="1782"/>
      <c r="X116" s="1306"/>
      <c r="Y116" s="1306"/>
      <c r="Z116" s="690"/>
      <c r="AA116" s="1306"/>
      <c r="AB116" s="1306"/>
      <c r="AC116" s="1306"/>
      <c r="AD116" s="1306"/>
      <c r="AE116" s="1306"/>
      <c r="AF116" s="1778"/>
      <c r="AG116" s="712"/>
      <c r="AH116" s="712"/>
      <c r="AI116" s="712"/>
      <c r="AJ116" s="712"/>
      <c r="AK116" s="1787">
        <v>11</v>
      </c>
    </row>
    <row s="6314" customFormat="1" customHeight="1" ht="11.549999999999999">
      <c r="A117" s="1133"/>
      <c r="B117" s="1782"/>
      <c r="C117" s="1782"/>
      <c r="D117" s="497"/>
      <c r="J117" s="6314"/>
      <c r="K117" s="6314"/>
      <c r="L117" s="6314"/>
      <c r="M117" s="6314"/>
      <c r="N117" s="6314"/>
      <c r="P117" s="1306"/>
      <c r="Q117" s="1782"/>
      <c r="R117" s="1782"/>
      <c r="S117" s="1306"/>
      <c r="T117" s="1306"/>
      <c r="U117" s="1306"/>
      <c r="V117" s="1306"/>
      <c r="W117" s="1782"/>
      <c r="X117" s="1306"/>
      <c r="Y117" s="1306"/>
      <c r="Z117" s="690"/>
      <c r="AA117" s="1306"/>
      <c r="AB117" s="1306"/>
      <c r="AC117" s="1306"/>
      <c r="AD117" s="1306"/>
      <c r="AE117" s="1306"/>
      <c r="AF117" s="1778"/>
      <c r="AG117" s="712"/>
      <c r="AH117" s="712"/>
      <c r="AI117" s="712"/>
      <c r="AJ117" s="712"/>
      <c r="AK117" s="1787">
        <v>11</v>
      </c>
    </row>
    <row s="6314" customFormat="1" customHeight="1" ht="11.549999999999999">
      <c r="A118" s="1133"/>
      <c r="B118" s="1782"/>
      <c r="C118" s="1782"/>
      <c r="D118" s="497"/>
      <c r="J118" s="6314"/>
      <c r="K118" s="6314"/>
      <c r="L118" s="6314"/>
      <c r="M118" s="6314"/>
      <c r="N118" s="6314"/>
      <c r="P118" s="1306"/>
      <c r="Q118" s="1782"/>
      <c r="R118" s="1782"/>
      <c r="S118" s="1306"/>
      <c r="T118" s="1306"/>
      <c r="U118" s="1306"/>
      <c r="V118" s="1306"/>
      <c r="W118" s="1782"/>
      <c r="X118" s="1306"/>
      <c r="Y118" s="1306"/>
      <c r="Z118" s="690"/>
      <c r="AA118" s="1306"/>
      <c r="AB118" s="1306"/>
      <c r="AC118" s="1306"/>
      <c r="AD118" s="1306"/>
      <c r="AE118" s="1306"/>
      <c r="AF118" s="1778"/>
      <c r="AG118" s="712"/>
      <c r="AH118" s="712"/>
      <c r="AI118" s="712"/>
      <c r="AJ118" s="712"/>
      <c r="AK118" s="1787">
        <v>11</v>
      </c>
    </row>
    <row s="6314" customFormat="1" customHeight="1" ht="11.549999999999999">
      <c r="A119" s="1133"/>
      <c r="B119" s="1782"/>
      <c r="C119" s="1782"/>
      <c r="D119" s="497"/>
      <c r="J119" s="6314"/>
      <c r="K119" s="6314"/>
      <c r="L119" s="6314"/>
      <c r="M119" s="6314"/>
      <c r="N119" s="6314"/>
      <c r="P119" s="1306"/>
      <c r="Q119" s="1782"/>
      <c r="R119" s="1782"/>
      <c r="S119" s="1306"/>
      <c r="T119" s="1306"/>
      <c r="U119" s="1306"/>
      <c r="V119" s="1306"/>
      <c r="W119" s="1782"/>
      <c r="X119" s="1306"/>
      <c r="Y119" s="1306"/>
      <c r="Z119" s="690"/>
      <c r="AA119" s="1306"/>
      <c r="AB119" s="1306"/>
      <c r="AC119" s="1306"/>
      <c r="AD119" s="1306"/>
      <c r="AE119" s="1306"/>
      <c r="AF119" s="1778"/>
      <c r="AG119" s="712"/>
      <c r="AH119" s="712"/>
      <c r="AI119" s="712"/>
      <c r="AJ119" s="712"/>
      <c r="AK119" s="1787">
        <v>11</v>
      </c>
    </row>
    <row s="6314" customFormat="1" customHeight="1" ht="11.549999999999999">
      <c r="A120" s="1133"/>
      <c r="B120" s="1782"/>
      <c r="C120" s="1782"/>
      <c r="D120" s="497"/>
      <c r="J120" s="6314"/>
      <c r="K120" s="6314"/>
      <c r="L120" s="6314"/>
      <c r="M120" s="6314"/>
      <c r="N120" s="6314"/>
      <c r="P120" s="1306"/>
      <c r="Q120" s="1782"/>
      <c r="R120" s="1782"/>
      <c r="S120" s="1306"/>
      <c r="T120" s="1306"/>
      <c r="U120" s="1306"/>
      <c r="V120" s="1306"/>
      <c r="W120" s="1782"/>
      <c r="X120" s="1306"/>
      <c r="Y120" s="1306"/>
      <c r="Z120" s="690"/>
      <c r="AA120" s="1306"/>
      <c r="AB120" s="1306"/>
      <c r="AC120" s="1306"/>
      <c r="AD120" s="1306"/>
      <c r="AE120" s="1306"/>
      <c r="AF120" s="1778"/>
      <c r="AG120" s="712"/>
      <c r="AH120" s="712"/>
      <c r="AI120" s="712"/>
      <c r="AJ120" s="712"/>
      <c r="AK120" s="1787">
        <v>11</v>
      </c>
    </row>
    <row s="6314" customFormat="1" customHeight="1" ht="11.549999999999999">
      <c r="A121" s="1133"/>
      <c r="B121" s="1782"/>
      <c r="C121" s="1782"/>
      <c r="D121" s="497"/>
      <c r="J121" s="6314"/>
      <c r="K121" s="6314"/>
      <c r="L121" s="6314"/>
      <c r="M121" s="6314"/>
      <c r="N121" s="6314"/>
      <c r="P121" s="1306"/>
      <c r="Q121" s="1782"/>
      <c r="R121" s="1782"/>
      <c r="S121" s="1306"/>
      <c r="T121" s="1306"/>
      <c r="U121" s="1306"/>
      <c r="V121" s="1306"/>
      <c r="W121" s="1782"/>
      <c r="X121" s="1306"/>
      <c r="Y121" s="1306"/>
      <c r="Z121" s="690"/>
      <c r="AA121" s="1306"/>
      <c r="AB121" s="1306"/>
      <c r="AC121" s="1306"/>
      <c r="AD121" s="1306"/>
      <c r="AE121" s="1306"/>
      <c r="AF121" s="1778"/>
      <c r="AG121" s="712"/>
      <c r="AH121" s="712"/>
      <c r="AI121" s="712"/>
      <c r="AJ121" s="712"/>
      <c r="AK121" s="1787">
        <v>11</v>
      </c>
    </row>
    <row s="6314" customFormat="1" customHeight="1" ht="11.549999999999999">
      <c r="A122" s="1133"/>
      <c r="B122" s="1782"/>
      <c r="C122" s="1782"/>
      <c r="D122" s="497"/>
      <c r="J122" s="6314"/>
      <c r="K122" s="6314"/>
      <c r="L122" s="6314"/>
      <c r="M122" s="6314"/>
      <c r="N122" s="6314"/>
      <c r="P122" s="1306"/>
      <c r="Q122" s="1782"/>
      <c r="R122" s="1782"/>
      <c r="S122" s="1306"/>
      <c r="T122" s="1306"/>
      <c r="U122" s="1306"/>
      <c r="V122" s="1306"/>
      <c r="W122" s="1782"/>
      <c r="X122" s="1306"/>
      <c r="Y122" s="1306"/>
      <c r="Z122" s="690"/>
      <c r="AA122" s="1306"/>
      <c r="AB122" s="1306"/>
      <c r="AC122" s="1306"/>
      <c r="AD122" s="1306"/>
      <c r="AE122" s="1306"/>
      <c r="AF122" s="1778"/>
      <c r="AG122" s="712"/>
      <c r="AH122" s="712"/>
      <c r="AI122" s="712"/>
      <c r="AJ122" s="712"/>
      <c r="AK122" s="1787">
        <v>11</v>
      </c>
    </row>
    <row s="6314" customFormat="1" customHeight="1" ht="11.549999999999999">
      <c r="A123" s="1133"/>
      <c r="B123" s="1782"/>
      <c r="C123" s="1782"/>
      <c r="D123" s="497"/>
      <c r="J123" s="6314"/>
      <c r="K123" s="6314"/>
      <c r="L123" s="6314"/>
      <c r="M123" s="6314"/>
      <c r="N123" s="6314"/>
      <c r="P123" s="1306"/>
      <c r="Q123" s="1782"/>
      <c r="R123" s="1782"/>
      <c r="S123" s="1306"/>
      <c r="T123" s="1306"/>
      <c r="U123" s="1306"/>
      <c r="V123" s="1306"/>
      <c r="W123" s="1782"/>
      <c r="X123" s="1306"/>
      <c r="Y123" s="1306"/>
      <c r="Z123" s="690"/>
      <c r="AA123" s="1306"/>
      <c r="AB123" s="1306"/>
      <c r="AC123" s="1306"/>
      <c r="AD123" s="1306"/>
      <c r="AE123" s="1306"/>
      <c r="AF123" s="1778"/>
      <c r="AG123" s="712"/>
      <c r="AH123" s="712"/>
      <c r="AI123" s="712"/>
      <c r="AJ123" s="712"/>
      <c r="AK123" s="1787">
        <v>11</v>
      </c>
    </row>
    <row s="6314" customFormat="1" customHeight="1" ht="11.549999999999999">
      <c r="A124" s="1133"/>
      <c r="B124" s="1782"/>
      <c r="C124" s="1782"/>
      <c r="D124" s="497"/>
      <c r="J124" s="6314"/>
      <c r="K124" s="6314"/>
      <c r="L124" s="6314"/>
      <c r="M124" s="6314"/>
      <c r="N124" s="6314"/>
      <c r="P124" s="1306"/>
      <c r="Q124" s="1782"/>
      <c r="R124" s="1782"/>
      <c r="S124" s="1306"/>
      <c r="T124" s="1306"/>
      <c r="U124" s="1306"/>
      <c r="V124" s="1306"/>
      <c r="W124" s="1782"/>
      <c r="X124" s="1306"/>
      <c r="Y124" s="1306"/>
      <c r="Z124" s="690"/>
      <c r="AA124" s="1306"/>
      <c r="AB124" s="1306"/>
      <c r="AC124" s="1306"/>
      <c r="AD124" s="1306"/>
      <c r="AE124" s="1306"/>
      <c r="AF124" s="1778"/>
      <c r="AG124" s="712"/>
      <c r="AH124" s="712"/>
      <c r="AI124" s="712"/>
      <c r="AJ124" s="712"/>
      <c r="AK124" s="1787">
        <v>11</v>
      </c>
    </row>
    <row s="6314" customFormat="1" customHeight="1" ht="11.549999999999999">
      <c r="A125" s="1133"/>
      <c r="B125" s="1782"/>
      <c r="C125" s="1782"/>
      <c r="D125" s="497"/>
      <c r="J125" s="6314"/>
      <c r="K125" s="6314"/>
      <c r="L125" s="6314"/>
      <c r="M125" s="6314"/>
      <c r="N125" s="6314"/>
      <c r="P125" s="1306"/>
      <c r="Q125" s="1782"/>
      <c r="R125" s="1782"/>
      <c r="S125" s="1306"/>
      <c r="T125" s="1306"/>
      <c r="U125" s="1306"/>
      <c r="V125" s="1306"/>
      <c r="W125" s="1782"/>
      <c r="X125" s="1306"/>
      <c r="Y125" s="1306"/>
      <c r="Z125" s="690"/>
      <c r="AA125" s="1306"/>
      <c r="AB125" s="1306"/>
      <c r="AC125" s="1306"/>
      <c r="AD125" s="1306"/>
      <c r="AE125" s="1306"/>
      <c r="AF125" s="1778"/>
      <c r="AG125" s="712"/>
      <c r="AH125" s="712"/>
      <c r="AI125" s="712"/>
      <c r="AJ125" s="712"/>
      <c r="AK125" s="1787">
        <v>11</v>
      </c>
    </row>
    <row s="6314" customFormat="1" customHeight="1" ht="11.549999999999999">
      <c r="A126" s="1133"/>
      <c r="B126" s="1782"/>
      <c r="C126" s="1782"/>
      <c r="D126" s="497"/>
      <c r="J126" s="6314"/>
      <c r="K126" s="6314"/>
      <c r="L126" s="6314"/>
      <c r="M126" s="6314"/>
      <c r="N126" s="6314"/>
      <c r="P126" s="1306"/>
      <c r="Q126" s="1782"/>
      <c r="R126" s="1782"/>
      <c r="S126" s="1306"/>
      <c r="T126" s="1306"/>
      <c r="U126" s="1306"/>
      <c r="V126" s="1306"/>
      <c r="W126" s="1782"/>
      <c r="X126" s="1306"/>
      <c r="Y126" s="1306"/>
      <c r="Z126" s="690"/>
      <c r="AA126" s="1306"/>
      <c r="AB126" s="1306"/>
      <c r="AC126" s="1306"/>
      <c r="AD126" s="1306"/>
      <c r="AE126" s="1306"/>
      <c r="AF126" s="1778"/>
      <c r="AG126" s="712"/>
      <c r="AH126" s="712"/>
      <c r="AI126" s="712"/>
      <c r="AJ126" s="712"/>
      <c r="AK126" s="1787">
        <v>11</v>
      </c>
    </row>
    <row s="6314" customFormat="1" customHeight="1" ht="11.549999999999999">
      <c r="A127" s="1133"/>
      <c r="B127" s="1782"/>
      <c r="C127" s="1782"/>
      <c r="D127" s="497"/>
      <c r="J127" s="6314"/>
      <c r="K127" s="6314"/>
      <c r="L127" s="6314"/>
      <c r="M127" s="6314"/>
      <c r="N127" s="6314"/>
      <c r="P127" s="1306"/>
      <c r="Q127" s="1782"/>
      <c r="R127" s="1782"/>
      <c r="S127" s="1306"/>
      <c r="T127" s="1306"/>
      <c r="U127" s="1306"/>
      <c r="V127" s="1306"/>
      <c r="W127" s="1782"/>
      <c r="X127" s="1306"/>
      <c r="Y127" s="1306"/>
      <c r="Z127" s="690"/>
      <c r="AA127" s="1306"/>
      <c r="AB127" s="1306"/>
      <c r="AC127" s="1306"/>
      <c r="AD127" s="1306"/>
      <c r="AE127" s="1306"/>
      <c r="AF127" s="1778"/>
      <c r="AG127" s="712"/>
      <c r="AH127" s="712"/>
      <c r="AI127" s="712"/>
      <c r="AJ127" s="712"/>
      <c r="AK127" s="1787">
        <v>11</v>
      </c>
    </row>
    <row s="6314" customFormat="1" customHeight="1" ht="11.549999999999999">
      <c r="A128" s="1133"/>
      <c r="B128" s="1782"/>
      <c r="C128" s="1782"/>
      <c r="D128" s="497"/>
      <c r="J128" s="6314"/>
      <c r="K128" s="6314"/>
      <c r="L128" s="6314"/>
      <c r="M128" s="6314"/>
      <c r="N128" s="6314"/>
      <c r="P128" s="1306"/>
      <c r="Q128" s="1782"/>
      <c r="R128" s="1782"/>
      <c r="S128" s="1306"/>
      <c r="T128" s="1306"/>
      <c r="U128" s="1306"/>
      <c r="V128" s="1306"/>
      <c r="W128" s="1782"/>
      <c r="X128" s="1306"/>
      <c r="Y128" s="1306"/>
      <c r="Z128" s="690"/>
      <c r="AA128" s="1306"/>
      <c r="AB128" s="1306"/>
      <c r="AC128" s="1306"/>
      <c r="AD128" s="1306"/>
      <c r="AE128" s="1306"/>
      <c r="AF128" s="1778"/>
      <c r="AG128" s="712"/>
      <c r="AH128" s="712"/>
      <c r="AI128" s="712"/>
      <c r="AJ128" s="712"/>
      <c r="AK128" s="1787">
        <v>11</v>
      </c>
    </row>
    <row s="6314" customFormat="1" customHeight="1" ht="11.549999999999999">
      <c r="A129" s="1133"/>
      <c r="B129" s="1782"/>
      <c r="C129" s="1782"/>
      <c r="D129" s="497"/>
      <c r="J129" s="6314"/>
      <c r="K129" s="6314"/>
      <c r="L129" s="6314"/>
      <c r="M129" s="6314"/>
      <c r="N129" s="6314"/>
      <c r="P129" s="1306"/>
      <c r="Q129" s="1782"/>
      <c r="R129" s="1782"/>
      <c r="S129" s="1306"/>
      <c r="T129" s="1306"/>
      <c r="U129" s="1306"/>
      <c r="V129" s="1306"/>
      <c r="W129" s="1782"/>
      <c r="X129" s="1306"/>
      <c r="Y129" s="1306"/>
      <c r="Z129" s="690"/>
      <c r="AA129" s="1306"/>
      <c r="AB129" s="1306"/>
      <c r="AC129" s="1306"/>
      <c r="AD129" s="1306"/>
      <c r="AE129" s="1306"/>
      <c r="AF129" s="1778"/>
      <c r="AG129" s="712"/>
      <c r="AH129" s="712"/>
      <c r="AI129" s="712"/>
      <c r="AJ129" s="712"/>
      <c r="AK129" s="1787">
        <v>11</v>
      </c>
    </row>
    <row s="6314" customFormat="1" customHeight="1" ht="11.549999999999999">
      <c r="A130" s="1133"/>
      <c r="B130" s="1782"/>
      <c r="C130" s="1782"/>
      <c r="D130" s="497"/>
      <c r="J130" s="6314"/>
      <c r="K130" s="6314"/>
      <c r="L130" s="6314"/>
      <c r="M130" s="6314"/>
      <c r="N130" s="6314"/>
      <c r="P130" s="1306"/>
      <c r="Q130" s="1782"/>
      <c r="R130" s="1782"/>
      <c r="S130" s="1306"/>
      <c r="T130" s="1306"/>
      <c r="U130" s="1306"/>
      <c r="V130" s="1306"/>
      <c r="W130" s="1782"/>
      <c r="X130" s="1306"/>
      <c r="Y130" s="1306"/>
      <c r="Z130" s="690"/>
      <c r="AA130" s="1306"/>
      <c r="AB130" s="1306"/>
      <c r="AC130" s="1306"/>
      <c r="AD130" s="1306"/>
      <c r="AE130" s="1306"/>
      <c r="AF130" s="1778"/>
      <c r="AG130" s="712"/>
      <c r="AH130" s="712"/>
      <c r="AI130" s="712"/>
      <c r="AJ130" s="712"/>
      <c r="AK130" s="1787">
        <v>11</v>
      </c>
    </row>
    <row s="6314" customFormat="1" customHeight="1" ht="11.549999999999999">
      <c r="A131" s="1133"/>
      <c r="B131" s="1782"/>
      <c r="C131" s="1782"/>
      <c r="D131" s="497"/>
      <c r="J131" s="6314"/>
      <c r="K131" s="6314"/>
      <c r="L131" s="6314"/>
      <c r="M131" s="6314"/>
      <c r="N131" s="6314"/>
      <c r="P131" s="1306"/>
      <c r="Q131" s="1782"/>
      <c r="R131" s="1782"/>
      <c r="S131" s="1306"/>
      <c r="T131" s="1306"/>
      <c r="U131" s="1306"/>
      <c r="V131" s="1306"/>
      <c r="W131" s="1782"/>
      <c r="X131" s="1306"/>
      <c r="Y131" s="1306"/>
      <c r="Z131" s="690"/>
      <c r="AA131" s="1306"/>
      <c r="AB131" s="1306"/>
      <c r="AC131" s="1306"/>
      <c r="AD131" s="1306"/>
      <c r="AE131" s="1306"/>
      <c r="AF131" s="1778"/>
      <c r="AG131" s="712"/>
      <c r="AH131" s="712"/>
      <c r="AI131" s="712"/>
      <c r="AJ131" s="712"/>
      <c r="AK131" s="1787">
        <v>11</v>
      </c>
    </row>
    <row s="6314" customFormat="1" customHeight="1" ht="11.549999999999999">
      <c r="A132" s="1133"/>
      <c r="B132" s="1782"/>
      <c r="C132" s="1782"/>
      <c r="D132" s="497"/>
      <c r="J132" s="6314"/>
      <c r="K132" s="6314"/>
      <c r="L132" s="6314"/>
      <c r="M132" s="6314"/>
      <c r="N132" s="6314"/>
      <c r="P132" s="1306"/>
      <c r="Q132" s="1782"/>
      <c r="R132" s="1782"/>
      <c r="S132" s="1306"/>
      <c r="T132" s="1306"/>
      <c r="U132" s="1306"/>
      <c r="V132" s="1306"/>
      <c r="W132" s="1782"/>
      <c r="X132" s="1306"/>
      <c r="Y132" s="1306"/>
      <c r="Z132" s="690"/>
      <c r="AA132" s="1306"/>
      <c r="AB132" s="1306"/>
      <c r="AC132" s="1306"/>
      <c r="AD132" s="1306"/>
      <c r="AE132" s="1306"/>
      <c r="AF132" s="1778"/>
      <c r="AG132" s="712"/>
      <c r="AH132" s="712"/>
      <c r="AI132" s="712"/>
      <c r="AJ132" s="712"/>
      <c r="AK132" s="1787">
        <v>11</v>
      </c>
    </row>
    <row s="6314" customFormat="1" customHeight="1" ht="11.549999999999999">
      <c r="A133" s="1133"/>
      <c r="B133" s="1782"/>
      <c r="C133" s="1782"/>
      <c r="D133" s="497"/>
      <c r="J133" s="6314"/>
      <c r="K133" s="6314"/>
      <c r="L133" s="6314"/>
      <c r="M133" s="6314"/>
      <c r="N133" s="6314"/>
      <c r="P133" s="1306"/>
      <c r="Q133" s="1782"/>
      <c r="R133" s="1782"/>
      <c r="S133" s="1306"/>
      <c r="T133" s="1306"/>
      <c r="U133" s="1306"/>
      <c r="V133" s="1306"/>
      <c r="W133" s="1782"/>
      <c r="X133" s="1306"/>
      <c r="Y133" s="1306"/>
      <c r="Z133" s="690"/>
      <c r="AA133" s="1306"/>
      <c r="AB133" s="1306"/>
      <c r="AC133" s="1306"/>
      <c r="AD133" s="1306"/>
      <c r="AE133" s="1306"/>
      <c r="AF133" s="1778"/>
      <c r="AG133" s="712"/>
      <c r="AH133" s="712"/>
      <c r="AI133" s="712"/>
      <c r="AJ133" s="712"/>
      <c r="AK133" s="1787">
        <v>11</v>
      </c>
    </row>
    <row s="6314" customFormat="1" customHeight="1" ht="11.549999999999999">
      <c r="A134" s="1133"/>
      <c r="B134" s="1782"/>
      <c r="C134" s="1782"/>
      <c r="D134" s="497"/>
      <c r="J134" s="6314"/>
      <c r="K134" s="6314"/>
      <c r="L134" s="6314"/>
      <c r="M134" s="6314"/>
      <c r="N134" s="6314"/>
      <c r="P134" s="1306"/>
      <c r="Q134" s="1782"/>
      <c r="R134" s="1782"/>
      <c r="S134" s="1306"/>
      <c r="T134" s="1306"/>
      <c r="U134" s="1306"/>
      <c r="V134" s="1306"/>
      <c r="W134" s="1782"/>
      <c r="X134" s="1306"/>
      <c r="Y134" s="1306"/>
      <c r="Z134" s="690"/>
      <c r="AA134" s="1306"/>
      <c r="AB134" s="1306"/>
      <c r="AC134" s="1306"/>
      <c r="AD134" s="1306"/>
      <c r="AE134" s="1306"/>
      <c r="AF134" s="1778"/>
      <c r="AG134" s="712"/>
      <c r="AH134" s="712"/>
      <c r="AI134" s="712"/>
      <c r="AJ134" s="712"/>
      <c r="AK134" s="1787">
        <v>11</v>
      </c>
    </row>
    <row s="6314" customFormat="1" customHeight="1" ht="11.549999999999999">
      <c r="A135" s="1133"/>
      <c r="B135" s="1782"/>
      <c r="C135" s="1782"/>
      <c r="D135" s="497"/>
      <c r="J135" s="6314"/>
      <c r="K135" s="6314"/>
      <c r="L135" s="6314"/>
      <c r="M135" s="6314"/>
      <c r="N135" s="6314"/>
      <c r="P135" s="1306"/>
      <c r="Q135" s="1782"/>
      <c r="R135" s="1782"/>
      <c r="S135" s="1306"/>
      <c r="T135" s="1306"/>
      <c r="U135" s="1306"/>
      <c r="V135" s="1306"/>
      <c r="W135" s="1782"/>
      <c r="X135" s="1306"/>
      <c r="Y135" s="1306"/>
      <c r="Z135" s="690"/>
      <c r="AA135" s="1306"/>
      <c r="AB135" s="1306"/>
      <c r="AC135" s="1306"/>
      <c r="AD135" s="1306"/>
      <c r="AE135" s="1306"/>
      <c r="AF135" s="1778"/>
      <c r="AG135" s="712"/>
      <c r="AH135" s="712"/>
      <c r="AI135" s="712"/>
      <c r="AJ135" s="712"/>
      <c r="AK135" s="1787">
        <v>11</v>
      </c>
    </row>
    <row s="6314" customFormat="1" customHeight="1" ht="11.549999999999999">
      <c r="A136" s="1133"/>
      <c r="B136" s="1782"/>
      <c r="C136" s="1782"/>
      <c r="D136" s="497"/>
      <c r="J136" s="6314"/>
      <c r="K136" s="6314"/>
      <c r="L136" s="6314"/>
      <c r="M136" s="6314"/>
      <c r="N136" s="6314"/>
      <c r="P136" s="1306"/>
      <c r="Q136" s="1782"/>
      <c r="R136" s="1782"/>
      <c r="S136" s="1306"/>
      <c r="T136" s="1306"/>
      <c r="U136" s="1306"/>
      <c r="V136" s="1306"/>
      <c r="W136" s="1782"/>
      <c r="X136" s="1306"/>
      <c r="Y136" s="1306"/>
      <c r="Z136" s="690"/>
      <c r="AA136" s="1306"/>
      <c r="AB136" s="1306"/>
      <c r="AC136" s="1306"/>
      <c r="AD136" s="1306"/>
      <c r="AE136" s="1306"/>
      <c r="AF136" s="1778"/>
      <c r="AG136" s="712"/>
      <c r="AH136" s="712"/>
      <c r="AI136" s="712"/>
      <c r="AJ136" s="712"/>
      <c r="AK136" s="1787">
        <v>11</v>
      </c>
    </row>
    <row s="6314" customFormat="1" customHeight="1" ht="11.549999999999999">
      <c r="A137" s="1133"/>
      <c r="B137" s="1782"/>
      <c r="C137" s="1782"/>
      <c r="D137" s="497"/>
      <c r="J137" s="6314"/>
      <c r="K137" s="6314"/>
      <c r="L137" s="6314"/>
      <c r="M137" s="6314"/>
      <c r="N137" s="6314"/>
      <c r="P137" s="1306"/>
      <c r="Q137" s="1782"/>
      <c r="R137" s="1782"/>
      <c r="S137" s="1306"/>
      <c r="T137" s="1306"/>
      <c r="U137" s="1306"/>
      <c r="V137" s="1306"/>
      <c r="W137" s="1782"/>
      <c r="X137" s="1306"/>
      <c r="Y137" s="1306"/>
      <c r="Z137" s="690"/>
      <c r="AA137" s="1306"/>
      <c r="AB137" s="1306"/>
      <c r="AC137" s="1306"/>
      <c r="AD137" s="1306"/>
      <c r="AE137" s="1306"/>
      <c r="AF137" s="1778"/>
      <c r="AG137" s="712"/>
      <c r="AH137" s="712"/>
      <c r="AI137" s="712"/>
      <c r="AJ137" s="712"/>
      <c r="AK137" s="1787">
        <v>11</v>
      </c>
    </row>
    <row s="6314" customFormat="1" customHeight="1" ht="11.549999999999999">
      <c r="A138" s="1133"/>
      <c r="B138" s="1782"/>
      <c r="C138" s="1782"/>
      <c r="D138" s="497"/>
      <c r="J138" s="6314"/>
      <c r="K138" s="6314"/>
      <c r="L138" s="6314"/>
      <c r="M138" s="6314"/>
      <c r="N138" s="6314"/>
      <c r="P138" s="1306"/>
      <c r="Q138" s="1782"/>
      <c r="R138" s="1782"/>
      <c r="S138" s="1306"/>
      <c r="T138" s="1306"/>
      <c r="U138" s="1306"/>
      <c r="V138" s="1306"/>
      <c r="W138" s="1782"/>
      <c r="X138" s="1306"/>
      <c r="Y138" s="1306"/>
      <c r="Z138" s="690"/>
      <c r="AA138" s="1306"/>
      <c r="AB138" s="1306"/>
      <c r="AC138" s="1306"/>
      <c r="AD138" s="1306"/>
      <c r="AE138" s="1306"/>
      <c r="AF138" s="1778"/>
      <c r="AG138" s="712"/>
      <c r="AH138" s="712"/>
      <c r="AI138" s="712"/>
      <c r="AJ138" s="712"/>
      <c r="AK138" s="1787">
        <v>11</v>
      </c>
    </row>
    <row s="6314" customFormat="1" customHeight="1" ht="11.549999999999999">
      <c r="A139" s="1133"/>
      <c r="B139" s="1782"/>
      <c r="C139" s="1782"/>
      <c r="D139" s="497"/>
      <c r="J139" s="6314"/>
      <c r="K139" s="6314"/>
      <c r="L139" s="6314"/>
      <c r="M139" s="6314"/>
      <c r="N139" s="6314"/>
      <c r="P139" s="1306"/>
      <c r="Q139" s="1782"/>
      <c r="R139" s="1782"/>
      <c r="S139" s="1306"/>
      <c r="T139" s="1306"/>
      <c r="U139" s="1306"/>
      <c r="V139" s="1306"/>
      <c r="W139" s="1782"/>
      <c r="X139" s="1306"/>
      <c r="Y139" s="1306"/>
      <c r="Z139" s="690"/>
      <c r="AA139" s="1306"/>
      <c r="AB139" s="1306"/>
      <c r="AC139" s="1306"/>
      <c r="AD139" s="1306"/>
      <c r="AE139" s="1306"/>
      <c r="AF139" s="1778"/>
      <c r="AG139" s="712"/>
      <c r="AH139" s="712"/>
      <c r="AI139" s="712"/>
      <c r="AJ139" s="712"/>
      <c r="AK139" s="1787">
        <v>11</v>
      </c>
    </row>
    <row s="6314" customFormat="1" customHeight="1" ht="11.549999999999999">
      <c r="A140" s="1133"/>
      <c r="B140" s="1782"/>
      <c r="C140" s="1782"/>
      <c r="D140" s="497"/>
      <c r="J140" s="6314"/>
      <c r="K140" s="6314"/>
      <c r="L140" s="6314"/>
      <c r="M140" s="6314"/>
      <c r="N140" s="6314"/>
      <c r="P140" s="1306"/>
      <c r="Q140" s="1782"/>
      <c r="R140" s="1782"/>
      <c r="S140" s="1306"/>
      <c r="T140" s="1306"/>
      <c r="U140" s="1306"/>
      <c r="V140" s="1306"/>
      <c r="W140" s="1782"/>
      <c r="X140" s="1306"/>
      <c r="Y140" s="1306"/>
      <c r="Z140" s="690"/>
      <c r="AA140" s="1306"/>
      <c r="AB140" s="1306"/>
      <c r="AC140" s="1306"/>
      <c r="AD140" s="1306"/>
      <c r="AE140" s="1306"/>
      <c r="AF140" s="1778"/>
      <c r="AG140" s="712"/>
      <c r="AH140" s="712"/>
      <c r="AI140" s="712"/>
      <c r="AJ140" s="712"/>
      <c r="AK140" s="1787">
        <v>11</v>
      </c>
    </row>
    <row s="6314" customFormat="1" customHeight="1" ht="11.549999999999999">
      <c r="A141" s="1133"/>
      <c r="B141" s="1782"/>
      <c r="C141" s="1782"/>
      <c r="D141" s="497"/>
      <c r="J141" s="6314"/>
      <c r="K141" s="6314"/>
      <c r="L141" s="6314"/>
      <c r="M141" s="6314"/>
      <c r="N141" s="6314"/>
      <c r="P141" s="1306"/>
      <c r="Q141" s="1782"/>
      <c r="R141" s="1782"/>
      <c r="S141" s="1306"/>
      <c r="T141" s="1306"/>
      <c r="U141" s="1306"/>
      <c r="V141" s="1306"/>
      <c r="W141" s="1782"/>
      <c r="X141" s="1306"/>
      <c r="Y141" s="1306"/>
      <c r="Z141" s="690"/>
      <c r="AA141" s="1306"/>
      <c r="AB141" s="1306"/>
      <c r="AC141" s="1306"/>
      <c r="AD141" s="1306"/>
      <c r="AE141" s="1306"/>
      <c r="AF141" s="1778"/>
      <c r="AG141" s="712"/>
      <c r="AH141" s="712"/>
      <c r="AI141" s="712"/>
      <c r="AJ141" s="712"/>
      <c r="AK141" s="1787">
        <v>11</v>
      </c>
    </row>
    <row s="6314" customFormat="1" customHeight="1" ht="11.549999999999999">
      <c r="A142" s="1133"/>
      <c r="B142" s="1782"/>
      <c r="C142" s="1782"/>
      <c r="D142" s="497"/>
      <c r="J142" s="6314"/>
      <c r="K142" s="6314"/>
      <c r="L142" s="6314"/>
      <c r="M142" s="6314"/>
      <c r="N142" s="6314"/>
      <c r="P142" s="1306"/>
      <c r="Q142" s="1782"/>
      <c r="R142" s="1782"/>
      <c r="S142" s="1306"/>
      <c r="T142" s="1306"/>
      <c r="U142" s="1306"/>
      <c r="V142" s="1306"/>
      <c r="W142" s="1782"/>
      <c r="X142" s="1306"/>
      <c r="Y142" s="1306"/>
      <c r="Z142" s="690"/>
      <c r="AA142" s="1306"/>
      <c r="AB142" s="1306"/>
      <c r="AC142" s="1306"/>
      <c r="AD142" s="1306"/>
      <c r="AE142" s="1306"/>
      <c r="AF142" s="1778"/>
      <c r="AG142" s="712"/>
      <c r="AH142" s="712"/>
      <c r="AI142" s="712"/>
      <c r="AJ142" s="712"/>
      <c r="AK142" s="1787">
        <v>11</v>
      </c>
    </row>
    <row s="6314" customFormat="1" customHeight="1" ht="11.549999999999999">
      <c r="A143" s="1133"/>
      <c r="B143" s="1782"/>
      <c r="C143" s="1782"/>
      <c r="D143" s="497"/>
      <c r="J143" s="6314"/>
      <c r="K143" s="6314"/>
      <c r="L143" s="6314"/>
      <c r="M143" s="6314"/>
      <c r="N143" s="6314"/>
      <c r="P143" s="1306"/>
      <c r="Q143" s="1782"/>
      <c r="R143" s="1782"/>
      <c r="S143" s="1306"/>
      <c r="T143" s="1306"/>
      <c r="U143" s="1306"/>
      <c r="V143" s="1306"/>
      <c r="W143" s="1782"/>
      <c r="X143" s="1306"/>
      <c r="Y143" s="1306"/>
      <c r="Z143" s="690"/>
      <c r="AA143" s="1306"/>
      <c r="AB143" s="1306"/>
      <c r="AC143" s="1306"/>
      <c r="AD143" s="1306"/>
      <c r="AE143" s="1306"/>
      <c r="AF143" s="1778"/>
      <c r="AG143" s="712"/>
      <c r="AH143" s="712"/>
      <c r="AI143" s="712"/>
      <c r="AJ143" s="712"/>
      <c r="AK143" s="1787">
        <v>11</v>
      </c>
    </row>
    <row s="6314" customFormat="1" customHeight="1" ht="11.549999999999999">
      <c r="A144" s="1133"/>
      <c r="B144" s="1782"/>
      <c r="C144" s="1782"/>
      <c r="D144" s="497"/>
      <c r="J144" s="6314"/>
      <c r="K144" s="6314"/>
      <c r="L144" s="6314"/>
      <c r="M144" s="6314"/>
      <c r="N144" s="6314"/>
      <c r="P144" s="1306"/>
      <c r="Q144" s="1782"/>
      <c r="R144" s="1782"/>
      <c r="S144" s="1306"/>
      <c r="T144" s="1306"/>
      <c r="U144" s="1306"/>
      <c r="V144" s="1306"/>
      <c r="W144" s="1782"/>
      <c r="X144" s="1306"/>
      <c r="Y144" s="1306"/>
      <c r="Z144" s="690"/>
      <c r="AA144" s="1306"/>
      <c r="AB144" s="1306"/>
      <c r="AC144" s="1306"/>
      <c r="AD144" s="1306"/>
      <c r="AE144" s="1306"/>
      <c r="AF144" s="1778"/>
      <c r="AG144" s="712"/>
      <c r="AH144" s="712"/>
      <c r="AI144" s="712"/>
      <c r="AJ144" s="712"/>
      <c r="AK144" s="1787">
        <v>11</v>
      </c>
    </row>
    <row s="6314" customFormat="1" customHeight="1" ht="11.549999999999999">
      <c r="A145" s="1133"/>
      <c r="B145" s="1782"/>
      <c r="C145" s="1782"/>
      <c r="D145" s="497"/>
      <c r="J145" s="6314"/>
      <c r="K145" s="6314"/>
      <c r="L145" s="6314"/>
      <c r="M145" s="6314"/>
      <c r="N145" s="6314"/>
      <c r="P145" s="1306"/>
      <c r="Q145" s="1782"/>
      <c r="R145" s="1782"/>
      <c r="S145" s="1306"/>
      <c r="T145" s="1306"/>
      <c r="U145" s="1306"/>
      <c r="V145" s="1306"/>
      <c r="W145" s="1782"/>
      <c r="X145" s="1306"/>
      <c r="Y145" s="1306"/>
      <c r="Z145" s="690"/>
      <c r="AA145" s="1306"/>
      <c r="AB145" s="1306"/>
      <c r="AC145" s="1306"/>
      <c r="AD145" s="1306"/>
      <c r="AE145" s="1306"/>
      <c r="AF145" s="1778"/>
      <c r="AG145" s="712"/>
      <c r="AH145" s="712"/>
      <c r="AI145" s="712"/>
      <c r="AJ145" s="712"/>
      <c r="AK145" s="1787">
        <v>11</v>
      </c>
    </row>
    <row s="6314" customFormat="1" customHeight="1" ht="11.549999999999999">
      <c r="A146" s="1133"/>
      <c r="B146" s="1782"/>
      <c r="C146" s="1782"/>
      <c r="D146" s="497"/>
      <c r="J146" s="6314"/>
      <c r="K146" s="6314"/>
      <c r="L146" s="6314"/>
      <c r="M146" s="6314"/>
      <c r="N146" s="6314"/>
      <c r="P146" s="1306"/>
      <c r="Q146" s="1782"/>
      <c r="R146" s="1782"/>
      <c r="S146" s="1306"/>
      <c r="T146" s="1306"/>
      <c r="U146" s="1306"/>
      <c r="V146" s="1306"/>
      <c r="W146" s="1782"/>
      <c r="X146" s="1306"/>
      <c r="Y146" s="1306"/>
      <c r="Z146" s="690"/>
      <c r="AA146" s="1306"/>
      <c r="AB146" s="1306"/>
      <c r="AC146" s="1306"/>
      <c r="AD146" s="1306"/>
      <c r="AE146" s="1306"/>
      <c r="AF146" s="1778"/>
      <c r="AG146" s="712"/>
      <c r="AH146" s="712"/>
      <c r="AI146" s="712"/>
      <c r="AJ146" s="712"/>
      <c r="AK146" s="1787">
        <v>11</v>
      </c>
    </row>
    <row s="6314" customFormat="1" customHeight="1" ht="11.549999999999999">
      <c r="A147" s="1133"/>
      <c r="B147" s="1782"/>
      <c r="C147" s="1782"/>
      <c r="D147" s="497"/>
      <c r="J147" s="6314"/>
      <c r="K147" s="6314"/>
      <c r="L147" s="6314"/>
      <c r="M147" s="6314"/>
      <c r="N147" s="6314"/>
      <c r="P147" s="1306"/>
      <c r="Q147" s="1782"/>
      <c r="R147" s="1782"/>
      <c r="S147" s="1306"/>
      <c r="T147" s="1306"/>
      <c r="U147" s="1306"/>
      <c r="V147" s="1306"/>
      <c r="W147" s="1782"/>
      <c r="X147" s="1306"/>
      <c r="Y147" s="1306"/>
      <c r="Z147" s="690"/>
      <c r="AA147" s="1306"/>
      <c r="AB147" s="1306"/>
      <c r="AC147" s="1306"/>
      <c r="AD147" s="1306"/>
      <c r="AE147" s="1306"/>
      <c r="AF147" s="1778"/>
      <c r="AG147" s="712"/>
      <c r="AH147" s="712"/>
      <c r="AI147" s="712"/>
      <c r="AJ147" s="712"/>
      <c r="AK147" s="1787">
        <v>11</v>
      </c>
    </row>
    <row s="6314" customFormat="1" customHeight="1" ht="11.549999999999999">
      <c r="A148" s="1133"/>
      <c r="B148" s="1782"/>
      <c r="C148" s="1782"/>
      <c r="D148" s="497"/>
      <c r="J148" s="6314"/>
      <c r="K148" s="6314"/>
      <c r="L148" s="6314"/>
      <c r="M148" s="6314"/>
      <c r="N148" s="6314"/>
      <c r="P148" s="1306"/>
      <c r="Q148" s="1782"/>
      <c r="R148" s="1782"/>
      <c r="S148" s="1306"/>
      <c r="T148" s="1306"/>
      <c r="U148" s="1306"/>
      <c r="V148" s="1306"/>
      <c r="W148" s="1782"/>
      <c r="X148" s="1306"/>
      <c r="Y148" s="1306"/>
      <c r="Z148" s="690"/>
      <c r="AA148" s="1306"/>
      <c r="AB148" s="1306"/>
      <c r="AC148" s="1306"/>
      <c r="AD148" s="1306"/>
      <c r="AE148" s="1306"/>
      <c r="AF148" s="1778"/>
      <c r="AG148" s="712"/>
      <c r="AH148" s="712"/>
      <c r="AI148" s="712"/>
      <c r="AJ148" s="712"/>
      <c r="AK148" s="1787">
        <v>11</v>
      </c>
    </row>
    <row s="6314" customFormat="1" customHeight="1" ht="11.549999999999999">
      <c r="A149" s="1133"/>
      <c r="B149" s="1782"/>
      <c r="C149" s="1782"/>
      <c r="D149" s="497"/>
      <c r="J149" s="6314"/>
      <c r="K149" s="6314"/>
      <c r="L149" s="6314"/>
      <c r="M149" s="6314"/>
      <c r="N149" s="6314"/>
      <c r="P149" s="1306"/>
      <c r="Q149" s="1782"/>
      <c r="R149" s="1782"/>
      <c r="S149" s="1306"/>
      <c r="T149" s="1306"/>
      <c r="U149" s="1306"/>
      <c r="V149" s="1306"/>
      <c r="W149" s="1782"/>
      <c r="X149" s="1306"/>
      <c r="Y149" s="1306"/>
      <c r="Z149" s="690"/>
      <c r="AA149" s="1306"/>
      <c r="AB149" s="1306"/>
      <c r="AC149" s="1306"/>
      <c r="AD149" s="1306"/>
      <c r="AE149" s="1306"/>
      <c r="AF149" s="1778"/>
      <c r="AG149" s="712"/>
      <c r="AH149" s="712"/>
      <c r="AI149" s="712"/>
      <c r="AJ149" s="712"/>
      <c r="AK149" s="1787">
        <v>11</v>
      </c>
    </row>
    <row s="6314" customFormat="1" customHeight="1" ht="11.549999999999999">
      <c r="A150" s="1133"/>
      <c r="B150" s="1782"/>
      <c r="C150" s="1782"/>
      <c r="D150" s="497"/>
      <c r="J150" s="6314"/>
      <c r="K150" s="6314"/>
      <c r="L150" s="6314"/>
      <c r="M150" s="6314"/>
      <c r="N150" s="6314"/>
      <c r="P150" s="1306"/>
      <c r="Q150" s="1782"/>
      <c r="R150" s="1782"/>
      <c r="S150" s="1306"/>
      <c r="T150" s="1306"/>
      <c r="U150" s="1306"/>
      <c r="V150" s="1306"/>
      <c r="W150" s="1782"/>
      <c r="X150" s="1306"/>
      <c r="Y150" s="1306"/>
      <c r="Z150" s="690"/>
      <c r="AA150" s="1306"/>
      <c r="AB150" s="1306"/>
      <c r="AC150" s="1306"/>
      <c r="AD150" s="1306"/>
      <c r="AE150" s="1306"/>
      <c r="AF150" s="1778"/>
      <c r="AG150" s="712"/>
      <c r="AH150" s="712"/>
      <c r="AI150" s="712"/>
      <c r="AJ150" s="712"/>
      <c r="AK150" s="1787">
        <v>11</v>
      </c>
    </row>
    <row s="6314" customFormat="1" customHeight="1" ht="11.549999999999999">
      <c r="A151" s="1133"/>
      <c r="B151" s="1782"/>
      <c r="C151" s="1782"/>
      <c r="D151" s="497"/>
      <c r="J151" s="6314"/>
      <c r="K151" s="6314"/>
      <c r="L151" s="6314"/>
      <c r="M151" s="6314"/>
      <c r="N151" s="6314"/>
      <c r="P151" s="1306"/>
      <c r="Q151" s="1782"/>
      <c r="R151" s="1782"/>
      <c r="S151" s="1306"/>
      <c r="T151" s="1306"/>
      <c r="U151" s="1306"/>
      <c r="V151" s="1306"/>
      <c r="W151" s="1782"/>
      <c r="X151" s="1306"/>
      <c r="Y151" s="1306"/>
      <c r="Z151" s="690"/>
      <c r="AA151" s="1306"/>
      <c r="AB151" s="1306"/>
      <c r="AC151" s="1306"/>
      <c r="AD151" s="1306"/>
      <c r="AE151" s="1306"/>
      <c r="AF151" s="1778"/>
      <c r="AG151" s="712"/>
      <c r="AH151" s="712"/>
      <c r="AI151" s="712"/>
      <c r="AJ151" s="712"/>
      <c r="AK151" s="1787">
        <v>11</v>
      </c>
    </row>
    <row s="6314" customFormat="1" customHeight="1" ht="11.549999999999999">
      <c r="A152" s="1133"/>
      <c r="B152" s="1782"/>
      <c r="C152" s="1782"/>
      <c r="D152" s="497"/>
      <c r="J152" s="6314"/>
      <c r="K152" s="6314"/>
      <c r="L152" s="6314"/>
      <c r="M152" s="6314"/>
      <c r="N152" s="6314"/>
      <c r="P152" s="1306"/>
      <c r="Q152" s="1782"/>
      <c r="R152" s="1782"/>
      <c r="S152" s="1306"/>
      <c r="T152" s="1306"/>
      <c r="U152" s="1306"/>
      <c r="V152" s="1306"/>
      <c r="W152" s="1782"/>
      <c r="X152" s="1306"/>
      <c r="Y152" s="1306"/>
      <c r="Z152" s="690"/>
      <c r="AA152" s="1306"/>
      <c r="AB152" s="1306"/>
      <c r="AC152" s="1306"/>
      <c r="AD152" s="1306"/>
      <c r="AE152" s="1306"/>
      <c r="AF152" s="1778"/>
      <c r="AG152" s="712"/>
      <c r="AH152" s="712"/>
      <c r="AI152" s="712"/>
      <c r="AJ152" s="712"/>
      <c r="AK152" s="1787">
        <v>11</v>
      </c>
    </row>
    <row s="6314" customFormat="1" customHeight="1" ht="11.549999999999999">
      <c r="A153" s="1133"/>
      <c r="B153" s="1782"/>
      <c r="C153" s="1782"/>
      <c r="D153" s="497"/>
      <c r="J153" s="6314"/>
      <c r="K153" s="6314"/>
      <c r="L153" s="6314"/>
      <c r="M153" s="6314"/>
      <c r="N153" s="6314"/>
      <c r="P153" s="1306"/>
      <c r="Q153" s="1782"/>
      <c r="R153" s="1782"/>
      <c r="S153" s="1306"/>
      <c r="T153" s="1306"/>
      <c r="U153" s="1306"/>
      <c r="V153" s="1306"/>
      <c r="W153" s="1782"/>
      <c r="X153" s="1306"/>
      <c r="Y153" s="1306"/>
      <c r="Z153" s="690"/>
      <c r="AA153" s="1306"/>
      <c r="AB153" s="1306"/>
      <c r="AC153" s="1306"/>
      <c r="AD153" s="1306"/>
      <c r="AE153" s="1306"/>
      <c r="AF153" s="1778"/>
      <c r="AG153" s="712"/>
      <c r="AH153" s="712"/>
      <c r="AI153" s="712"/>
      <c r="AJ153" s="712"/>
      <c r="AK153" s="1787">
        <v>11</v>
      </c>
    </row>
    <row s="6314" customFormat="1" customHeight="1" ht="11.549999999999999">
      <c r="A154" s="1133"/>
      <c r="B154" s="1782"/>
      <c r="C154" s="1782"/>
      <c r="D154" s="497"/>
      <c r="J154" s="6314"/>
      <c r="K154" s="6314"/>
      <c r="L154" s="6314"/>
      <c r="M154" s="6314"/>
      <c r="N154" s="6314"/>
      <c r="P154" s="1306"/>
      <c r="Q154" s="1782"/>
      <c r="R154" s="1782"/>
      <c r="S154" s="1306"/>
      <c r="T154" s="1306"/>
      <c r="U154" s="1306"/>
      <c r="V154" s="1306"/>
      <c r="W154" s="1782"/>
      <c r="X154" s="1306"/>
      <c r="Y154" s="1306"/>
      <c r="Z154" s="690"/>
      <c r="AA154" s="1306"/>
      <c r="AB154" s="1306"/>
      <c r="AC154" s="1306"/>
      <c r="AD154" s="1306"/>
      <c r="AE154" s="1306"/>
      <c r="AF154" s="1778"/>
      <c r="AG154" s="712"/>
      <c r="AH154" s="712"/>
      <c r="AI154" s="712"/>
      <c r="AJ154" s="712"/>
      <c r="AK154" s="1787">
        <v>11</v>
      </c>
    </row>
    <row s="6314" customFormat="1" customHeight="1" ht="11.549999999999999">
      <c r="A155" s="1133"/>
      <c r="B155" s="1782"/>
      <c r="C155" s="1782"/>
      <c r="D155" s="497"/>
      <c r="J155" s="6314"/>
      <c r="K155" s="6314"/>
      <c r="L155" s="6314"/>
      <c r="M155" s="6314"/>
      <c r="N155" s="6314"/>
      <c r="P155" s="1306"/>
      <c r="Q155" s="1782"/>
      <c r="R155" s="1782"/>
      <c r="S155" s="1306"/>
      <c r="T155" s="1306"/>
      <c r="U155" s="1306"/>
      <c r="V155" s="1306"/>
      <c r="W155" s="1782"/>
      <c r="X155" s="1306"/>
      <c r="Y155" s="1306"/>
      <c r="Z155" s="690"/>
      <c r="AA155" s="1306"/>
      <c r="AB155" s="1306"/>
      <c r="AC155" s="1306"/>
      <c r="AD155" s="1306"/>
      <c r="AE155" s="1306"/>
      <c r="AF155" s="1778"/>
      <c r="AG155" s="712"/>
      <c r="AH155" s="712"/>
      <c r="AI155" s="712"/>
      <c r="AJ155" s="712"/>
      <c r="AK155" s="1787">
        <v>11</v>
      </c>
    </row>
    <row s="6314" customFormat="1" customHeight="1" ht="11.549999999999999">
      <c r="A156" s="1133"/>
      <c r="B156" s="1782"/>
      <c r="C156" s="1782"/>
      <c r="D156" s="497"/>
      <c r="J156" s="6314"/>
      <c r="K156" s="6314"/>
      <c r="L156" s="6314"/>
      <c r="M156" s="6314"/>
      <c r="N156" s="6314"/>
      <c r="P156" s="1306"/>
      <c r="Q156" s="1782"/>
      <c r="R156" s="1782"/>
      <c r="S156" s="1306"/>
      <c r="T156" s="1306"/>
      <c r="U156" s="1306"/>
      <c r="V156" s="1306"/>
      <c r="W156" s="1782"/>
      <c r="X156" s="1306"/>
      <c r="Y156" s="1306"/>
      <c r="Z156" s="690"/>
      <c r="AA156" s="1306"/>
      <c r="AB156" s="1306"/>
      <c r="AC156" s="1306"/>
      <c r="AD156" s="1306"/>
      <c r="AE156" s="1306"/>
      <c r="AF156" s="1778"/>
      <c r="AG156" s="712"/>
      <c r="AH156" s="712"/>
      <c r="AI156" s="712"/>
      <c r="AJ156" s="712"/>
      <c r="AK156" s="1787">
        <v>11</v>
      </c>
    </row>
    <row s="6314" customFormat="1" customHeight="1" ht="11.549999999999999">
      <c r="A157" s="1133"/>
      <c r="B157" s="1782"/>
      <c r="C157" s="1782"/>
      <c r="D157" s="497"/>
      <c r="J157" s="6314"/>
      <c r="K157" s="6314"/>
      <c r="L157" s="6314"/>
      <c r="M157" s="6314"/>
      <c r="N157" s="6314"/>
      <c r="P157" s="1306"/>
      <c r="Q157" s="1782"/>
      <c r="R157" s="1782"/>
      <c r="S157" s="1306"/>
      <c r="T157" s="1306"/>
      <c r="U157" s="1306"/>
      <c r="V157" s="1306"/>
      <c r="W157" s="1782"/>
      <c r="X157" s="1306"/>
      <c r="Y157" s="1306"/>
      <c r="Z157" s="690"/>
      <c r="AA157" s="1306"/>
      <c r="AB157" s="1306"/>
      <c r="AC157" s="1306"/>
      <c r="AD157" s="1306"/>
      <c r="AE157" s="1306"/>
      <c r="AF157" s="1778"/>
      <c r="AG157" s="712"/>
      <c r="AH157" s="712"/>
      <c r="AI157" s="712"/>
      <c r="AJ157" s="712"/>
      <c r="AK157" s="1787">
        <v>11</v>
      </c>
    </row>
    <row s="6314" customFormat="1" customHeight="1" ht="11.549999999999999">
      <c r="A158" s="1133"/>
      <c r="B158" s="1782"/>
      <c r="C158" s="1782"/>
      <c r="D158" s="497"/>
      <c r="J158" s="6314"/>
      <c r="K158" s="6314"/>
      <c r="L158" s="6314"/>
      <c r="M158" s="6314"/>
      <c r="N158" s="6314"/>
      <c r="P158" s="1306"/>
      <c r="Q158" s="1782"/>
      <c r="R158" s="1782"/>
      <c r="S158" s="1306"/>
      <c r="T158" s="1306"/>
      <c r="U158" s="1306"/>
      <c r="V158" s="1306"/>
      <c r="W158" s="1782"/>
      <c r="X158" s="1306"/>
      <c r="Y158" s="1306"/>
      <c r="Z158" s="690"/>
      <c r="AA158" s="1306"/>
      <c r="AB158" s="1306"/>
      <c r="AC158" s="1306"/>
      <c r="AD158" s="1306"/>
      <c r="AE158" s="1306"/>
      <c r="AF158" s="1778"/>
      <c r="AG158" s="712"/>
      <c r="AH158" s="712"/>
      <c r="AI158" s="712"/>
      <c r="AJ158" s="712"/>
      <c r="AK158" s="1787">
        <v>11</v>
      </c>
    </row>
    <row s="6314" customFormat="1" customHeight="1" ht="11.549999999999999">
      <c r="A159" s="1133"/>
      <c r="B159" s="1782"/>
      <c r="C159" s="1782"/>
      <c r="D159" s="497"/>
      <c r="J159" s="6314"/>
      <c r="K159" s="6314"/>
      <c r="L159" s="6314"/>
      <c r="M159" s="6314"/>
      <c r="N159" s="6314"/>
      <c r="P159" s="1306"/>
      <c r="Q159" s="1782"/>
      <c r="R159" s="1782"/>
      <c r="S159" s="1306"/>
      <c r="T159" s="1306"/>
      <c r="U159" s="1306"/>
      <c r="V159" s="1306"/>
      <c r="W159" s="1782"/>
      <c r="X159" s="1306"/>
      <c r="Y159" s="1306"/>
      <c r="Z159" s="690"/>
      <c r="AA159" s="1306"/>
      <c r="AB159" s="1306"/>
      <c r="AC159" s="1306"/>
      <c r="AD159" s="1306"/>
      <c r="AE159" s="1306"/>
      <c r="AF159" s="1778"/>
      <c r="AG159" s="712"/>
      <c r="AH159" s="712"/>
      <c r="AI159" s="712"/>
      <c r="AJ159" s="712"/>
      <c r="AK159" s="1787">
        <v>11</v>
      </c>
    </row>
    <row s="6314" customFormat="1" customHeight="1" ht="11.549999999999999">
      <c r="A160" s="1133"/>
      <c r="B160" s="1782"/>
      <c r="C160" s="1782"/>
      <c r="D160" s="497"/>
      <c r="J160" s="6314"/>
      <c r="K160" s="6314"/>
      <c r="L160" s="6314"/>
      <c r="M160" s="6314"/>
      <c r="N160" s="6314"/>
      <c r="P160" s="1306"/>
      <c r="Q160" s="1782"/>
      <c r="R160" s="1782"/>
      <c r="S160" s="1306"/>
      <c r="T160" s="1306"/>
      <c r="U160" s="1306"/>
      <c r="V160" s="1306"/>
      <c r="W160" s="1782"/>
      <c r="X160" s="1306"/>
      <c r="Y160" s="1306"/>
      <c r="Z160" s="690"/>
      <c r="AA160" s="1306"/>
      <c r="AB160" s="1306"/>
      <c r="AC160" s="1306"/>
      <c r="AD160" s="1306"/>
      <c r="AE160" s="1306"/>
      <c r="AF160" s="1778"/>
      <c r="AG160" s="712"/>
      <c r="AH160" s="712"/>
      <c r="AI160" s="712"/>
      <c r="AJ160" s="712"/>
      <c r="AK160" s="1787">
        <v>11</v>
      </c>
    </row>
    <row s="6314" customFormat="1" customHeight="1" ht="11.549999999999999">
      <c r="A161" s="1133"/>
      <c r="B161" s="1782"/>
      <c r="C161" s="1782"/>
      <c r="D161" s="497"/>
      <c r="J161" s="6314"/>
      <c r="K161" s="6314"/>
      <c r="L161" s="6314"/>
      <c r="M161" s="6314"/>
      <c r="N161" s="6314"/>
      <c r="P161" s="1306"/>
      <c r="Q161" s="1782"/>
      <c r="R161" s="1782"/>
      <c r="S161" s="1306"/>
      <c r="T161" s="1306"/>
      <c r="U161" s="1306"/>
      <c r="V161" s="1306"/>
      <c r="W161" s="1782"/>
      <c r="X161" s="1306"/>
      <c r="Y161" s="1306"/>
      <c r="Z161" s="690"/>
      <c r="AA161" s="1306"/>
      <c r="AB161" s="1306"/>
      <c r="AC161" s="1306"/>
      <c r="AD161" s="1306"/>
      <c r="AE161" s="1306"/>
      <c r="AF161" s="1778"/>
      <c r="AG161" s="712"/>
      <c r="AH161" s="712"/>
      <c r="AI161" s="712"/>
      <c r="AJ161" s="712"/>
      <c r="AK161" s="1787">
        <v>11</v>
      </c>
    </row>
    <row s="6314" customFormat="1" customHeight="1" ht="11.549999999999999">
      <c r="A162" s="1133"/>
      <c r="B162" s="1782"/>
      <c r="C162" s="1782"/>
      <c r="D162" s="497"/>
      <c r="J162" s="6314"/>
      <c r="K162" s="6314"/>
      <c r="L162" s="6314"/>
      <c r="M162" s="6314"/>
      <c r="N162" s="6314"/>
      <c r="P162" s="1306"/>
      <c r="Q162" s="1782"/>
      <c r="R162" s="1782"/>
      <c r="S162" s="1306"/>
      <c r="T162" s="1306"/>
      <c r="U162" s="1306"/>
      <c r="V162" s="1306"/>
      <c r="W162" s="1782"/>
      <c r="X162" s="1306"/>
      <c r="Y162" s="1306"/>
      <c r="Z162" s="690"/>
      <c r="AA162" s="1306"/>
      <c r="AB162" s="1306"/>
      <c r="AC162" s="1306"/>
      <c r="AD162" s="1306"/>
      <c r="AE162" s="1306"/>
      <c r="AF162" s="1778"/>
      <c r="AG162" s="712"/>
      <c r="AH162" s="712"/>
      <c r="AI162" s="712"/>
      <c r="AJ162" s="712"/>
      <c r="AK162" s="1787">
        <v>11</v>
      </c>
    </row>
    <row s="6314" customFormat="1" customHeight="1" ht="11.549999999999999">
      <c r="A163" s="1133"/>
      <c r="B163" s="1782"/>
      <c r="C163" s="1782"/>
      <c r="D163" s="497"/>
      <c r="J163" s="6314"/>
      <c r="K163" s="6314"/>
      <c r="L163" s="6314"/>
      <c r="M163" s="6314"/>
      <c r="N163" s="6314"/>
      <c r="P163" s="1306"/>
      <c r="Q163" s="1782"/>
      <c r="R163" s="1782"/>
      <c r="S163" s="1306"/>
      <c r="T163" s="1306"/>
      <c r="U163" s="1306"/>
      <c r="V163" s="1306"/>
      <c r="W163" s="1782"/>
      <c r="X163" s="1306"/>
      <c r="Y163" s="1306"/>
      <c r="Z163" s="690"/>
      <c r="AA163" s="1306"/>
      <c r="AB163" s="1306"/>
      <c r="AC163" s="1306"/>
      <c r="AD163" s="1306"/>
      <c r="AE163" s="1306"/>
      <c r="AF163" s="1778"/>
      <c r="AG163" s="712"/>
      <c r="AH163" s="712"/>
      <c r="AI163" s="712"/>
      <c r="AJ163" s="712"/>
      <c r="AK163" s="1787">
        <v>11</v>
      </c>
    </row>
    <row s="6314" customFormat="1" customHeight="1" ht="11.549999999999999">
      <c r="A164" s="1133"/>
      <c r="B164" s="1782"/>
      <c r="C164" s="1782"/>
      <c r="D164" s="497"/>
      <c r="J164" s="6314"/>
      <c r="K164" s="6314"/>
      <c r="L164" s="6314"/>
      <c r="M164" s="6314"/>
      <c r="N164" s="6314"/>
      <c r="P164" s="1306"/>
      <c r="Q164" s="1782"/>
      <c r="R164" s="1782"/>
      <c r="S164" s="1306"/>
      <c r="T164" s="1306"/>
      <c r="U164" s="1306"/>
      <c r="V164" s="1306"/>
      <c r="W164" s="1782"/>
      <c r="X164" s="1306"/>
      <c r="Y164" s="1306"/>
      <c r="Z164" s="690"/>
      <c r="AA164" s="1306"/>
      <c r="AB164" s="1306"/>
      <c r="AC164" s="1306"/>
      <c r="AD164" s="1306"/>
      <c r="AE164" s="1306"/>
      <c r="AF164" s="1778"/>
      <c r="AG164" s="712"/>
      <c r="AH164" s="712"/>
      <c r="AI164" s="712"/>
      <c r="AJ164" s="712"/>
      <c r="AK164" s="1787">
        <v>11</v>
      </c>
    </row>
    <row s="6314" customFormat="1" customHeight="1" ht="11.549999999999999">
      <c r="A165" s="1133"/>
      <c r="B165" s="1782"/>
      <c r="C165" s="1782"/>
      <c r="D165" s="497"/>
      <c r="J165" s="6314"/>
      <c r="K165" s="6314"/>
      <c r="L165" s="6314"/>
      <c r="M165" s="6314"/>
      <c r="N165" s="6314"/>
      <c r="P165" s="1306"/>
      <c r="Q165" s="1782"/>
      <c r="R165" s="1782"/>
      <c r="S165" s="1306"/>
      <c r="T165" s="1306"/>
      <c r="U165" s="1306"/>
      <c r="V165" s="1306"/>
      <c r="W165" s="1782"/>
      <c r="X165" s="1306"/>
      <c r="Y165" s="1306"/>
      <c r="Z165" s="690"/>
      <c r="AA165" s="1306"/>
      <c r="AB165" s="1306"/>
      <c r="AC165" s="1306"/>
      <c r="AD165" s="1306"/>
      <c r="AE165" s="1306"/>
      <c r="AF165" s="1778"/>
      <c r="AG165" s="712"/>
      <c r="AH165" s="712"/>
      <c r="AI165" s="712"/>
      <c r="AJ165" s="712"/>
      <c r="AK165" s="1787">
        <v>11</v>
      </c>
    </row>
    <row s="6314" customFormat="1" customHeight="1" ht="11.549999999999999">
      <c r="A166" s="1133"/>
      <c r="B166" s="1782"/>
      <c r="C166" s="1782"/>
      <c r="D166" s="497"/>
      <c r="J166" s="6314"/>
      <c r="K166" s="6314"/>
      <c r="L166" s="6314"/>
      <c r="M166" s="6314"/>
      <c r="N166" s="6314"/>
      <c r="P166" s="1306"/>
      <c r="Q166" s="1782"/>
      <c r="R166" s="1782"/>
      <c r="S166" s="1306"/>
      <c r="T166" s="1306"/>
      <c r="U166" s="1306"/>
      <c r="V166" s="1306"/>
      <c r="W166" s="1782"/>
      <c r="X166" s="1306"/>
      <c r="Y166" s="1306"/>
      <c r="Z166" s="690"/>
      <c r="AA166" s="1306"/>
      <c r="AB166" s="1306"/>
      <c r="AC166" s="1306"/>
      <c r="AD166" s="1306"/>
      <c r="AE166" s="1306"/>
      <c r="AF166" s="1778"/>
      <c r="AG166" s="712"/>
      <c r="AH166" s="712"/>
      <c r="AI166" s="712"/>
      <c r="AJ166" s="712"/>
      <c r="AK166" s="1787">
        <v>11</v>
      </c>
    </row>
    <row s="6314" customFormat="1" customHeight="1" ht="11.549999999999999">
      <c r="A167" s="1133"/>
      <c r="B167" s="1782"/>
      <c r="C167" s="1782"/>
      <c r="D167" s="497"/>
      <c r="J167" s="6314"/>
      <c r="K167" s="6314"/>
      <c r="L167" s="6314"/>
      <c r="M167" s="6314"/>
      <c r="N167" s="6314"/>
      <c r="P167" s="1306"/>
      <c r="Q167" s="1782"/>
      <c r="R167" s="1782"/>
      <c r="S167" s="1306"/>
      <c r="T167" s="1306"/>
      <c r="U167" s="1306"/>
      <c r="V167" s="1306"/>
      <c r="W167" s="1782"/>
      <c r="X167" s="1306"/>
      <c r="Y167" s="1306"/>
      <c r="Z167" s="690"/>
      <c r="AA167" s="1306"/>
      <c r="AB167" s="1306"/>
      <c r="AC167" s="1306"/>
      <c r="AD167" s="1306"/>
      <c r="AE167" s="1306"/>
      <c r="AF167" s="1778"/>
      <c r="AG167" s="712"/>
      <c r="AH167" s="712"/>
      <c r="AI167" s="712"/>
      <c r="AJ167" s="712"/>
      <c r="AK167" s="1787">
        <v>11</v>
      </c>
    </row>
    <row s="6314" customFormat="1" customHeight="1" ht="11.549999999999999">
      <c r="A168" s="1133"/>
      <c r="B168" s="1782"/>
      <c r="C168" s="1782"/>
      <c r="D168" s="497"/>
      <c r="J168" s="6314"/>
      <c r="K168" s="6314"/>
      <c r="L168" s="6314"/>
      <c r="M168" s="6314"/>
      <c r="N168" s="6314"/>
      <c r="P168" s="1306"/>
      <c r="Q168" s="1782"/>
      <c r="R168" s="1782"/>
      <c r="S168" s="1306"/>
      <c r="T168" s="1306"/>
      <c r="U168" s="1306"/>
      <c r="V168" s="1306"/>
      <c r="W168" s="1782"/>
      <c r="X168" s="1306"/>
      <c r="Y168" s="1306"/>
      <c r="Z168" s="690"/>
      <c r="AA168" s="1306"/>
      <c r="AB168" s="1306"/>
      <c r="AC168" s="1306"/>
      <c r="AD168" s="1306"/>
      <c r="AE168" s="1306"/>
      <c r="AF168" s="1778"/>
      <c r="AG168" s="712"/>
      <c r="AH168" s="712"/>
      <c r="AI168" s="712"/>
      <c r="AJ168" s="712"/>
      <c r="AK168" s="1787">
        <v>11</v>
      </c>
    </row>
    <row s="6314" customFormat="1" customHeight="1" ht="11.549999999999999">
      <c r="A169" s="1133"/>
      <c r="B169" s="1782"/>
      <c r="C169" s="1782"/>
      <c r="D169" s="497"/>
      <c r="J169" s="6314"/>
      <c r="K169" s="6314"/>
      <c r="L169" s="6314"/>
      <c r="M169" s="6314"/>
      <c r="N169" s="6314"/>
      <c r="P169" s="1306"/>
      <c r="Q169" s="1782"/>
      <c r="R169" s="1782"/>
      <c r="S169" s="1306"/>
      <c r="T169" s="1306"/>
      <c r="U169" s="1306"/>
      <c r="V169" s="1306"/>
      <c r="W169" s="1782"/>
      <c r="X169" s="1306"/>
      <c r="Y169" s="1306"/>
      <c r="Z169" s="690"/>
      <c r="AA169" s="1306"/>
      <c r="AB169" s="1306"/>
      <c r="AC169" s="1306"/>
      <c r="AD169" s="1306"/>
      <c r="AE169" s="1306"/>
      <c r="AF169" s="1778"/>
      <c r="AG169" s="712"/>
      <c r="AH169" s="712"/>
      <c r="AI169" s="712"/>
      <c r="AJ169" s="712"/>
      <c r="AK169" s="1787">
        <v>11</v>
      </c>
    </row>
    <row s="6314" customFormat="1" customHeight="1" ht="11.549999999999999">
      <c r="A170" s="1133"/>
      <c r="B170" s="1782"/>
      <c r="C170" s="1782"/>
      <c r="D170" s="497"/>
      <c r="J170" s="6314"/>
      <c r="K170" s="6314"/>
      <c r="L170" s="6314"/>
      <c r="M170" s="6314"/>
      <c r="N170" s="6314"/>
      <c r="P170" s="1306"/>
      <c r="Q170" s="1782"/>
      <c r="R170" s="1782"/>
      <c r="S170" s="1306"/>
      <c r="T170" s="1306"/>
      <c r="U170" s="1306"/>
      <c r="V170" s="1306"/>
      <c r="W170" s="1782"/>
      <c r="X170" s="1306"/>
      <c r="Y170" s="1306"/>
      <c r="Z170" s="690"/>
      <c r="AA170" s="1306"/>
      <c r="AB170" s="1306"/>
      <c r="AC170" s="1306"/>
      <c r="AD170" s="1306"/>
      <c r="AE170" s="1306"/>
      <c r="AF170" s="1778"/>
      <c r="AG170" s="712"/>
      <c r="AH170" s="712"/>
      <c r="AI170" s="712"/>
      <c r="AJ170" s="712"/>
      <c r="AK170" s="1787">
        <v>11</v>
      </c>
    </row>
    <row s="6314" customFormat="1" customHeight="1" ht="11.549999999999999">
      <c r="A171" s="1133"/>
      <c r="B171" s="1782"/>
      <c r="C171" s="1782"/>
      <c r="D171" s="497"/>
      <c r="J171" s="6314"/>
      <c r="K171" s="6314"/>
      <c r="L171" s="6314"/>
      <c r="M171" s="6314"/>
      <c r="N171" s="6314"/>
      <c r="P171" s="1306"/>
      <c r="Q171" s="1782"/>
      <c r="R171" s="1782"/>
      <c r="S171" s="1306"/>
      <c r="T171" s="1306"/>
      <c r="U171" s="1306"/>
      <c r="V171" s="1306"/>
      <c r="W171" s="1782"/>
      <c r="X171" s="1306"/>
      <c r="Y171" s="1306"/>
      <c r="Z171" s="690"/>
      <c r="AA171" s="1306"/>
      <c r="AB171" s="1306"/>
      <c r="AC171" s="1306"/>
      <c r="AD171" s="1306"/>
      <c r="AE171" s="1306"/>
      <c r="AF171" s="1778"/>
      <c r="AG171" s="712"/>
      <c r="AH171" s="712"/>
      <c r="AI171" s="712"/>
      <c r="AJ171" s="712"/>
      <c r="AK171" s="1787">
        <v>11</v>
      </c>
    </row>
    <row s="6314" customFormat="1" customHeight="1" ht="11.549999999999999">
      <c r="A172" s="1133"/>
      <c r="B172" s="1782"/>
      <c r="C172" s="1782"/>
      <c r="D172" s="497"/>
      <c r="J172" s="6314"/>
      <c r="K172" s="6314"/>
      <c r="L172" s="6314"/>
      <c r="M172" s="6314"/>
      <c r="N172" s="6314"/>
      <c r="P172" s="1306"/>
      <c r="Q172" s="1782"/>
      <c r="R172" s="1782"/>
      <c r="S172" s="1306"/>
      <c r="T172" s="1306"/>
      <c r="U172" s="1306"/>
      <c r="V172" s="1306"/>
      <c r="W172" s="1782"/>
      <c r="X172" s="1306"/>
      <c r="Y172" s="1306"/>
      <c r="Z172" s="690"/>
      <c r="AA172" s="1306"/>
      <c r="AB172" s="1306"/>
      <c r="AC172" s="1306"/>
      <c r="AD172" s="1306"/>
      <c r="AE172" s="1306"/>
      <c r="AF172" s="1778"/>
      <c r="AG172" s="712"/>
      <c r="AH172" s="712"/>
      <c r="AI172" s="712"/>
      <c r="AJ172" s="712"/>
      <c r="AK172" s="1787">
        <v>11</v>
      </c>
    </row>
    <row s="6314" customFormat="1" customHeight="1" ht="11.549999999999999">
      <c r="A173" s="1133"/>
      <c r="B173" s="1782"/>
      <c r="C173" s="1782"/>
      <c r="D173" s="497"/>
      <c r="J173" s="6314"/>
      <c r="K173" s="6314"/>
      <c r="L173" s="6314"/>
      <c r="M173" s="6314"/>
      <c r="N173" s="6314"/>
      <c r="P173" s="1306"/>
      <c r="Q173" s="1782"/>
      <c r="R173" s="1782"/>
      <c r="S173" s="1306"/>
      <c r="T173" s="1306"/>
      <c r="U173" s="1306"/>
      <c r="V173" s="1306"/>
      <c r="W173" s="1782"/>
      <c r="X173" s="1306"/>
      <c r="Y173" s="1306"/>
      <c r="Z173" s="690"/>
      <c r="AA173" s="1306"/>
      <c r="AB173" s="1306"/>
      <c r="AC173" s="1306"/>
      <c r="AD173" s="1306"/>
      <c r="AE173" s="1306"/>
      <c r="AF173" s="1778"/>
      <c r="AG173" s="712"/>
      <c r="AH173" s="712"/>
      <c r="AI173" s="712"/>
      <c r="AJ173" s="712"/>
      <c r="AK173" s="1787">
        <v>11</v>
      </c>
    </row>
    <row s="6314" customFormat="1" customHeight="1" ht="11.549999999999999">
      <c r="A174" s="1133"/>
      <c r="B174" s="1782"/>
      <c r="C174" s="1782"/>
      <c r="D174" s="497"/>
      <c r="J174" s="6314"/>
      <c r="K174" s="6314"/>
      <c r="L174" s="6314"/>
      <c r="M174" s="6314"/>
      <c r="N174" s="6314"/>
      <c r="P174" s="1306"/>
      <c r="Q174" s="1782"/>
      <c r="R174" s="1782"/>
      <c r="S174" s="1306"/>
      <c r="T174" s="1306"/>
      <c r="U174" s="1306"/>
      <c r="V174" s="1306"/>
      <c r="W174" s="1782"/>
      <c r="X174" s="1306"/>
      <c r="Y174" s="1306"/>
      <c r="Z174" s="690"/>
      <c r="AA174" s="1306"/>
      <c r="AB174" s="1306"/>
      <c r="AC174" s="1306"/>
      <c r="AD174" s="1306"/>
      <c r="AE174" s="1306"/>
      <c r="AF174" s="1778"/>
      <c r="AG174" s="712"/>
      <c r="AH174" s="712"/>
      <c r="AI174" s="712"/>
      <c r="AJ174" s="712"/>
      <c r="AK174" s="1787">
        <v>11</v>
      </c>
    </row>
    <row s="6314" customFormat="1" customHeight="1" ht="11.549999999999999">
      <c r="A175" s="1133"/>
      <c r="B175" s="1782"/>
      <c r="C175" s="1782"/>
      <c r="D175" s="497"/>
      <c r="J175" s="6314"/>
      <c r="K175" s="6314"/>
      <c r="L175" s="6314"/>
      <c r="M175" s="6314"/>
      <c r="N175" s="6314"/>
      <c r="P175" s="1306"/>
      <c r="Q175" s="1782"/>
      <c r="R175" s="1782"/>
      <c r="S175" s="1306"/>
      <c r="T175" s="1306"/>
      <c r="U175" s="1306"/>
      <c r="V175" s="1306"/>
      <c r="W175" s="1782"/>
      <c r="X175" s="1306"/>
      <c r="Y175" s="1306"/>
      <c r="Z175" s="690"/>
      <c r="AA175" s="1306"/>
      <c r="AB175" s="1306"/>
      <c r="AC175" s="1306"/>
      <c r="AD175" s="1306"/>
      <c r="AE175" s="1306"/>
      <c r="AF175" s="1778"/>
      <c r="AG175" s="712"/>
      <c r="AH175" s="712"/>
      <c r="AI175" s="712"/>
      <c r="AJ175" s="712"/>
      <c r="AK175" s="1787">
        <v>11</v>
      </c>
    </row>
    <row s="6314" customFormat="1" customHeight="1" ht="11.549999999999999">
      <c r="A176" s="1133"/>
      <c r="B176" s="1782"/>
      <c r="C176" s="1782"/>
      <c r="D176" s="497"/>
      <c r="J176" s="6314"/>
      <c r="K176" s="6314"/>
      <c r="L176" s="6314"/>
      <c r="M176" s="6314"/>
      <c r="N176" s="6314"/>
      <c r="P176" s="1306"/>
      <c r="Q176" s="1782"/>
      <c r="R176" s="1782"/>
      <c r="S176" s="1306"/>
      <c r="T176" s="1306"/>
      <c r="U176" s="1306"/>
      <c r="V176" s="1306"/>
      <c r="W176" s="1782"/>
      <c r="X176" s="1306"/>
      <c r="Y176" s="1306"/>
      <c r="Z176" s="690"/>
      <c r="AA176" s="1306"/>
      <c r="AB176" s="1306"/>
      <c r="AC176" s="1306"/>
      <c r="AD176" s="1306"/>
      <c r="AE176" s="1306"/>
      <c r="AF176" s="1778"/>
      <c r="AG176" s="712"/>
      <c r="AH176" s="712"/>
      <c r="AI176" s="712"/>
      <c r="AJ176" s="712"/>
      <c r="AK176" s="1787">
        <v>11</v>
      </c>
    </row>
    <row s="6314" customFormat="1" customHeight="1" ht="11.549999999999999">
      <c r="A177" s="1133"/>
      <c r="B177" s="1782"/>
      <c r="C177" s="1782"/>
      <c r="D177" s="497"/>
      <c r="J177" s="6314"/>
      <c r="K177" s="6314"/>
      <c r="L177" s="6314"/>
      <c r="M177" s="6314"/>
      <c r="N177" s="6314"/>
      <c r="P177" s="1306"/>
      <c r="Q177" s="1782"/>
      <c r="R177" s="1782"/>
      <c r="S177" s="1306"/>
      <c r="T177" s="1306"/>
      <c r="U177" s="1306"/>
      <c r="V177" s="1306"/>
      <c r="W177" s="1782"/>
      <c r="X177" s="1306"/>
      <c r="Y177" s="1306"/>
      <c r="Z177" s="690"/>
      <c r="AA177" s="1306"/>
      <c r="AB177" s="1306"/>
      <c r="AC177" s="1306"/>
      <c r="AD177" s="1306"/>
      <c r="AE177" s="1306"/>
      <c r="AF177" s="1778"/>
      <c r="AG177" s="712"/>
      <c r="AH177" s="712"/>
      <c r="AI177" s="712"/>
      <c r="AJ177" s="712"/>
      <c r="AK177" s="1787">
        <v>11</v>
      </c>
    </row>
    <row s="6314" customFormat="1" customHeight="1" ht="11.549999999999999">
      <c r="A178" s="1133"/>
      <c r="B178" s="1782"/>
      <c r="C178" s="1782"/>
      <c r="D178" s="497"/>
      <c r="J178" s="6314"/>
      <c r="K178" s="6314"/>
      <c r="L178" s="6314"/>
      <c r="M178" s="6314"/>
      <c r="N178" s="6314"/>
      <c r="P178" s="1306"/>
      <c r="Q178" s="1782"/>
      <c r="R178" s="1782"/>
      <c r="S178" s="1306"/>
      <c r="T178" s="1306"/>
      <c r="U178" s="1306"/>
      <c r="V178" s="1306"/>
      <c r="W178" s="1782"/>
      <c r="X178" s="1306"/>
      <c r="Y178" s="1306"/>
      <c r="Z178" s="690"/>
      <c r="AA178" s="1306"/>
      <c r="AB178" s="1306"/>
      <c r="AC178" s="1306"/>
      <c r="AD178" s="1306"/>
      <c r="AE178" s="1306"/>
      <c r="AF178" s="1778"/>
      <c r="AG178" s="712"/>
      <c r="AH178" s="712"/>
      <c r="AI178" s="712"/>
      <c r="AJ178" s="712"/>
      <c r="AK178" s="1787">
        <v>11</v>
      </c>
    </row>
    <row s="6314" customFormat="1" customHeight="1" ht="11.549999999999999">
      <c r="A179" s="1133"/>
      <c r="B179" s="1782"/>
      <c r="C179" s="1782"/>
      <c r="D179" s="497"/>
      <c r="J179" s="6314"/>
      <c r="K179" s="6314"/>
      <c r="L179" s="6314"/>
      <c r="M179" s="6314"/>
      <c r="N179" s="6314"/>
      <c r="P179" s="1306"/>
      <c r="Q179" s="1782"/>
      <c r="R179" s="1782"/>
      <c r="S179" s="1306"/>
      <c r="T179" s="1306"/>
      <c r="U179" s="1306"/>
      <c r="V179" s="1306"/>
      <c r="W179" s="1782"/>
      <c r="X179" s="1306"/>
      <c r="Y179" s="1306"/>
      <c r="Z179" s="690"/>
      <c r="AA179" s="1306"/>
      <c r="AB179" s="1306"/>
      <c r="AC179" s="1306"/>
      <c r="AD179" s="1306"/>
      <c r="AE179" s="1306"/>
      <c r="AF179" s="1778"/>
      <c r="AG179" s="712"/>
      <c r="AH179" s="712"/>
      <c r="AI179" s="712"/>
      <c r="AJ179" s="712"/>
      <c r="AK179" s="1787">
        <v>11</v>
      </c>
    </row>
    <row s="6314" customFormat="1" customHeight="1" ht="11.549999999999999">
      <c r="A180" s="1133"/>
      <c r="B180" s="1782"/>
      <c r="C180" s="1782"/>
      <c r="D180" s="497"/>
      <c r="J180" s="6314"/>
      <c r="K180" s="6314"/>
      <c r="L180" s="6314"/>
      <c r="M180" s="6314"/>
      <c r="N180" s="6314"/>
      <c r="P180" s="1306"/>
      <c r="Q180" s="1782"/>
      <c r="R180" s="1782"/>
      <c r="S180" s="1306"/>
      <c r="T180" s="1306"/>
      <c r="U180" s="1306"/>
      <c r="V180" s="1306"/>
      <c r="W180" s="1782"/>
      <c r="X180" s="1306"/>
      <c r="Y180" s="1306"/>
      <c r="Z180" s="690"/>
      <c r="AA180" s="1306"/>
      <c r="AB180" s="1306"/>
      <c r="AC180" s="1306"/>
      <c r="AD180" s="1306"/>
      <c r="AE180" s="1306"/>
      <c r="AF180" s="1778"/>
      <c r="AG180" s="712"/>
      <c r="AH180" s="712"/>
      <c r="AI180" s="712"/>
      <c r="AJ180" s="712"/>
      <c r="AK180" s="1787">
        <v>11</v>
      </c>
    </row>
    <row s="6314" customFormat="1" customHeight="1" ht="11.549999999999999">
      <c r="A181" s="1133"/>
      <c r="B181" s="1782"/>
      <c r="C181" s="1782"/>
      <c r="D181" s="497"/>
      <c r="J181" s="6314"/>
      <c r="K181" s="6314"/>
      <c r="L181" s="6314"/>
      <c r="M181" s="6314"/>
      <c r="N181" s="6314"/>
      <c r="P181" s="1306"/>
      <c r="Q181" s="1782"/>
      <c r="R181" s="1782"/>
      <c r="S181" s="1306"/>
      <c r="T181" s="1306"/>
      <c r="U181" s="1306"/>
      <c r="V181" s="1306"/>
      <c r="W181" s="1782"/>
      <c r="X181" s="1306"/>
      <c r="Y181" s="1306"/>
      <c r="Z181" s="690"/>
      <c r="AA181" s="1306"/>
      <c r="AB181" s="1306"/>
      <c r="AC181" s="1306"/>
      <c r="AD181" s="1306"/>
      <c r="AE181" s="1306"/>
      <c r="AF181" s="1778"/>
      <c r="AG181" s="712"/>
      <c r="AH181" s="712"/>
      <c r="AI181" s="712"/>
      <c r="AJ181" s="712"/>
      <c r="AK181" s="1787">
        <v>11</v>
      </c>
    </row>
    <row s="6314" customFormat="1" customHeight="1" ht="11.549999999999999">
      <c r="A182" s="1133"/>
      <c r="B182" s="1782"/>
      <c r="C182" s="1782"/>
      <c r="D182" s="497"/>
      <c r="J182" s="6314"/>
      <c r="K182" s="6314"/>
      <c r="L182" s="6314"/>
      <c r="M182" s="6314"/>
      <c r="N182" s="6314"/>
      <c r="P182" s="1306"/>
      <c r="Q182" s="1782"/>
      <c r="R182" s="1782"/>
      <c r="S182" s="1306"/>
      <c r="T182" s="1306"/>
      <c r="U182" s="1306"/>
      <c r="V182" s="1306"/>
      <c r="W182" s="1782"/>
      <c r="X182" s="1306"/>
      <c r="Y182" s="1306"/>
      <c r="Z182" s="690"/>
      <c r="AA182" s="1306"/>
      <c r="AB182" s="1306"/>
      <c r="AC182" s="1306"/>
      <c r="AD182" s="1306"/>
      <c r="AE182" s="1306"/>
      <c r="AF182" s="1778"/>
      <c r="AG182" s="712"/>
      <c r="AH182" s="712"/>
      <c r="AI182" s="712"/>
      <c r="AJ182" s="712"/>
      <c r="AK182" s="1787">
        <v>11</v>
      </c>
    </row>
    <row s="6314" customFormat="1" customHeight="1" ht="11.549999999999999">
      <c r="A183" s="1133"/>
      <c r="B183" s="1782"/>
      <c r="C183" s="1782"/>
      <c r="D183" s="497"/>
      <c r="J183" s="6314"/>
      <c r="K183" s="6314"/>
      <c r="L183" s="6314"/>
      <c r="M183" s="6314"/>
      <c r="N183" s="6314"/>
      <c r="P183" s="1306"/>
      <c r="Q183" s="1782"/>
      <c r="R183" s="1782"/>
      <c r="S183" s="1306"/>
      <c r="T183" s="1306"/>
      <c r="U183" s="1306"/>
      <c r="V183" s="1306"/>
      <c r="W183" s="1782"/>
      <c r="X183" s="1306"/>
      <c r="Y183" s="1306"/>
      <c r="Z183" s="690"/>
      <c r="AA183" s="1306"/>
      <c r="AB183" s="1306"/>
      <c r="AC183" s="1306"/>
      <c r="AD183" s="1306"/>
      <c r="AE183" s="1306"/>
      <c r="AF183" s="1778"/>
      <c r="AG183" s="712"/>
      <c r="AH183" s="712"/>
      <c r="AI183" s="712"/>
      <c r="AJ183" s="712"/>
      <c r="AK183" s="1787">
        <v>11</v>
      </c>
    </row>
    <row s="6314" customFormat="1" customHeight="1" ht="11.549999999999999">
      <c r="A184" s="1133"/>
      <c r="B184" s="1782"/>
      <c r="C184" s="1782"/>
      <c r="D184" s="497"/>
      <c r="J184" s="6314"/>
      <c r="K184" s="6314"/>
      <c r="L184" s="6314"/>
      <c r="M184" s="6314"/>
      <c r="N184" s="6314"/>
      <c r="P184" s="1306"/>
      <c r="Q184" s="1782"/>
      <c r="R184" s="1782"/>
      <c r="S184" s="1306"/>
      <c r="T184" s="1306"/>
      <c r="U184" s="1306"/>
      <c r="V184" s="1306"/>
      <c r="W184" s="1782"/>
      <c r="X184" s="1306"/>
      <c r="Y184" s="1306"/>
      <c r="Z184" s="690"/>
      <c r="AA184" s="1306"/>
      <c r="AB184" s="1306"/>
      <c r="AC184" s="1306"/>
      <c r="AD184" s="1306"/>
      <c r="AE184" s="1306"/>
      <c r="AF184" s="1778"/>
      <c r="AG184" s="712"/>
      <c r="AH184" s="712"/>
      <c r="AI184" s="712"/>
      <c r="AJ184" s="712"/>
      <c r="AK184" s="1787">
        <v>11</v>
      </c>
    </row>
    <row s="6314" customFormat="1" customHeight="1" ht="11.549999999999999">
      <c r="A185" s="1133"/>
      <c r="B185" s="1782"/>
      <c r="C185" s="1782"/>
      <c r="D185" s="497"/>
      <c r="J185" s="6314"/>
      <c r="K185" s="6314"/>
      <c r="L185" s="6314"/>
      <c r="M185" s="6314"/>
      <c r="N185" s="6314"/>
      <c r="P185" s="1306"/>
      <c r="Q185" s="1782"/>
      <c r="R185" s="1782"/>
      <c r="S185" s="1306"/>
      <c r="T185" s="1306"/>
      <c r="U185" s="1306"/>
      <c r="V185" s="1306"/>
      <c r="W185" s="1782"/>
      <c r="X185" s="1306"/>
      <c r="Y185" s="1306"/>
      <c r="Z185" s="690"/>
      <c r="AA185" s="1306"/>
      <c r="AB185" s="1306"/>
      <c r="AC185" s="1306"/>
      <c r="AD185" s="1306"/>
      <c r="AE185" s="1306"/>
      <c r="AF185" s="1778"/>
      <c r="AG185" s="712"/>
      <c r="AH185" s="712"/>
      <c r="AI185" s="712"/>
      <c r="AJ185" s="712"/>
      <c r="AK185" s="1787">
        <v>11</v>
      </c>
    </row>
    <row s="6314" customFormat="1" customHeight="1" ht="11.549999999999999">
      <c r="A186" s="1133"/>
      <c r="B186" s="1782"/>
      <c r="C186" s="1782"/>
      <c r="D186" s="497"/>
      <c r="J186" s="6314"/>
      <c r="K186" s="6314"/>
      <c r="L186" s="6314"/>
      <c r="M186" s="6314"/>
      <c r="N186" s="6314"/>
      <c r="P186" s="1306"/>
      <c r="Q186" s="1782"/>
      <c r="R186" s="1782"/>
      <c r="S186" s="1306"/>
      <c r="T186" s="1306"/>
      <c r="U186" s="1306"/>
      <c r="V186" s="1306"/>
      <c r="W186" s="1782"/>
      <c r="X186" s="1306"/>
      <c r="Y186" s="1306"/>
      <c r="Z186" s="690"/>
      <c r="AA186" s="1306"/>
      <c r="AB186" s="1306"/>
      <c r="AC186" s="1306"/>
      <c r="AD186" s="1306"/>
      <c r="AE186" s="1306"/>
      <c r="AF186" s="1778"/>
      <c r="AG186" s="712"/>
      <c r="AH186" s="712"/>
      <c r="AI186" s="712"/>
      <c r="AJ186" s="712"/>
      <c r="AK186" s="1787">
        <v>11</v>
      </c>
    </row>
    <row s="6314" customFormat="1" customHeight="1" ht="11.549999999999999">
      <c r="A187" s="1133"/>
      <c r="B187" s="1782"/>
      <c r="C187" s="1782"/>
      <c r="D187" s="497"/>
      <c r="J187" s="6314"/>
      <c r="K187" s="6314"/>
      <c r="L187" s="6314"/>
      <c r="M187" s="6314"/>
      <c r="N187" s="6314"/>
      <c r="P187" s="1306"/>
      <c r="Q187" s="1782"/>
      <c r="R187" s="1782"/>
      <c r="S187" s="1306"/>
      <c r="T187" s="1306"/>
      <c r="U187" s="1306"/>
      <c r="V187" s="1306"/>
      <c r="W187" s="1782"/>
      <c r="X187" s="1306"/>
      <c r="Y187" s="1306"/>
      <c r="Z187" s="690"/>
      <c r="AA187" s="1306"/>
      <c r="AB187" s="1306"/>
      <c r="AC187" s="1306"/>
      <c r="AD187" s="1306"/>
      <c r="AE187" s="1306"/>
      <c r="AF187" s="1778"/>
      <c r="AG187" s="712"/>
      <c r="AH187" s="712"/>
      <c r="AI187" s="712"/>
      <c r="AJ187" s="712"/>
      <c r="AK187" s="1787">
        <v>11</v>
      </c>
    </row>
    <row s="6314" customFormat="1" customHeight="1" ht="11.549999999999999">
      <c r="A188" s="1133"/>
      <c r="B188" s="1782"/>
      <c r="C188" s="1782"/>
      <c r="D188" s="497"/>
      <c r="J188" s="6314"/>
      <c r="K188" s="6314"/>
      <c r="L188" s="6314"/>
      <c r="M188" s="6314"/>
      <c r="N188" s="6314"/>
      <c r="P188" s="1306"/>
      <c r="Q188" s="1782"/>
      <c r="R188" s="1782"/>
      <c r="S188" s="1306"/>
      <c r="T188" s="1306"/>
      <c r="U188" s="1306"/>
      <c r="V188" s="1306"/>
      <c r="W188" s="1782"/>
      <c r="X188" s="1306"/>
      <c r="Y188" s="1306"/>
      <c r="Z188" s="690"/>
      <c r="AA188" s="1306"/>
      <c r="AB188" s="1306"/>
      <c r="AC188" s="1306"/>
      <c r="AD188" s="1306"/>
      <c r="AE188" s="1306"/>
      <c r="AF188" s="1778"/>
      <c r="AG188" s="712"/>
      <c r="AH188" s="712"/>
      <c r="AI188" s="712"/>
      <c r="AJ188" s="712"/>
      <c r="AK188" s="1787">
        <v>11</v>
      </c>
    </row>
    <row s="6314" customFormat="1" customHeight="1" ht="11.549999999999999">
      <c r="A189" s="1133"/>
      <c r="B189" s="1782"/>
      <c r="C189" s="1782"/>
      <c r="D189" s="497"/>
      <c r="J189" s="6314"/>
      <c r="K189" s="6314"/>
      <c r="L189" s="6314"/>
      <c r="M189" s="6314"/>
      <c r="N189" s="6314"/>
      <c r="P189" s="1306"/>
      <c r="Q189" s="1782"/>
      <c r="R189" s="1782"/>
      <c r="S189" s="1306"/>
      <c r="T189" s="1306"/>
      <c r="U189" s="1306"/>
      <c r="V189" s="1306"/>
      <c r="W189" s="1782"/>
      <c r="X189" s="1306"/>
      <c r="Y189" s="1306"/>
      <c r="Z189" s="690"/>
      <c r="AA189" s="1306"/>
      <c r="AB189" s="1306"/>
      <c r="AC189" s="1306"/>
      <c r="AD189" s="1306"/>
      <c r="AE189" s="1306"/>
      <c r="AF189" s="1778"/>
      <c r="AG189" s="712"/>
      <c r="AH189" s="712"/>
      <c r="AI189" s="712"/>
      <c r="AJ189" s="712"/>
      <c r="AK189" s="1787">
        <v>11</v>
      </c>
    </row>
    <row s="6314" customFormat="1" customHeight="1" ht="11.549999999999999">
      <c r="A190" s="1133"/>
      <c r="B190" s="1782"/>
      <c r="C190" s="1782"/>
      <c r="D190" s="497"/>
      <c r="J190" s="6314"/>
      <c r="K190" s="6314"/>
      <c r="L190" s="6314"/>
      <c r="M190" s="6314"/>
      <c r="N190" s="6314"/>
      <c r="P190" s="1306"/>
      <c r="Q190" s="1782"/>
      <c r="R190" s="1782"/>
      <c r="S190" s="1306"/>
      <c r="T190" s="1306"/>
      <c r="U190" s="1306"/>
      <c r="V190" s="1306"/>
      <c r="W190" s="1782"/>
      <c r="X190" s="1306"/>
      <c r="Y190" s="1306"/>
      <c r="Z190" s="690"/>
      <c r="AA190" s="1306"/>
      <c r="AB190" s="1306"/>
      <c r="AC190" s="1306"/>
      <c r="AD190" s="1306"/>
      <c r="AE190" s="1306"/>
      <c r="AF190" s="1778"/>
      <c r="AG190" s="712"/>
      <c r="AH190" s="712"/>
      <c r="AI190" s="712"/>
      <c r="AJ190" s="712"/>
      <c r="AK190" s="1787">
        <v>11</v>
      </c>
    </row>
    <row s="6314" customFormat="1" customHeight="1" ht="11.549999999999999">
      <c r="A191" s="1133"/>
      <c r="B191" s="1782"/>
      <c r="C191" s="1782"/>
      <c r="D191" s="497"/>
      <c r="J191" s="6314"/>
      <c r="K191" s="6314"/>
      <c r="L191" s="6314"/>
      <c r="M191" s="6314"/>
      <c r="N191" s="6314"/>
      <c r="P191" s="1306"/>
      <c r="Q191" s="1782"/>
      <c r="R191" s="1782"/>
      <c r="S191" s="1306"/>
      <c r="T191" s="1306"/>
      <c r="U191" s="1306"/>
      <c r="V191" s="1306"/>
      <c r="W191" s="1782"/>
      <c r="X191" s="1306"/>
      <c r="Y191" s="1306"/>
      <c r="Z191" s="690"/>
      <c r="AA191" s="1306"/>
      <c r="AB191" s="1306"/>
      <c r="AC191" s="1306"/>
      <c r="AD191" s="1306"/>
      <c r="AE191" s="1306"/>
      <c r="AF191" s="1778"/>
      <c r="AG191" s="712"/>
      <c r="AH191" s="712"/>
      <c r="AI191" s="712"/>
      <c r="AJ191" s="712"/>
      <c r="AK191" s="1787">
        <v>11</v>
      </c>
    </row>
    <row s="6314" customFormat="1" customHeight="1" ht="11.549999999999999">
      <c r="A192" s="1133"/>
      <c r="B192" s="1782"/>
      <c r="C192" s="1782"/>
      <c r="D192" s="497"/>
      <c r="J192" s="6314"/>
      <c r="K192" s="6314"/>
      <c r="L192" s="6314"/>
      <c r="M192" s="6314"/>
      <c r="N192" s="6314"/>
      <c r="P192" s="1306"/>
      <c r="Q192" s="1782"/>
      <c r="R192" s="1782"/>
      <c r="S192" s="1306"/>
      <c r="T192" s="1306"/>
      <c r="U192" s="1306"/>
      <c r="V192" s="1306"/>
      <c r="W192" s="1782"/>
      <c r="X192" s="1306"/>
      <c r="Y192" s="1306"/>
      <c r="Z192" s="690"/>
      <c r="AA192" s="1306"/>
      <c r="AB192" s="1306"/>
      <c r="AC192" s="1306"/>
      <c r="AD192" s="1306"/>
      <c r="AE192" s="1306"/>
      <c r="AF192" s="1778"/>
      <c r="AG192" s="712"/>
      <c r="AH192" s="712"/>
      <c r="AI192" s="712"/>
      <c r="AJ192" s="712"/>
      <c r="AK192" s="1787">
        <v>11</v>
      </c>
    </row>
    <row s="6314" customFormat="1" customHeight="1" ht="11.549999999999999">
      <c r="A193" s="1133"/>
      <c r="B193" s="1782"/>
      <c r="C193" s="1782"/>
      <c r="D193" s="497"/>
      <c r="J193" s="6314"/>
      <c r="K193" s="6314"/>
      <c r="L193" s="6314"/>
      <c r="M193" s="6314"/>
      <c r="N193" s="6314"/>
      <c r="P193" s="1306"/>
      <c r="Q193" s="1782"/>
      <c r="R193" s="1782"/>
      <c r="S193" s="1306"/>
      <c r="T193" s="1306"/>
      <c r="U193" s="1306"/>
      <c r="V193" s="1306"/>
      <c r="W193" s="1782"/>
      <c r="X193" s="1306"/>
      <c r="Y193" s="1306"/>
      <c r="Z193" s="690"/>
      <c r="AA193" s="1306"/>
      <c r="AB193" s="1306"/>
      <c r="AC193" s="1306"/>
      <c r="AD193" s="1306"/>
      <c r="AE193" s="1306"/>
      <c r="AF193" s="1778"/>
      <c r="AG193" s="712"/>
      <c r="AH193" s="712"/>
      <c r="AI193" s="712"/>
      <c r="AJ193" s="712"/>
      <c r="AK193" s="1787">
        <v>11</v>
      </c>
    </row>
    <row s="6314" customFormat="1" customHeight="1" ht="11.549999999999999">
      <c r="A194" s="1133"/>
      <c r="B194" s="1782"/>
      <c r="C194" s="1782"/>
      <c r="D194" s="497"/>
      <c r="J194" s="6314"/>
      <c r="K194" s="6314"/>
      <c r="L194" s="6314"/>
      <c r="M194" s="6314"/>
      <c r="N194" s="6314"/>
      <c r="P194" s="1306"/>
      <c r="Q194" s="1782"/>
      <c r="R194" s="1782"/>
      <c r="S194" s="1306"/>
      <c r="T194" s="1306"/>
      <c r="U194" s="1306"/>
      <c r="V194" s="1306"/>
      <c r="W194" s="1782"/>
      <c r="X194" s="1306"/>
      <c r="Y194" s="1306"/>
      <c r="Z194" s="690"/>
      <c r="AA194" s="1306"/>
      <c r="AB194" s="1306"/>
      <c r="AC194" s="1306"/>
      <c r="AD194" s="1306"/>
      <c r="AE194" s="1306"/>
      <c r="AF194" s="1778"/>
      <c r="AG194" s="712"/>
      <c r="AH194" s="712"/>
      <c r="AI194" s="712"/>
      <c r="AJ194" s="712"/>
      <c r="AK194" s="1787">
        <v>11</v>
      </c>
    </row>
    <row s="6314" customFormat="1" customHeight="1" ht="11.549999999999999">
      <c r="A195" s="1133"/>
      <c r="B195" s="1782"/>
      <c r="C195" s="1782"/>
      <c r="D195" s="497"/>
      <c r="J195" s="6314"/>
      <c r="K195" s="6314"/>
      <c r="L195" s="6314"/>
      <c r="M195" s="6314"/>
      <c r="N195" s="6314"/>
      <c r="P195" s="1306"/>
      <c r="Q195" s="1782"/>
      <c r="R195" s="1782"/>
      <c r="S195" s="1306"/>
      <c r="T195" s="1306"/>
      <c r="U195" s="1306"/>
      <c r="V195" s="1306"/>
      <c r="W195" s="1782"/>
      <c r="X195" s="1306"/>
      <c r="Y195" s="1306"/>
      <c r="Z195" s="690"/>
      <c r="AA195" s="1306"/>
      <c r="AB195" s="1306"/>
      <c r="AC195" s="1306"/>
      <c r="AD195" s="1306"/>
      <c r="AE195" s="1306"/>
      <c r="AF195" s="1778"/>
      <c r="AG195" s="712"/>
      <c r="AH195" s="712"/>
      <c r="AI195" s="712"/>
      <c r="AJ195" s="712"/>
      <c r="AK195" s="1787">
        <v>11</v>
      </c>
    </row>
    <row s="6314" customFormat="1" customHeight="1" ht="11.549999999999999">
      <c r="A196" s="1133"/>
      <c r="B196" s="1782"/>
      <c r="C196" s="1782"/>
      <c r="D196" s="497"/>
      <c r="J196" s="6314"/>
      <c r="K196" s="6314"/>
      <c r="L196" s="6314"/>
      <c r="M196" s="6314"/>
      <c r="N196" s="6314"/>
      <c r="P196" s="1306"/>
      <c r="Q196" s="1782"/>
      <c r="R196" s="1782"/>
      <c r="S196" s="1306"/>
      <c r="T196" s="1306"/>
      <c r="U196" s="1306"/>
      <c r="V196" s="1306"/>
      <c r="W196" s="1782"/>
      <c r="X196" s="1306"/>
      <c r="Y196" s="1306"/>
      <c r="Z196" s="690"/>
      <c r="AA196" s="1306"/>
      <c r="AB196" s="1306"/>
      <c r="AC196" s="1306"/>
      <c r="AD196" s="1306"/>
      <c r="AE196" s="1306"/>
      <c r="AF196" s="1778"/>
      <c r="AG196" s="712"/>
      <c r="AH196" s="712"/>
      <c r="AI196" s="712"/>
      <c r="AJ196" s="712"/>
      <c r="AK196" s="1787">
        <v>11</v>
      </c>
    </row>
    <row s="6314" customFormat="1" customHeight="1" ht="11.549999999999999">
      <c r="A197" s="1133"/>
      <c r="B197" s="1782"/>
      <c r="C197" s="1782"/>
      <c r="D197" s="497"/>
      <c r="J197" s="6314"/>
      <c r="K197" s="6314"/>
      <c r="L197" s="6314"/>
      <c r="M197" s="6314"/>
      <c r="N197" s="6314"/>
      <c r="P197" s="1306"/>
      <c r="Q197" s="1782"/>
      <c r="R197" s="1782"/>
      <c r="S197" s="1306"/>
      <c r="T197" s="1306"/>
      <c r="U197" s="1306"/>
      <c r="V197" s="1306"/>
      <c r="W197" s="1782"/>
      <c r="X197" s="1306"/>
      <c r="Y197" s="1306"/>
      <c r="Z197" s="690"/>
      <c r="AA197" s="1306"/>
      <c r="AB197" s="1306"/>
      <c r="AC197" s="1306"/>
      <c r="AD197" s="1306"/>
      <c r="AE197" s="1306"/>
      <c r="AF197" s="1778"/>
      <c r="AG197" s="712"/>
      <c r="AH197" s="712"/>
      <c r="AI197" s="712"/>
      <c r="AJ197" s="712"/>
      <c r="AK197" s="1787">
        <v>11</v>
      </c>
    </row>
    <row s="6314" customFormat="1" customHeight="1" ht="11.549999999999999">
      <c r="A198" s="1133"/>
      <c r="B198" s="1782"/>
      <c r="C198" s="1782"/>
      <c r="D198" s="497"/>
      <c r="J198" s="6314"/>
      <c r="K198" s="6314"/>
      <c r="L198" s="6314"/>
      <c r="M198" s="6314"/>
      <c r="N198" s="6314"/>
      <c r="P198" s="1306"/>
      <c r="Q198" s="1782"/>
      <c r="R198" s="1782"/>
      <c r="S198" s="1306"/>
      <c r="T198" s="1306"/>
      <c r="U198" s="1306"/>
      <c r="V198" s="1306"/>
      <c r="W198" s="1782"/>
      <c r="X198" s="1306"/>
      <c r="Y198" s="1306"/>
      <c r="Z198" s="690"/>
      <c r="AA198" s="1306"/>
      <c r="AB198" s="1306"/>
      <c r="AC198" s="1306"/>
      <c r="AD198" s="1306"/>
      <c r="AE198" s="1306"/>
      <c r="AF198" s="1778"/>
      <c r="AG198" s="712"/>
      <c r="AH198" s="712"/>
      <c r="AI198" s="712"/>
      <c r="AJ198" s="712"/>
      <c r="AK198" s="1787">
        <v>11</v>
      </c>
    </row>
    <row s="6314" customFormat="1" customHeight="1" ht="11.549999999999999">
      <c r="A199" s="1133"/>
      <c r="B199" s="1782"/>
      <c r="C199" s="1782"/>
      <c r="D199" s="497"/>
      <c r="J199" s="6314"/>
      <c r="K199" s="6314"/>
      <c r="L199" s="6314"/>
      <c r="M199" s="6314"/>
      <c r="N199" s="6314"/>
      <c r="P199" s="1306"/>
      <c r="Q199" s="1782"/>
      <c r="R199" s="1782"/>
      <c r="S199" s="1306"/>
      <c r="T199" s="1306"/>
      <c r="U199" s="1306"/>
      <c r="V199" s="1306"/>
      <c r="W199" s="1782"/>
      <c r="X199" s="1306"/>
      <c r="Y199" s="1306"/>
      <c r="Z199" s="690"/>
      <c r="AA199" s="1306"/>
      <c r="AB199" s="1306"/>
      <c r="AC199" s="1306"/>
      <c r="AD199" s="1306"/>
      <c r="AE199" s="1306"/>
      <c r="AF199" s="1778"/>
      <c r="AG199" s="712"/>
      <c r="AH199" s="712"/>
      <c r="AI199" s="712"/>
      <c r="AJ199" s="712"/>
      <c r="AK199" s="1787">
        <v>11</v>
      </c>
    </row>
    <row s="6314" customFormat="1" customHeight="1" ht="11.549999999999999">
      <c r="A200" s="1133"/>
      <c r="B200" s="1782"/>
      <c r="C200" s="1782"/>
      <c r="D200" s="497"/>
      <c r="J200" s="6314"/>
      <c r="K200" s="6314"/>
      <c r="L200" s="6314"/>
      <c r="M200" s="6314"/>
      <c r="N200" s="6314"/>
      <c r="P200" s="1306"/>
      <c r="Q200" s="1782"/>
      <c r="R200" s="1782"/>
      <c r="S200" s="1306"/>
      <c r="T200" s="1306"/>
      <c r="U200" s="1306"/>
      <c r="V200" s="1306"/>
      <c r="W200" s="1782"/>
      <c r="X200" s="1306"/>
      <c r="Y200" s="1306"/>
      <c r="Z200" s="690"/>
      <c r="AA200" s="1306"/>
      <c r="AB200" s="1306"/>
      <c r="AC200" s="1306"/>
      <c r="AD200" s="1306"/>
      <c r="AE200" s="1306"/>
      <c r="AF200" s="1778"/>
      <c r="AG200" s="712"/>
      <c r="AH200" s="712"/>
      <c r="AI200" s="712"/>
      <c r="AJ200" s="712"/>
      <c r="AK200" s="1787">
        <v>11</v>
      </c>
    </row>
    <row s="6314" customFormat="1" customHeight="1" ht="11.549999999999999">
      <c r="A201" s="1133"/>
      <c r="B201" s="1782"/>
      <c r="C201" s="1782"/>
      <c r="D201" s="497"/>
      <c r="J201" s="6314"/>
      <c r="K201" s="6314"/>
      <c r="L201" s="6314"/>
      <c r="M201" s="6314"/>
      <c r="N201" s="6314"/>
      <c r="P201" s="1306"/>
      <c r="Q201" s="1782"/>
      <c r="R201" s="1782"/>
      <c r="S201" s="1306"/>
      <c r="T201" s="1306"/>
      <c r="U201" s="1306"/>
      <c r="V201" s="1306"/>
      <c r="W201" s="1782"/>
      <c r="X201" s="1306"/>
      <c r="Y201" s="1306"/>
      <c r="Z201" s="690"/>
      <c r="AA201" s="1306"/>
      <c r="AB201" s="1306"/>
      <c r="AC201" s="1306"/>
      <c r="AD201" s="1306"/>
      <c r="AE201" s="1306"/>
      <c r="AF201" s="1778"/>
      <c r="AG201" s="712"/>
      <c r="AH201" s="712"/>
      <c r="AI201" s="712"/>
      <c r="AJ201" s="712"/>
      <c r="AK201" s="1787">
        <v>11</v>
      </c>
    </row>
    <row s="6314" customFormat="1" customHeight="1" ht="11.549999999999999">
      <c r="A202" s="1133"/>
      <c r="B202" s="1782"/>
      <c r="C202" s="1782"/>
      <c r="D202" s="497"/>
      <c r="J202" s="6314"/>
      <c r="K202" s="6314"/>
      <c r="L202" s="6314"/>
      <c r="M202" s="6314"/>
      <c r="N202" s="6314"/>
      <c r="P202" s="1306"/>
      <c r="Q202" s="1782"/>
      <c r="R202" s="1782"/>
      <c r="S202" s="1306"/>
      <c r="T202" s="1306"/>
      <c r="U202" s="1306"/>
      <c r="V202" s="1306"/>
      <c r="W202" s="1782"/>
      <c r="X202" s="1306"/>
      <c r="Y202" s="1306"/>
      <c r="Z202" s="690"/>
      <c r="AA202" s="1306"/>
      <c r="AB202" s="1306"/>
      <c r="AC202" s="1306"/>
      <c r="AD202" s="1306"/>
      <c r="AE202" s="1306"/>
      <c r="AF202" s="1778"/>
      <c r="AG202" s="712"/>
      <c r="AH202" s="712"/>
      <c r="AI202" s="712"/>
      <c r="AJ202" s="712"/>
      <c r="AK202" s="1787">
        <v>11</v>
      </c>
    </row>
    <row s="6314" customFormat="1" customHeight="1" ht="11.549999999999999">
      <c r="A203" s="1133"/>
      <c r="B203" s="1782"/>
      <c r="C203" s="1782"/>
      <c r="D203" s="497"/>
      <c r="J203" s="6314"/>
      <c r="K203" s="6314"/>
      <c r="L203" s="6314"/>
      <c r="M203" s="6314"/>
      <c r="N203" s="6314"/>
      <c r="P203" s="1306"/>
      <c r="Q203" s="1782"/>
      <c r="R203" s="1782"/>
      <c r="S203" s="1306"/>
      <c r="T203" s="1306"/>
      <c r="U203" s="1306"/>
      <c r="V203" s="1306"/>
      <c r="W203" s="1782"/>
      <c r="X203" s="1306"/>
      <c r="Y203" s="1306"/>
      <c r="Z203" s="690"/>
      <c r="AA203" s="1306"/>
      <c r="AB203" s="1306"/>
      <c r="AC203" s="1306"/>
      <c r="AD203" s="1306"/>
      <c r="AE203" s="1306"/>
      <c r="AF203" s="1778"/>
      <c r="AG203" s="712"/>
      <c r="AH203" s="712"/>
      <c r="AI203" s="712"/>
      <c r="AJ203" s="712"/>
      <c r="AK203" s="1787">
        <v>11</v>
      </c>
    </row>
    <row s="6314" customFormat="1" customHeight="1" ht="11.549999999999999">
      <c r="A204" s="1133"/>
      <c r="B204" s="1782"/>
      <c r="C204" s="1782"/>
      <c r="D204" s="497"/>
      <c r="J204" s="6314"/>
      <c r="K204" s="6314"/>
      <c r="L204" s="6314"/>
      <c r="M204" s="6314"/>
      <c r="N204" s="6314"/>
      <c r="P204" s="1306"/>
      <c r="Q204" s="1782"/>
      <c r="R204" s="1782"/>
      <c r="S204" s="1306"/>
      <c r="T204" s="1306"/>
      <c r="U204" s="1306"/>
      <c r="V204" s="1306"/>
      <c r="W204" s="1782"/>
      <c r="X204" s="1306"/>
      <c r="Y204" s="1306"/>
      <c r="Z204" s="690"/>
      <c r="AA204" s="1306"/>
      <c r="AB204" s="1306"/>
      <c r="AC204" s="1306"/>
      <c r="AD204" s="1306"/>
      <c r="AE204" s="1306"/>
      <c r="AF204" s="1778"/>
      <c r="AG204" s="712"/>
      <c r="AH204" s="712"/>
      <c r="AI204" s="712"/>
      <c r="AJ204" s="712"/>
      <c r="AK204" s="1787">
        <v>11</v>
      </c>
    </row>
    <row customHeight="1" ht="11.549999999999999">
      <c r="J205" s="7235"/>
      <c r="K205" s="7235"/>
      <c r="L205" s="7235"/>
      <c r="M205" s="7235"/>
      <c r="N205" s="7235"/>
      <c r="AK205" s="1777">
        <v>11</v>
      </c>
    </row>
    <row customHeight="1" ht="11.549999999999999">
      <c r="J206" s="7235"/>
      <c r="K206" s="7235"/>
      <c r="L206" s="7235"/>
      <c r="M206" s="7235"/>
      <c r="N206" s="7235"/>
      <c r="AK206" s="1777">
        <v>11</v>
      </c>
    </row>
    <row customHeight="1" ht="11.549999999999999">
      <c r="J207" s="7235"/>
      <c r="K207" s="7235"/>
      <c r="L207" s="7235"/>
      <c r="M207" s="7235"/>
      <c r="N207" s="7235"/>
      <c r="AK207" s="1777">
        <v>11</v>
      </c>
    </row>
    <row customHeight="1" ht="11.549999999999999">
      <c r="A208" s="1136"/>
      <c r="B208" s="1777"/>
      <c r="D208" s="1777"/>
      <c r="J208" s="7235"/>
      <c r="K208" s="7235"/>
      <c r="L208" s="7235"/>
      <c r="M208" s="7235"/>
      <c r="N208" s="7235"/>
      <c r="P208" s="1777"/>
      <c r="S208" s="1777"/>
      <c r="T208" s="1777"/>
      <c r="U208" s="1777"/>
      <c r="V208" s="1777"/>
      <c r="X208" s="1777"/>
      <c r="Y208" s="1777"/>
      <c r="Z208" s="1777"/>
      <c r="AA208" s="1777"/>
      <c r="AB208" s="1777"/>
      <c r="AC208" s="1777"/>
      <c r="AD208" s="1777"/>
      <c r="AE208" s="1777"/>
      <c r="AF208" s="1777"/>
      <c r="AG208" s="1777"/>
      <c r="AH208" s="1777"/>
      <c r="AI208" s="1777"/>
      <c r="AJ208" s="1777"/>
      <c r="AK208" s="1777">
        <v>11</v>
      </c>
    </row>
    <row customHeight="1" ht="11.549999999999999">
      <c r="A209" s="1136"/>
      <c r="B209" s="1777"/>
      <c r="D209" s="1777"/>
      <c r="J209" s="7235"/>
      <c r="K209" s="7235"/>
      <c r="L209" s="7235"/>
      <c r="M209" s="7235"/>
      <c r="N209" s="7235"/>
      <c r="P209" s="1777"/>
      <c r="S209" s="1777"/>
      <c r="T209" s="1777"/>
      <c r="U209" s="1777"/>
      <c r="V209" s="1777"/>
      <c r="X209" s="1777"/>
      <c r="Y209" s="1777"/>
      <c r="Z209" s="1777"/>
      <c r="AA209" s="1777"/>
      <c r="AB209" s="1777"/>
      <c r="AC209" s="1777"/>
      <c r="AD209" s="1777"/>
      <c r="AE209" s="1777"/>
      <c r="AF209" s="1777"/>
      <c r="AG209" s="1777"/>
      <c r="AH209" s="1777"/>
      <c r="AI209" s="1777"/>
      <c r="AJ209" s="1777"/>
      <c r="AK209" s="1777">
        <v>11</v>
      </c>
    </row>
    <row customHeight="1" ht="11.549999999999999">
      <c r="A210" s="1136"/>
      <c r="B210" s="1777"/>
      <c r="D210" s="1777"/>
      <c r="J210" s="7235"/>
      <c r="K210" s="7235"/>
      <c r="L210" s="7235"/>
      <c r="M210" s="7235"/>
      <c r="N210" s="7235"/>
      <c r="P210" s="1777"/>
      <c r="S210" s="1777"/>
      <c r="T210" s="1777"/>
      <c r="U210" s="1777"/>
      <c r="V210" s="1777"/>
      <c r="X210" s="1777"/>
      <c r="Y210" s="1777"/>
      <c r="Z210" s="1777"/>
      <c r="AA210" s="1777"/>
      <c r="AB210" s="1777"/>
      <c r="AC210" s="1777"/>
      <c r="AD210" s="1777"/>
      <c r="AE210" s="1777"/>
      <c r="AF210" s="1777"/>
      <c r="AG210" s="1777"/>
      <c r="AH210" s="1777"/>
      <c r="AI210" s="1777"/>
      <c r="AJ210" s="1777"/>
      <c r="AK210" s="1777">
        <v>11</v>
      </c>
    </row>
    <row customHeight="1" ht="11.549999999999999">
      <c r="A211" s="1136"/>
      <c r="B211" s="1777"/>
      <c r="D211" s="1777"/>
      <c r="J211" s="7235"/>
      <c r="K211" s="7235"/>
      <c r="L211" s="7235"/>
      <c r="M211" s="7235"/>
      <c r="N211" s="7235"/>
      <c r="P211" s="1777"/>
      <c r="S211" s="1777"/>
      <c r="T211" s="1777"/>
      <c r="U211" s="1777"/>
      <c r="V211" s="1777"/>
      <c r="X211" s="1777"/>
      <c r="Y211" s="1777"/>
      <c r="Z211" s="1777"/>
      <c r="AA211" s="1777"/>
      <c r="AB211" s="1777"/>
      <c r="AC211" s="1777"/>
      <c r="AD211" s="1777"/>
      <c r="AE211" s="1777"/>
      <c r="AF211" s="1777"/>
      <c r="AG211" s="1777"/>
      <c r="AH211" s="1777"/>
      <c r="AI211" s="1777"/>
      <c r="AJ211" s="1777"/>
      <c r="AK211" s="1777">
        <v>11</v>
      </c>
    </row>
    <row customHeight="1" ht="11.549999999999999">
      <c r="A212" s="1136"/>
      <c r="B212" s="1777"/>
      <c r="D212" s="1777"/>
      <c r="J212" s="7235"/>
      <c r="K212" s="7235"/>
      <c r="L212" s="7235"/>
      <c r="M212" s="7235"/>
      <c r="N212" s="7235"/>
      <c r="P212" s="1777"/>
      <c r="S212" s="1777"/>
      <c r="T212" s="1777"/>
      <c r="U212" s="1777"/>
      <c r="V212" s="1777"/>
      <c r="X212" s="1777"/>
      <c r="Y212" s="1777"/>
      <c r="Z212" s="1777"/>
      <c r="AA212" s="1777"/>
      <c r="AB212" s="1777"/>
      <c r="AC212" s="1777"/>
      <c r="AD212" s="1777"/>
      <c r="AE212" s="1777"/>
      <c r="AF212" s="1777"/>
      <c r="AG212" s="1777"/>
      <c r="AH212" s="1777"/>
      <c r="AI212" s="1777"/>
      <c r="AJ212" s="1777"/>
      <c r="AK212" s="1777">
        <v>11</v>
      </c>
    </row>
    <row customHeight="1" ht="11.549999999999999">
      <c r="A213" s="1136"/>
      <c r="B213" s="1777"/>
      <c r="D213" s="1777"/>
      <c r="J213" s="7235"/>
      <c r="K213" s="7235"/>
      <c r="L213" s="7235"/>
      <c r="M213" s="7235"/>
      <c r="N213" s="7235"/>
      <c r="P213" s="1777"/>
      <c r="S213" s="1777"/>
      <c r="T213" s="1777"/>
      <c r="U213" s="1777"/>
      <c r="V213" s="1777"/>
      <c r="X213" s="1777"/>
      <c r="Y213" s="1777"/>
      <c r="Z213" s="1777"/>
      <c r="AA213" s="1777"/>
      <c r="AB213" s="1777"/>
      <c r="AC213" s="1777"/>
      <c r="AD213" s="1777"/>
      <c r="AE213" s="1777"/>
      <c r="AF213" s="1777"/>
      <c r="AG213" s="1777"/>
      <c r="AH213" s="1777"/>
      <c r="AI213" s="1777"/>
      <c r="AJ213" s="1777"/>
      <c r="AK213" s="1777">
        <v>11</v>
      </c>
    </row>
    <row customHeight="1" ht="11.549999999999999">
      <c r="A214" s="1136"/>
      <c r="B214" s="1777"/>
      <c r="D214" s="1777"/>
      <c r="J214" s="7235"/>
      <c r="K214" s="7235"/>
      <c r="L214" s="7235"/>
      <c r="M214" s="7235"/>
      <c r="N214" s="7235"/>
      <c r="P214" s="1777"/>
      <c r="S214" s="1777"/>
      <c r="T214" s="1777"/>
      <c r="U214" s="1777"/>
      <c r="V214" s="1777"/>
      <c r="X214" s="1777"/>
      <c r="Y214" s="1777"/>
      <c r="Z214" s="1777"/>
      <c r="AA214" s="1777"/>
      <c r="AB214" s="1777"/>
      <c r="AC214" s="1777"/>
      <c r="AD214" s="1777"/>
      <c r="AE214" s="1777"/>
      <c r="AF214" s="1777"/>
      <c r="AG214" s="1777"/>
      <c r="AH214" s="1777"/>
      <c r="AI214" s="1777"/>
      <c r="AJ214" s="1777"/>
      <c r="AK214" s="1777">
        <v>11</v>
      </c>
    </row>
    <row customHeight="1" ht="11.549999999999999">
      <c r="A215" s="1136"/>
      <c r="B215" s="1777"/>
      <c r="D215" s="1777"/>
      <c r="J215" s="7235"/>
      <c r="K215" s="7235"/>
      <c r="L215" s="7235"/>
      <c r="M215" s="7235"/>
      <c r="N215" s="7235"/>
      <c r="P215" s="1777"/>
      <c r="S215" s="1777"/>
      <c r="T215" s="1777"/>
      <c r="U215" s="1777"/>
      <c r="V215" s="1777"/>
      <c r="X215" s="1777"/>
      <c r="Y215" s="1777"/>
      <c r="Z215" s="1777"/>
      <c r="AA215" s="1777"/>
      <c r="AB215" s="1777"/>
      <c r="AC215" s="1777"/>
      <c r="AD215" s="1777"/>
      <c r="AE215" s="1777"/>
      <c r="AF215" s="1777"/>
      <c r="AG215" s="1777"/>
      <c r="AH215" s="1777"/>
      <c r="AI215" s="1777"/>
      <c r="AJ215" s="1777"/>
      <c r="AK215" s="1777">
        <v>11</v>
      </c>
    </row>
    <row customHeight="1" ht="11.549999999999999">
      <c r="A216" s="1136"/>
      <c r="B216" s="1777"/>
      <c r="D216" s="1777"/>
      <c r="J216" s="7235"/>
      <c r="K216" s="7235"/>
      <c r="L216" s="7235"/>
      <c r="M216" s="7235"/>
      <c r="N216" s="7235"/>
      <c r="P216" s="1777"/>
      <c r="S216" s="1777"/>
      <c r="T216" s="1777"/>
      <c r="U216" s="1777"/>
      <c r="V216" s="1777"/>
      <c r="X216" s="1777"/>
      <c r="Y216" s="1777"/>
      <c r="Z216" s="1777"/>
      <c r="AA216" s="1777"/>
      <c r="AB216" s="1777"/>
      <c r="AC216" s="1777"/>
      <c r="AD216" s="1777"/>
      <c r="AE216" s="1777"/>
      <c r="AF216" s="1777"/>
      <c r="AG216" s="1777"/>
      <c r="AH216" s="1777"/>
      <c r="AI216" s="1777"/>
      <c r="AJ216" s="1777"/>
      <c r="AK216" s="1777">
        <v>11</v>
      </c>
    </row>
    <row customHeight="1" ht="11.549999999999999">
      <c r="A217" s="1136"/>
      <c r="B217" s="1777"/>
      <c r="D217" s="1777"/>
      <c r="J217" s="7235"/>
      <c r="K217" s="7235"/>
      <c r="L217" s="7235"/>
      <c r="M217" s="7235"/>
      <c r="N217" s="7235"/>
      <c r="P217" s="1777"/>
      <c r="S217" s="1777"/>
      <c r="T217" s="1777"/>
      <c r="U217" s="1777"/>
      <c r="V217" s="1777"/>
      <c r="X217" s="1777"/>
      <c r="Y217" s="1777"/>
      <c r="Z217" s="1777"/>
      <c r="AA217" s="1777"/>
      <c r="AB217" s="1777"/>
      <c r="AC217" s="1777"/>
      <c r="AD217" s="1777"/>
      <c r="AE217" s="1777"/>
      <c r="AF217" s="1777"/>
      <c r="AG217" s="1777"/>
      <c r="AH217" s="1777"/>
      <c r="AI217" s="1777"/>
      <c r="AJ217" s="1777"/>
      <c r="AK217" s="1777">
        <v>11</v>
      </c>
    </row>
    <row customHeight="1" ht="11.549999999999999">
      <c r="A218" s="1136"/>
      <c r="B218" s="1777"/>
      <c r="D218" s="1777"/>
      <c r="J218" s="7235"/>
      <c r="K218" s="7235"/>
      <c r="L218" s="7235"/>
      <c r="M218" s="7235"/>
      <c r="N218" s="7235"/>
      <c r="P218" s="1777"/>
      <c r="S218" s="1777"/>
      <c r="T218" s="1777"/>
      <c r="U218" s="1777"/>
      <c r="V218" s="1777"/>
      <c r="X218" s="1777"/>
      <c r="Y218" s="1777"/>
      <c r="Z218" s="1777"/>
      <c r="AA218" s="1777"/>
      <c r="AB218" s="1777"/>
      <c r="AC218" s="1777"/>
      <c r="AD218" s="1777"/>
      <c r="AE218" s="1777"/>
      <c r="AF218" s="1777"/>
      <c r="AG218" s="1777"/>
      <c r="AH218" s="1777"/>
      <c r="AI218" s="1777"/>
      <c r="AJ218" s="1777"/>
      <c r="AK218" s="1777">
        <v>11</v>
      </c>
    </row>
    <row customHeight="1" ht="11.25" hidden="1">
      <c r="A219" s="1133" t="s">
        <v>83</v>
      </c>
      <c r="B219" s="1306">
        <v>0</v>
      </c>
      <c r="C219" s="1782">
        <v>0</v>
      </c>
      <c r="D219" s="1781">
        <v>3</v>
      </c>
      <c r="E219" s="1777">
        <v>7</v>
      </c>
      <c r="F219" s="1777">
        <v>56</v>
      </c>
      <c r="G219" s="1777">
        <v>10</v>
      </c>
      <c r="H219" s="1777">
        <v>0</v>
      </c>
      <c r="I219" s="1777">
        <v>40</v>
      </c>
      <c r="J219" s="7235">
        <v>0</v>
      </c>
      <c r="K219" s="7235">
        <v>0</v>
      </c>
      <c r="L219" s="7235">
        <v>0</v>
      </c>
      <c r="M219" s="7235">
        <v>0</v>
      </c>
      <c r="N219" s="7235">
        <v>0</v>
      </c>
      <c r="O219" s="1777">
        <v>102</v>
      </c>
      <c r="P219" s="1306">
        <v>9</v>
      </c>
      <c r="Q219" s="1782">
        <v>5</v>
      </c>
      <c r="R219" s="1782">
        <v>3</v>
      </c>
      <c r="S219" s="1306">
        <v>3</v>
      </c>
      <c r="T219" s="1306">
        <v>3</v>
      </c>
      <c r="U219" s="1306">
        <v>3</v>
      </c>
      <c r="V219" s="1306">
        <v>3</v>
      </c>
      <c r="W219" s="1782">
        <v>10</v>
      </c>
      <c r="X219" s="1306">
        <v>34</v>
      </c>
      <c r="Y219" s="1306">
        <v>9</v>
      </c>
      <c r="Z219" s="690">
        <v>8</v>
      </c>
      <c r="AA219" s="1306">
        <v>8</v>
      </c>
      <c r="AB219" s="1306">
        <v>8</v>
      </c>
      <c r="AC219" s="1306">
        <v>8</v>
      </c>
      <c r="AD219" s="1306">
        <v>8</v>
      </c>
      <c r="AE219" s="1306">
        <v>8</v>
      </c>
      <c r="AF219" s="1778">
        <v>8</v>
      </c>
      <c r="AG219" s="1778">
        <v>8</v>
      </c>
      <c r="AH219" s="1778">
        <v>8</v>
      </c>
      <c r="AI219" s="1778">
        <v>8</v>
      </c>
      <c r="AJ219" s="1778">
        <v>8</v>
      </c>
      <c r="AK219" s="1777">
        <v>11</v>
      </c>
    </row>
  </sheetData>
  <sheetProtection formatColumns="0" formatRows="0" autoFilter="0" sort="0" insertRows="0" insertColumns="1" deleteRows="0" deleteColumns="0"/>
  <mergeCells count="7">
    <mergeCell ref="E6:I6"/>
    <mergeCell ref="E7:I7"/>
    <mergeCell ref="F10:G10"/>
    <mergeCell ref="O10:O14"/>
    <mergeCell ref="F11:G11"/>
    <mergeCell ref="F12:G12"/>
    <mergeCell ref="E13:G13"/>
  </mergeCells>
  <dataValidations count="5">
    <dataValidation type="decimal" allowBlank="1" showErrorMessage="1" errorTitle="Ошибка" error="Допускается ввод только действительных чисел!" sqref="H42:N44">
      <formula1>-9.99999999999999E+37</formula1>
      <formula2>9.99999999999999E+37</formula2>
    </dataValidation>
    <dataValidation type="decimal" allowBlank="1" showErrorMessage="1" errorTitle="Ошибка" error="Допускается ввод только действительных чисел!" sqref="H38:N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N45">
      <formula1>900</formula1>
    </dataValidation>
    <dataValidation type="decimal" allowBlank="1" showErrorMessage="1" errorTitle="Ошибка" error="Допускается ввод только неотрицательных чисел!" sqref="H40:N41 H2:N2 H15:N15 H17:N32 H46:N48 H35:N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F3B6BA-1F82-88B8-B076-0.BE09802}" mc:Ignorable="x14ac xr xr2 xr3">
  <sheetPr>
    <tabColor theme="9" tint="-0.25"/>
  </sheetPr>
  <dimension ref="A1:AK215"/>
  <sheetViews>
    <sheetView topLeftCell="A1" showGridLines="0" zoomScale="90" workbookViewId="0">
      <selection activeCell="N9" sqref="N9"/>
    </sheetView>
  </sheetViews>
  <sheetFormatPr defaultColWidth="9.140625" customHeight="1" defaultRowHeight="11.25"/>
  <cols>
    <col min="1" max="1" style="6697" width="10.7109375" hidden="1" customWidth="1"/>
    <col min="2" max="2" style="7180" width="16.8515625" hidden="1" customWidth="1"/>
    <col min="3" max="3" style="6720" width="5.57421875" hidden="1" customWidth="1"/>
    <col min="4" max="4" style="7235" width="3.00390625" customWidth="1"/>
    <col min="5" max="5" style="7235" width="7.00390625" customWidth="1"/>
    <col min="6" max="6" style="7235" width="54.00390625" customWidth="1"/>
    <col min="7" max="7" style="7235" width="10.00390625" customWidth="1"/>
    <col min="8" max="8" style="7235" width="40.7109375" hidden="1" customWidth="1"/>
    <col min="9" max="9" style="7235" width="40.00390625" customWidth="1"/>
    <col min="10" max="14" style="7235" width="40.7109375" customWidth="1"/>
    <col min="15" max="15" style="7235" width="102.00390625" customWidth="1"/>
    <col min="16" max="16" style="7180" width="9.00390625" customWidth="1"/>
    <col min="17" max="17" style="6720" width="5.00390625" customWidth="1"/>
    <col min="18" max="18" style="6720" width="3.00390625" customWidth="1"/>
    <col min="19" max="22" style="7180" width="3.00390625" customWidth="1"/>
    <col min="23" max="23" style="6720" width="10.00390625" customWidth="1"/>
    <col min="24" max="24" style="7180" width="34.00390625" customWidth="1"/>
    <col min="25" max="25" style="7180" width="9.00390625" customWidth="1"/>
    <col min="26" max="26" style="6698" width="8.00390625" customWidth="1"/>
    <col min="27" max="31" style="7180" width="8.00390625" customWidth="1"/>
    <col min="32" max="36" style="7486" width="8.00390625" customWidth="1"/>
    <col min="37" max="37" style="7235" width="9.140625" hidden="1"/>
  </cols>
  <sheetData>
    <row s="7180" customFormat="1" customHeight="1" ht="22.5" hidden="1">
      <c r="A1" s="1133"/>
      <c r="C1" s="1782"/>
      <c r="D1" s="683"/>
      <c r="H1" s="1306">
        <v>4</v>
      </c>
      <c r="I1" s="1306">
        <v>4</v>
      </c>
      <c r="J1" s="7180">
        <v>4</v>
      </c>
      <c r="K1" s="7180">
        <v>4</v>
      </c>
      <c r="L1" s="7180">
        <v>4</v>
      </c>
      <c r="M1" s="7180">
        <v>4</v>
      </c>
      <c r="N1" s="7180">
        <v>4</v>
      </c>
      <c r="Q1" s="1782"/>
      <c r="R1" s="1782"/>
      <c r="W1" s="1782"/>
      <c r="AK1" s="1306" t="s">
        <v>14</v>
      </c>
    </row>
    <row s="7180" customFormat="1" customHeight="1" ht="22.5" hidden="1">
      <c r="A2" s="1133"/>
      <c r="C2" s="1782"/>
      <c r="D2" s="684"/>
      <c r="E2" s="1804"/>
      <c r="F2" s="686"/>
      <c r="G2" s="1803" t="s">
        <v>574</v>
      </c>
      <c r="H2" s="687"/>
      <c r="I2" s="687"/>
      <c r="J2" s="6588"/>
      <c r="K2" s="6588"/>
      <c r="L2" s="6588"/>
      <c r="M2" s="6588"/>
      <c r="N2" s="6588"/>
      <c r="O2" s="688" t="s">
        <v>577</v>
      </c>
      <c r="P2" s="689"/>
      <c r="Q2" s="1782"/>
      <c r="R2" s="1782"/>
      <c r="W2" s="1782"/>
      <c r="Z2" s="690"/>
      <c r="AF2" s="1778"/>
      <c r="AG2" s="1778"/>
      <c r="AH2" s="1778"/>
      <c r="AI2" s="1778"/>
      <c r="AJ2" s="1778"/>
      <c r="AK2" s="1306">
        <v>0</v>
      </c>
    </row>
    <row customHeight="1" ht="11.25" hidden="1">
      <c r="J3" s="7235"/>
      <c r="K3" s="7235"/>
      <c r="L3" s="7235"/>
      <c r="M3" s="7235"/>
      <c r="N3" s="7235"/>
      <c r="AK3" s="1777">
        <v>0</v>
      </c>
    </row>
    <row s="7486" customFormat="1" customHeight="1" ht="11.25" hidden="1">
      <c r="A4" s="1133"/>
      <c r="B4" s="1306"/>
      <c r="C4" s="1782"/>
      <c r="D4" s="508"/>
      <c r="J4" s="7486"/>
      <c r="K4" s="7486"/>
      <c r="L4" s="7486"/>
      <c r="M4" s="7486"/>
      <c r="N4" s="7486"/>
      <c r="O4" s="1778">
        <v>4</v>
      </c>
      <c r="P4" s="1306"/>
      <c r="Q4" s="1782"/>
      <c r="R4" s="1782"/>
      <c r="S4" s="1306"/>
      <c r="T4" s="1306"/>
      <c r="U4" s="1306"/>
      <c r="V4" s="1306"/>
      <c r="W4" s="1782"/>
      <c r="X4" s="1306"/>
      <c r="Y4" s="1306"/>
      <c r="Z4" s="690"/>
      <c r="AA4" s="1306"/>
      <c r="AB4" s="1306"/>
      <c r="AC4" s="1306"/>
      <c r="AD4" s="1306"/>
      <c r="AE4" s="1306"/>
      <c r="AK4" s="1778">
        <v>0</v>
      </c>
    </row>
    <row customHeight="1" ht="11.549999999999999">
      <c r="J5" s="7235"/>
      <c r="K5" s="7235"/>
      <c r="L5" s="7235"/>
      <c r="M5" s="7235"/>
      <c r="N5" s="7235"/>
      <c r="AK5" s="1777">
        <v>11</v>
      </c>
    </row>
    <row customHeight="1" ht="33.75">
      <c r="E6" s="2407" t="s">
        <v>824</v>
      </c>
      <c r="F6" s="2407"/>
      <c r="G6" s="2407"/>
      <c r="H6" s="2407"/>
      <c r="I6" s="2407"/>
      <c r="J6" s="6202"/>
      <c r="K6" s="6202"/>
      <c r="L6" s="6202"/>
      <c r="M6" s="6202"/>
      <c r="N6" s="6202"/>
      <c r="O6" s="702"/>
      <c r="AK6" s="1777">
        <v>32</v>
      </c>
    </row>
    <row customHeight="1" ht="25.2">
      <c r="E7" s="2408" t="str">
        <f>IF(org=0,"Не определено",org)</f>
        <v>ПАО "ТГК-14"</v>
      </c>
      <c r="F7" s="2408"/>
      <c r="G7" s="2408"/>
      <c r="H7" s="2408"/>
      <c r="I7" s="2408"/>
      <c r="J7" s="6204"/>
      <c r="K7" s="6204"/>
      <c r="L7" s="6204"/>
      <c r="M7" s="6204"/>
      <c r="N7" s="6204"/>
      <c r="AK7" s="1777">
        <v>24</v>
      </c>
    </row>
    <row customHeight="1" ht="11.549999999999999">
      <c r="E8" s="1281"/>
      <c r="F8" s="1281"/>
      <c r="G8" s="1281"/>
      <c r="H8" s="1281"/>
      <c r="I8" s="1281"/>
      <c r="J8" s="6991" t="s">
        <v>22</v>
      </c>
      <c r="K8" s="6991" t="s">
        <v>22</v>
      </c>
      <c r="L8" s="6991" t="s">
        <v>22</v>
      </c>
      <c r="M8" s="6991" t="s">
        <v>22</v>
      </c>
      <c r="N8" s="6991" t="s">
        <v>22</v>
      </c>
      <c r="AK8" s="1777">
        <v>11</v>
      </c>
    </row>
    <row s="6720" customFormat="1" customHeight="1" ht="1.05">
      <c r="A9" s="1313"/>
      <c r="D9" s="1788"/>
      <c r="H9" s="1035"/>
      <c r="I9" s="1035" t="s">
        <v>129</v>
      </c>
      <c r="J9" s="6601" t="s">
        <v>137</v>
      </c>
      <c r="K9" s="6601" t="s">
        <v>139</v>
      </c>
      <c r="L9" s="6601" t="s">
        <v>143</v>
      </c>
      <c r="M9" s="6601" t="s">
        <v>134</v>
      </c>
      <c r="N9" s="6601" t="s">
        <v>141</v>
      </c>
      <c r="AK9" s="1782">
        <v>1</v>
      </c>
    </row>
    <row customHeight="1" ht="11.549999999999999">
      <c r="E10" s="857"/>
      <c r="F10" s="2526" t="s">
        <v>117</v>
      </c>
      <c r="G10" s="2527"/>
      <c r="H10" s="1805" t="str">
        <f>IF(H9="","",INDEX(DIFFERENTIATION_UNMERGE_VD,MATCH(H9,DIFFERENTIATION_ID_DIFF,0)))</f>
        <v/>
      </c>
      <c r="I10" s="180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10" s="6869" t="str">
        <f>IF(J9="","",INDEX(DIFFERENTIATION_UNMERGE_VD,MATCH(J9,DIFFERENTIATION_ID_DIFF,0)))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10" s="6869" t="str">
        <f>IF(K9="","",INDEX(DIFFERENTIATION_UNMERGE_VD,MATCH(K9,DIFFERENTIATION_ID_DIFF,0)))</f>
        <v>Производство. Теплоноситель</v>
      </c>
      <c r="L10" s="6869" t="str">
        <f>IF(L9="","",INDEX(DIFFERENTIATION_UNMERGE_VD,MATCH(L9,DIFFERENTIATION_ID_DIFF,0)))</f>
        <v>Производство тепловой энергии. Некомбинированная выработка; Передача. Тепловая энергия; Сбыт. Тепловая энергия</v>
      </c>
      <c r="M10" s="6869"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N10" s="6869" t="str">
        <f>IF(N9="","",INDEX(DIFFERENTIATION_UNMERGE_VD,MATCH(N9,DIFFERENTIATION_ID_DIFF,0)))</f>
        <v>Производство. Теплоноситель</v>
      </c>
      <c r="O10" s="2286" t="s">
        <v>323</v>
      </c>
      <c r="AK10" s="1777">
        <v>11</v>
      </c>
    </row>
    <row customHeight="1" ht="11.549999999999999">
      <c r="E11" s="857"/>
      <c r="F11" s="2526" t="s">
        <v>586</v>
      </c>
      <c r="G11" s="2527"/>
      <c r="H11" s="1805" t="str">
        <f>IF(H9="","",INDEX(DIFFERENTIATION_UNMERGE_AREA,MATCH(H9,DIFFERENTIATION_ID_DIFF,0)))</f>
        <v/>
      </c>
      <c r="I11" s="1805" t="str">
        <f>IF(I9="","",INDEX(DIFFERENTIATION_UNMERGE_AREA,MATCH(I9,DIFFERENTIATION_ID_DIFF,0)))</f>
        <v>Территория 1</v>
      </c>
      <c r="J11" s="6869" t="str">
        <f>IF(J9="","",INDEX(DIFFERENTIATION_UNMERGE_AREA,MATCH(J9,DIFFERENTIATION_ID_DIFF,0)))</f>
        <v>Территория 3</v>
      </c>
      <c r="K11" s="6869" t="str">
        <f>IF(K9="","",INDEX(DIFFERENTIATION_UNMERGE_AREA,MATCH(K9,DIFFERENTIATION_ID_DIFF,0)))</f>
        <v>Территория 1</v>
      </c>
      <c r="L11" s="6869" t="str">
        <f>IF(L9="","",INDEX(DIFFERENTIATION_UNMERGE_AREA,MATCH(L9,DIFFERENTIATION_ID_DIFF,0)))</f>
        <v>Территория 3</v>
      </c>
      <c r="M11" s="6869" t="str">
        <f>IF(M9="","",INDEX(DIFFERENTIATION_UNMERGE_AREA,MATCH(M9,DIFFERENTIATION_ID_DIFF,0)))</f>
        <v>Территория 2</v>
      </c>
      <c r="N11" s="6869" t="str">
        <f>IF(N9="","",INDEX(DIFFERENTIATION_UNMERGE_AREA,MATCH(N9,DIFFERENTIATION_ID_DIFF,0)))</f>
        <v>Территория 2</v>
      </c>
      <c r="O11" s="2286"/>
      <c r="AK11" s="1777">
        <v>11</v>
      </c>
    </row>
    <row customHeight="1" ht="11.25" hidden="1">
      <c r="E12" s="1808"/>
      <c r="F12" s="2549" t="s">
        <v>587</v>
      </c>
      <c r="G12" s="2550"/>
      <c r="H12" s="1809" t="str">
        <f>IF(H9="","",INDEX(DIFFERENTIATION_UNMERGE_SYSTEM,MATCH(H9,DIFFERENTIATION_ID_DIFF,0)))</f>
        <v/>
      </c>
      <c r="I12" s="1809" t="str">
        <f>IF(I9="","",INDEX(DIFFERENTIATION_UNMERGE_SYSTEM,MATCH(I9,DIFFERENTIATION_ID_DIFF,0)))</f>
        <v>Шерловогорская ТЭЦ</v>
      </c>
      <c r="J12" s="6838" t="str">
        <f>IF(J9="","",INDEX(DIFFERENTIATION_UNMERGE_SYSTEM,MATCH(J9,DIFFERENTIATION_ID_DIFF,0)))</f>
        <v>ЦТС г. Чита (ЧТЭЦ-1, ЧТЭЦ-2)</v>
      </c>
      <c r="K12" s="6838" t="str">
        <f>IF(K9="","",INDEX(DIFFERENTIATION_UNMERGE_SYSTEM,MATCH(K9,DIFFERENTIATION_ID_DIFF,0)))</f>
        <v>Шерловогорская ТЭЦ</v>
      </c>
      <c r="L12" s="6838" t="str">
        <f>IF(L9="","",INDEX(DIFFERENTIATION_UNMERGE_SYSTEM,MATCH(L9,DIFFERENTIATION_ID_DIFF,0)))</f>
        <v>Котельные г. Чита</v>
      </c>
      <c r="M12" s="6838" t="str">
        <f>IF(M9="","",INDEX(DIFFERENTIATION_UNMERGE_SYSTEM,MATCH(M9,DIFFERENTIATION_ID_DIFF,0)))</f>
        <v>Приаргунская ТЭЦ</v>
      </c>
      <c r="N12" s="6838" t="str">
        <f>IF(N9="","",INDEX(DIFFERENTIATION_UNMERGE_SYSTEM,MATCH(N9,DIFFERENTIATION_ID_DIFF,0)))</f>
        <v>Приаргунская ТЭЦ</v>
      </c>
      <c r="O12" s="2286"/>
      <c r="AK12" s="1777">
        <v>0</v>
      </c>
    </row>
    <row customHeight="1" ht="11.549999999999999">
      <c r="E13" s="2528" t="s">
        <v>322</v>
      </c>
      <c r="F13" s="2529"/>
      <c r="G13" s="2529"/>
      <c r="H13" s="1802"/>
      <c r="I13" s="1802"/>
      <c r="J13" s="6942"/>
      <c r="K13" s="6942"/>
      <c r="L13" s="6942"/>
      <c r="M13" s="6942"/>
      <c r="N13" s="6942"/>
      <c r="O13" s="2286"/>
      <c r="AK13" s="1777">
        <v>11</v>
      </c>
    </row>
    <row customHeight="1" ht="24">
      <c r="E14" s="1803" t="s">
        <v>89</v>
      </c>
      <c r="F14" s="1806" t="s">
        <v>324</v>
      </c>
      <c r="G14" s="1806" t="s">
        <v>588</v>
      </c>
      <c r="H14" s="1806" t="s">
        <v>325</v>
      </c>
      <c r="I14" s="1806" t="s">
        <v>325</v>
      </c>
      <c r="J14" s="7599" t="s">
        <v>325</v>
      </c>
      <c r="K14" s="7599" t="s">
        <v>325</v>
      </c>
      <c r="L14" s="7599" t="s">
        <v>325</v>
      </c>
      <c r="M14" s="7599" t="s">
        <v>325</v>
      </c>
      <c r="N14" s="7599" t="s">
        <v>325</v>
      </c>
      <c r="O14" s="2286"/>
      <c r="AK14" s="1777">
        <v>23</v>
      </c>
    </row>
    <row customHeight="1" ht="19.95">
      <c r="D15" s="1784"/>
      <c r="E15" s="1776" t="s">
        <v>121</v>
      </c>
      <c r="F15" s="853" t="s">
        <v>825</v>
      </c>
      <c r="G15" s="1803" t="s">
        <v>574</v>
      </c>
      <c r="H15" s="703"/>
      <c r="I15" s="703"/>
      <c r="J15" s="6612"/>
      <c r="K15" s="6612"/>
      <c r="L15" s="6612"/>
      <c r="M15" s="6612"/>
      <c r="N15" s="6612"/>
      <c r="O15" s="435" t="s">
        <v>826</v>
      </c>
      <c r="P15" s="689" t="s">
        <v>674</v>
      </c>
      <c r="AK15" s="1777">
        <v>19</v>
      </c>
    </row>
    <row customHeight="1" ht="24">
      <c r="D16" s="1784"/>
      <c r="E16" s="1776" t="s">
        <v>105</v>
      </c>
      <c r="F16" s="2230" t="s">
        <v>827</v>
      </c>
      <c r="G16" s="1803" t="s">
        <v>574</v>
      </c>
      <c r="H16" s="704">
        <f>SUM(H17,H20:H27)</f>
        <v>0</v>
      </c>
      <c r="I16" s="704">
        <f>SUM(I17,I20:I27)</f>
        <v>0</v>
      </c>
      <c r="J16" s="6613">
        <f>SUM(J17,J20:J27)</f>
        <v>0</v>
      </c>
      <c r="K16" s="6613">
        <f>SUM(K17,K20:K27)</f>
        <v>0</v>
      </c>
      <c r="L16" s="6613">
        <f>SUM(L17,L20:L27)</f>
        <v>0</v>
      </c>
      <c r="M16" s="6613">
        <f>SUM(M17,M20:M27)</f>
        <v>0</v>
      </c>
      <c r="N16" s="6613">
        <f>SUM(N17,N20:N27)</f>
        <v>0</v>
      </c>
      <c r="O16" s="2227" t="s">
        <v>828</v>
      </c>
      <c r="P16" s="689" t="s">
        <v>674</v>
      </c>
      <c r="AK16" s="1777">
        <v>23</v>
      </c>
    </row>
    <row customHeight="1" ht="35.699999999999996">
      <c r="D17" s="1784"/>
      <c r="E17" s="1810" t="s">
        <v>752</v>
      </c>
      <c r="F17" s="1812" t="s">
        <v>829</v>
      </c>
      <c r="G17" s="1800" t="s">
        <v>574</v>
      </c>
      <c r="H17" s="703"/>
      <c r="I17" s="703"/>
      <c r="J17" s="6612"/>
      <c r="K17" s="6612"/>
      <c r="L17" s="6612"/>
      <c r="M17" s="6612"/>
      <c r="N17" s="6612"/>
      <c r="O17" s="435" t="s">
        <v>830</v>
      </c>
      <c r="P17" s="689"/>
      <c r="AK17" s="1777">
        <v>34</v>
      </c>
    </row>
    <row customHeight="1" ht="19.95">
      <c r="D18" s="1784"/>
      <c r="E18" s="1810" t="s">
        <v>755</v>
      </c>
      <c r="F18" s="1813" t="s">
        <v>831</v>
      </c>
      <c r="G18" s="1800" t="s">
        <v>574</v>
      </c>
      <c r="H18" s="703"/>
      <c r="I18" s="703"/>
      <c r="J18" s="6612"/>
      <c r="K18" s="6612"/>
      <c r="L18" s="6612"/>
      <c r="M18" s="6612"/>
      <c r="N18" s="6612"/>
      <c r="O18" s="435"/>
      <c r="P18" s="689"/>
      <c r="AK18" s="1777">
        <v>19</v>
      </c>
    </row>
    <row customHeight="1" ht="24">
      <c r="D19" s="1784"/>
      <c r="E19" s="1810" t="s">
        <v>758</v>
      </c>
      <c r="F19" s="1813" t="s">
        <v>832</v>
      </c>
      <c r="G19" s="1800" t="s">
        <v>574</v>
      </c>
      <c r="H19" s="703"/>
      <c r="I19" s="703"/>
      <c r="J19" s="6612"/>
      <c r="K19" s="6612"/>
      <c r="L19" s="6612"/>
      <c r="M19" s="6612"/>
      <c r="N19" s="6612"/>
      <c r="O19" s="435"/>
      <c r="P19" s="689"/>
      <c r="AK19" s="1777">
        <v>23</v>
      </c>
    </row>
    <row customHeight="1" ht="35.699999999999996">
      <c r="D20" s="1784"/>
      <c r="E20" s="1810" t="s">
        <v>329</v>
      </c>
      <c r="F20" s="1812" t="s">
        <v>833</v>
      </c>
      <c r="G20" s="1800" t="s">
        <v>574</v>
      </c>
      <c r="H20" s="703"/>
      <c r="I20" s="703"/>
      <c r="J20" s="6612"/>
      <c r="K20" s="6612"/>
      <c r="L20" s="6612"/>
      <c r="M20" s="6612"/>
      <c r="N20" s="6612"/>
      <c r="O20" s="435"/>
      <c r="P20" s="689"/>
      <c r="AK20" s="1777">
        <v>34</v>
      </c>
    </row>
    <row customHeight="1" ht="48.29999999999999">
      <c r="D21" s="1784"/>
      <c r="E21" s="1810" t="s">
        <v>332</v>
      </c>
      <c r="F21" s="1812" t="s">
        <v>834</v>
      </c>
      <c r="G21" s="1800" t="s">
        <v>574</v>
      </c>
      <c r="H21" s="703"/>
      <c r="I21" s="703"/>
      <c r="J21" s="6612"/>
      <c r="K21" s="6612"/>
      <c r="L21" s="6612"/>
      <c r="M21" s="6612"/>
      <c r="N21" s="6612"/>
      <c r="O21" s="435"/>
      <c r="P21" s="689"/>
      <c r="AK21" s="1777">
        <v>46</v>
      </c>
    </row>
    <row customHeight="1" ht="60">
      <c r="D22" s="1784"/>
      <c r="E22" s="1810" t="s">
        <v>772</v>
      </c>
      <c r="F22" s="1812" t="s">
        <v>835</v>
      </c>
      <c r="G22" s="1800" t="s">
        <v>574</v>
      </c>
      <c r="H22" s="703"/>
      <c r="I22" s="703"/>
      <c r="J22" s="6612"/>
      <c r="K22" s="6612"/>
      <c r="L22" s="6612"/>
      <c r="M22" s="6612"/>
      <c r="N22" s="6612"/>
      <c r="O22" s="435"/>
      <c r="P22" s="689"/>
      <c r="AK22" s="1777">
        <v>57</v>
      </c>
    </row>
    <row customHeight="1" ht="35.699999999999996">
      <c r="D23" s="1784"/>
      <c r="E23" s="1810" t="s">
        <v>779</v>
      </c>
      <c r="F23" s="1812" t="s">
        <v>836</v>
      </c>
      <c r="G23" s="1800" t="s">
        <v>574</v>
      </c>
      <c r="H23" s="703"/>
      <c r="I23" s="703"/>
      <c r="J23" s="6612"/>
      <c r="K23" s="6612"/>
      <c r="L23" s="6612"/>
      <c r="M23" s="6612"/>
      <c r="N23" s="6612"/>
      <c r="O23" s="435"/>
      <c r="P23" s="689"/>
      <c r="AK23" s="1777">
        <v>34</v>
      </c>
    </row>
    <row customHeight="1" ht="35.699999999999996">
      <c r="D24" s="1784"/>
      <c r="E24" s="1810" t="s">
        <v>781</v>
      </c>
      <c r="F24" s="1812" t="s">
        <v>837</v>
      </c>
      <c r="G24" s="1800" t="s">
        <v>574</v>
      </c>
      <c r="H24" s="703"/>
      <c r="I24" s="703"/>
      <c r="J24" s="6612"/>
      <c r="K24" s="6612"/>
      <c r="L24" s="6612"/>
      <c r="M24" s="6612"/>
      <c r="N24" s="6612"/>
      <c r="O24" s="435"/>
      <c r="P24" s="689"/>
      <c r="AK24" s="1777">
        <v>34</v>
      </c>
    </row>
    <row customHeight="1" ht="24">
      <c r="D25" s="1784"/>
      <c r="E25" s="1810" t="s">
        <v>783</v>
      </c>
      <c r="F25" s="1812" t="s">
        <v>838</v>
      </c>
      <c r="G25" s="1800" t="s">
        <v>574</v>
      </c>
      <c r="H25" s="703"/>
      <c r="I25" s="703"/>
      <c r="J25" s="6612"/>
      <c r="K25" s="6612"/>
      <c r="L25" s="6612"/>
      <c r="M25" s="6612"/>
      <c r="N25" s="6612"/>
      <c r="O25" s="435"/>
      <c r="P25" s="689"/>
      <c r="AK25" s="1777">
        <v>23</v>
      </c>
    </row>
    <row customHeight="1" ht="76.5">
      <c r="D26" s="1784"/>
      <c r="E26" s="1810" t="s">
        <v>785</v>
      </c>
      <c r="F26" s="1812" t="s">
        <v>839</v>
      </c>
      <c r="G26" s="1800" t="s">
        <v>574</v>
      </c>
      <c r="H26" s="703"/>
      <c r="I26" s="703"/>
      <c r="J26" s="6612"/>
      <c r="K26" s="6612"/>
      <c r="L26" s="6612"/>
      <c r="M26" s="6612"/>
      <c r="N26" s="6612"/>
      <c r="O26" s="435"/>
      <c r="P26" s="689"/>
      <c r="AK26" s="1777">
        <v>73</v>
      </c>
    </row>
    <row s="7180" customFormat="1" customHeight="1" ht="35.699999999999996">
      <c r="A27" s="1133"/>
      <c r="C27" s="1782"/>
      <c r="D27" s="1784"/>
      <c r="E27" s="1775" t="s">
        <v>789</v>
      </c>
      <c r="F27" s="1774" t="s">
        <v>840</v>
      </c>
      <c r="G27" s="1801" t="s">
        <v>574</v>
      </c>
      <c r="H27" s="725">
        <f>SUM(H28:H29)</f>
        <v>0</v>
      </c>
      <c r="I27" s="725">
        <f>SUM(I28:I29)</f>
        <v>0</v>
      </c>
      <c r="J27" s="6644">
        <f>SUM(J28:J29)</f>
        <v>0</v>
      </c>
      <c r="K27" s="6644">
        <f>SUM(K28:K29)</f>
        <v>0</v>
      </c>
      <c r="L27" s="6644">
        <f>SUM(L28:L29)</f>
        <v>0</v>
      </c>
      <c r="M27" s="6644">
        <f>SUM(M28:M29)</f>
        <v>0</v>
      </c>
      <c r="N27" s="6644">
        <f>SUM(N28:N29)</f>
        <v>0</v>
      </c>
      <c r="O27" s="435" t="s">
        <v>787</v>
      </c>
      <c r="P27" s="689"/>
      <c r="Q27" s="1782"/>
      <c r="R27" s="1782"/>
      <c r="W27" s="1782"/>
      <c r="Z27" s="690"/>
      <c r="AF27" s="1778"/>
      <c r="AG27" s="1778"/>
      <c r="AH27" s="1778"/>
      <c r="AI27" s="1778"/>
      <c r="AJ27" s="1778"/>
      <c r="AK27" s="1306">
        <v>34</v>
      </c>
    </row>
    <row s="6720" customFormat="1" customHeight="1" ht="1.05">
      <c r="A28" s="1313"/>
      <c r="D28" s="694"/>
      <c r="E28" s="948" t="str">
        <f>E27&amp;".0"</f>
        <v>2.9.0</v>
      </c>
      <c r="F28" s="1137"/>
      <c r="G28" s="697"/>
      <c r="H28" s="1138"/>
      <c r="I28" s="1138"/>
      <c r="J28" s="6646"/>
      <c r="K28" s="6646"/>
      <c r="L28" s="6646"/>
      <c r="M28" s="6646"/>
      <c r="N28" s="6646"/>
      <c r="O28" s="1139"/>
      <c r="AK28" s="1782">
        <v>1</v>
      </c>
    </row>
    <row s="7180" customFormat="1" customHeight="1" ht="19.95">
      <c r="A29" s="1133"/>
      <c r="C29" s="1782"/>
      <c r="D29" s="1779"/>
      <c r="E29" s="716"/>
      <c r="F29" s="1811" t="s">
        <v>613</v>
      </c>
      <c r="G29" s="718"/>
      <c r="H29" s="719"/>
      <c r="I29" s="719"/>
      <c r="J29" s="8031"/>
      <c r="K29" s="8032"/>
      <c r="L29" s="8033"/>
      <c r="M29" s="8034"/>
      <c r="N29" s="8035"/>
      <c r="O29" s="447" t="s">
        <v>788</v>
      </c>
      <c r="P29" s="689"/>
      <c r="Q29" s="1782"/>
      <c r="R29" s="1782"/>
      <c r="W29" s="1782"/>
      <c r="Z29" s="690"/>
      <c r="AF29" s="1778"/>
      <c r="AG29" s="1778"/>
      <c r="AH29" s="1778"/>
      <c r="AI29" s="1778"/>
      <c r="AJ29" s="1778"/>
      <c r="AK29" s="1306">
        <v>19</v>
      </c>
    </row>
    <row customHeight="1" ht="76.5">
      <c r="B30" s="1512"/>
      <c r="D30" s="2221"/>
      <c r="E30" s="1810" t="s">
        <v>841</v>
      </c>
      <c r="F30" s="2229" t="s">
        <v>796</v>
      </c>
      <c r="G30" s="2220" t="s">
        <v>574</v>
      </c>
      <c r="H30" s="703"/>
      <c r="I30" s="703"/>
      <c r="J30" s="6612"/>
      <c r="K30" s="6612"/>
      <c r="L30" s="6612"/>
      <c r="M30" s="6612"/>
      <c r="N30" s="6612"/>
      <c r="O30" s="2227" t="s">
        <v>842</v>
      </c>
      <c r="P30" s="689"/>
      <c r="S30" s="1512"/>
      <c r="T30" s="1512"/>
      <c r="U30" s="1512"/>
      <c r="V30" s="1512"/>
      <c r="X30" s="1512"/>
      <c r="Y30" s="1512"/>
      <c r="AA30" s="1512"/>
      <c r="AB30" s="1512"/>
      <c r="AC30" s="1512"/>
      <c r="AD30" s="1512"/>
      <c r="AE30" s="1512"/>
      <c r="AK30" s="1777">
        <v>73</v>
      </c>
    </row>
    <row s="7180" customFormat="1" customHeight="1" ht="24">
      <c r="A31" s="1133"/>
      <c r="C31" s="1782"/>
      <c r="D31" s="1784"/>
      <c r="E31" s="1810" t="s">
        <v>91</v>
      </c>
      <c r="F31" s="1807" t="s">
        <v>843</v>
      </c>
      <c r="G31" s="1800" t="s">
        <v>574</v>
      </c>
      <c r="H31" s="703"/>
      <c r="I31" s="703"/>
      <c r="J31" s="6612"/>
      <c r="K31" s="6612"/>
      <c r="L31" s="6612"/>
      <c r="M31" s="6612"/>
      <c r="N31" s="6612"/>
      <c r="O31" s="435"/>
      <c r="P31" s="689"/>
      <c r="Q31" s="1782"/>
      <c r="R31" s="1782"/>
      <c r="W31" s="1782"/>
      <c r="Z31" s="690"/>
      <c r="AF31" s="1778"/>
      <c r="AG31" s="1778"/>
      <c r="AH31" s="1778"/>
      <c r="AI31" s="1778"/>
      <c r="AJ31" s="1778"/>
      <c r="AK31" s="1306">
        <v>23</v>
      </c>
    </row>
    <row s="7180" customFormat="1" customHeight="1" ht="35.699999999999996">
      <c r="A32" s="1133"/>
      <c r="C32" s="1782"/>
      <c r="D32" s="721"/>
      <c r="E32" s="1810" t="s">
        <v>92</v>
      </c>
      <c r="F32" s="1807" t="s">
        <v>844</v>
      </c>
      <c r="G32" s="1800" t="s">
        <v>574</v>
      </c>
      <c r="H32" s="703"/>
      <c r="I32" s="703"/>
      <c r="J32" s="6612"/>
      <c r="K32" s="6612"/>
      <c r="L32" s="6612"/>
      <c r="M32" s="6612"/>
      <c r="N32" s="6612"/>
      <c r="O32" s="435" t="s">
        <v>845</v>
      </c>
      <c r="P32" s="689"/>
      <c r="Q32" s="1782"/>
      <c r="R32" s="1782"/>
      <c r="W32" s="1782"/>
      <c r="Z32" s="690"/>
      <c r="AF32" s="1778"/>
      <c r="AG32" s="1778"/>
      <c r="AH32" s="1778"/>
      <c r="AI32" s="1778"/>
      <c r="AJ32" s="1778"/>
      <c r="AK32" s="1306">
        <v>34</v>
      </c>
    </row>
    <row s="7180" customFormat="1" customHeight="1" ht="24">
      <c r="A33" s="1133"/>
      <c r="C33" s="1782"/>
      <c r="D33" s="1784"/>
      <c r="E33" s="1810" t="s">
        <v>803</v>
      </c>
      <c r="F33" s="836" t="s">
        <v>807</v>
      </c>
      <c r="G33" s="1800" t="s">
        <v>574</v>
      </c>
      <c r="H33" s="703"/>
      <c r="I33" s="703"/>
      <c r="J33" s="6612"/>
      <c r="K33" s="6612"/>
      <c r="L33" s="6612"/>
      <c r="M33" s="6612"/>
      <c r="N33" s="6612"/>
      <c r="O33" s="435" t="s">
        <v>846</v>
      </c>
      <c r="P33" s="689"/>
      <c r="Q33" s="1782"/>
      <c r="R33" s="1782"/>
      <c r="W33" s="1782"/>
      <c r="Z33" s="690"/>
      <c r="AF33" s="1778"/>
      <c r="AG33" s="1778"/>
      <c r="AH33" s="1778"/>
      <c r="AI33" s="1778"/>
      <c r="AJ33" s="1778"/>
      <c r="AK33" s="1306">
        <v>23</v>
      </c>
    </row>
    <row s="7180" customFormat="1" customHeight="1" ht="24">
      <c r="A34" s="1133"/>
      <c r="C34" s="1782"/>
      <c r="D34" s="1784"/>
      <c r="E34" s="1810" t="s">
        <v>847</v>
      </c>
      <c r="F34" s="836" t="s">
        <v>848</v>
      </c>
      <c r="G34" s="1800" t="s">
        <v>574</v>
      </c>
      <c r="H34" s="703"/>
      <c r="I34" s="703"/>
      <c r="J34" s="6612"/>
      <c r="K34" s="6612"/>
      <c r="L34" s="6612"/>
      <c r="M34" s="6612"/>
      <c r="N34" s="6612"/>
      <c r="O34" s="435" t="s">
        <v>849</v>
      </c>
      <c r="P34" s="689"/>
      <c r="Q34" s="1782"/>
      <c r="R34" s="1782"/>
      <c r="W34" s="1782"/>
      <c r="Z34" s="690"/>
      <c r="AF34" s="1778"/>
      <c r="AG34" s="1778"/>
      <c r="AH34" s="1778"/>
      <c r="AI34" s="1778"/>
      <c r="AJ34" s="1778"/>
      <c r="AK34" s="1306">
        <v>23</v>
      </c>
    </row>
    <row s="7180" customFormat="1" customHeight="1" ht="24">
      <c r="A35" s="1133"/>
      <c r="C35" s="1782"/>
      <c r="D35" s="1784"/>
      <c r="E35" s="1810" t="s">
        <v>850</v>
      </c>
      <c r="F35" s="836" t="s">
        <v>813</v>
      </c>
      <c r="G35" s="1800" t="s">
        <v>574</v>
      </c>
      <c r="H35" s="703"/>
      <c r="I35" s="703"/>
      <c r="J35" s="6612"/>
      <c r="K35" s="6612"/>
      <c r="L35" s="6612"/>
      <c r="M35" s="6612"/>
      <c r="N35" s="6612"/>
      <c r="O35" s="435" t="s">
        <v>851</v>
      </c>
      <c r="P35" s="689"/>
      <c r="Q35" s="1782"/>
      <c r="R35" s="1782"/>
      <c r="W35" s="1782"/>
      <c r="Z35" s="690"/>
      <c r="AF35" s="1778"/>
      <c r="AG35" s="1778"/>
      <c r="AH35" s="1778"/>
      <c r="AI35" s="1778"/>
      <c r="AJ35" s="1778"/>
      <c r="AK35" s="1306">
        <v>23</v>
      </c>
    </row>
    <row s="7180" customFormat="1" customHeight="1" ht="35.699999999999996">
      <c r="A36" s="1133"/>
      <c r="C36" s="1782" t="s">
        <v>616</v>
      </c>
      <c r="D36" s="1784"/>
      <c r="E36" s="1810" t="s">
        <v>122</v>
      </c>
      <c r="F36" s="1807" t="s">
        <v>673</v>
      </c>
      <c r="G36" s="1803" t="s">
        <v>328</v>
      </c>
      <c r="H36" s="8030"/>
      <c r="I36" s="8030"/>
      <c r="J36" s="8030"/>
      <c r="K36" s="8030"/>
      <c r="L36" s="8030"/>
      <c r="M36" s="8030"/>
      <c r="N36" s="8030"/>
      <c r="O36" s="435" t="s">
        <v>852</v>
      </c>
      <c r="P36" s="689"/>
      <c r="Q36" s="1782"/>
      <c r="R36" s="1782"/>
      <c r="W36" s="1782"/>
      <c r="Z36" s="690"/>
      <c r="AF36" s="1778"/>
      <c r="AG36" s="1778"/>
      <c r="AH36" s="1778"/>
      <c r="AI36" s="1778"/>
      <c r="AJ36" s="1778"/>
      <c r="AK36" s="1306">
        <v>34</v>
      </c>
    </row>
    <row s="7180" customFormat="1" customHeight="1" ht="35.699999999999996">
      <c r="A37" s="1133"/>
      <c r="C37" s="1782"/>
      <c r="D37" s="1784"/>
      <c r="E37" s="1810" t="s">
        <v>93</v>
      </c>
      <c r="F37" s="1807" t="s">
        <v>853</v>
      </c>
      <c r="G37" s="1800" t="s">
        <v>818</v>
      </c>
      <c r="H37" s="2228"/>
      <c r="I37" s="2228"/>
      <c r="J37" s="6865"/>
      <c r="K37" s="6865"/>
      <c r="L37" s="6865"/>
      <c r="M37" s="6865"/>
      <c r="N37" s="6865"/>
      <c r="O37" s="435" t="s">
        <v>819</v>
      </c>
      <c r="P37" s="689"/>
      <c r="Q37" s="1782"/>
      <c r="R37" s="1782"/>
      <c r="W37" s="1782"/>
      <c r="Z37" s="690"/>
      <c r="AF37" s="1778"/>
      <c r="AG37" s="1778"/>
      <c r="AH37" s="1778"/>
      <c r="AI37" s="1778"/>
      <c r="AJ37" s="1778"/>
      <c r="AK37" s="1306">
        <v>34</v>
      </c>
    </row>
    <row s="7180" customFormat="1" customHeight="1" ht="33.75">
      <c r="A38" s="1133"/>
      <c r="C38" s="1782"/>
      <c r="D38" s="2221"/>
      <c r="E38" s="1810" t="s">
        <v>696</v>
      </c>
      <c r="F38" s="2229" t="s">
        <v>854</v>
      </c>
      <c r="G38" s="2220" t="s">
        <v>818</v>
      </c>
      <c r="H38" s="691"/>
      <c r="I38" s="691"/>
      <c r="J38" s="6596"/>
      <c r="K38" s="6596"/>
      <c r="L38" s="6596"/>
      <c r="M38" s="6596"/>
      <c r="N38" s="6596"/>
      <c r="O38" s="2227" t="s">
        <v>855</v>
      </c>
      <c r="P38" s="689"/>
      <c r="Q38" s="1782"/>
      <c r="R38" s="1782"/>
      <c r="W38" s="1782"/>
      <c r="Z38" s="690"/>
      <c r="AF38" s="1778"/>
      <c r="AG38" s="1778"/>
      <c r="AH38" s="1778"/>
      <c r="AI38" s="1778"/>
      <c r="AJ38" s="1778"/>
    </row>
    <row s="7180" customFormat="1" customHeight="1" ht="33.75">
      <c r="A39" s="1133"/>
      <c r="C39" s="1782"/>
      <c r="D39" s="2221"/>
      <c r="E39" s="1810" t="s">
        <v>700</v>
      </c>
      <c r="F39" s="2229" t="s">
        <v>856</v>
      </c>
      <c r="G39" s="2220" t="s">
        <v>818</v>
      </c>
      <c r="H39" s="691"/>
      <c r="I39" s="691"/>
      <c r="J39" s="6596"/>
      <c r="K39" s="6596"/>
      <c r="L39" s="6596"/>
      <c r="M39" s="6596"/>
      <c r="N39" s="6596"/>
      <c r="O39" s="2227" t="s">
        <v>857</v>
      </c>
      <c r="P39" s="689"/>
      <c r="Q39" s="1782"/>
      <c r="R39" s="1782"/>
      <c r="W39" s="1782"/>
      <c r="Z39" s="690"/>
      <c r="AF39" s="1778"/>
      <c r="AG39" s="1778"/>
      <c r="AH39" s="1778"/>
      <c r="AI39" s="1778"/>
      <c r="AJ39" s="1778"/>
    </row>
    <row s="7180" customFormat="1" customHeight="1" ht="24">
      <c r="A40" s="1133"/>
      <c r="C40" s="1782"/>
      <c r="D40" s="1784"/>
      <c r="E40" s="1810" t="s">
        <v>94</v>
      </c>
      <c r="F40" s="1807" t="s">
        <v>858</v>
      </c>
      <c r="G40" s="1800" t="s">
        <v>821</v>
      </c>
      <c r="H40" s="2228"/>
      <c r="I40" s="2228"/>
      <c r="J40" s="6865"/>
      <c r="K40" s="6865"/>
      <c r="L40" s="6865"/>
      <c r="M40" s="6865"/>
      <c r="N40" s="6865"/>
      <c r="O40" s="435" t="s">
        <v>822</v>
      </c>
      <c r="P40" s="689"/>
      <c r="Q40" s="1782"/>
      <c r="R40" s="1782"/>
      <c r="W40" s="1782"/>
      <c r="Z40" s="690"/>
      <c r="AF40" s="1778"/>
      <c r="AG40" s="1778"/>
      <c r="AH40" s="1778"/>
      <c r="AI40" s="1778"/>
      <c r="AJ40" s="1778"/>
      <c r="AK40" s="1306">
        <v>23</v>
      </c>
    </row>
    <row s="7180" customFormat="1" customHeight="1" ht="24">
      <c r="A41" s="1133"/>
      <c r="C41" s="1782"/>
      <c r="D41" s="2221"/>
      <c r="E41" s="1810" t="s">
        <v>859</v>
      </c>
      <c r="F41" s="2229" t="s">
        <v>860</v>
      </c>
      <c r="G41" s="2220" t="s">
        <v>821</v>
      </c>
      <c r="H41" s="691"/>
      <c r="I41" s="691"/>
      <c r="J41" s="6596"/>
      <c r="K41" s="6596"/>
      <c r="L41" s="6596"/>
      <c r="M41" s="6596"/>
      <c r="N41" s="6596"/>
      <c r="O41" s="2227" t="s">
        <v>861</v>
      </c>
      <c r="P41" s="689"/>
      <c r="Q41" s="1782"/>
      <c r="R41" s="1782"/>
      <c r="W41" s="1782"/>
      <c r="Z41" s="690"/>
      <c r="AF41" s="1778"/>
      <c r="AG41" s="1778"/>
      <c r="AH41" s="1778"/>
      <c r="AI41" s="1778"/>
      <c r="AJ41" s="1778"/>
      <c r="AK41" s="1512">
        <v>23</v>
      </c>
    </row>
    <row s="7180" customFormat="1" customHeight="1" ht="24">
      <c r="A42" s="1133"/>
      <c r="C42" s="1782"/>
      <c r="D42" s="2221"/>
      <c r="E42" s="1810" t="s">
        <v>862</v>
      </c>
      <c r="F42" s="2229" t="s">
        <v>863</v>
      </c>
      <c r="G42" s="2220" t="s">
        <v>821</v>
      </c>
      <c r="H42" s="691"/>
      <c r="I42" s="691"/>
      <c r="J42" s="6596"/>
      <c r="K42" s="6596"/>
      <c r="L42" s="6596"/>
      <c r="M42" s="6596"/>
      <c r="N42" s="6596"/>
      <c r="O42" s="2227" t="s">
        <v>864</v>
      </c>
      <c r="P42" s="689"/>
      <c r="Q42" s="1782"/>
      <c r="R42" s="1782"/>
      <c r="W42" s="1782"/>
      <c r="Z42" s="690"/>
      <c r="AF42" s="1778"/>
      <c r="AG42" s="1778"/>
      <c r="AH42" s="1778"/>
      <c r="AI42" s="1778"/>
      <c r="AJ42" s="1778"/>
      <c r="AK42" s="1512">
        <v>23</v>
      </c>
    </row>
    <row customHeight="1" ht="11.549999999999999">
      <c r="D43" s="1784"/>
      <c r="J43" s="7235"/>
      <c r="K43" s="7235"/>
      <c r="L43" s="7235"/>
      <c r="M43" s="7235"/>
      <c r="N43" s="7235"/>
      <c r="AK43" s="1777">
        <v>11</v>
      </c>
    </row>
    <row customHeight="1" ht="27.299999999999997">
      <c r="D44" s="1784"/>
      <c r="E44" s="1399" t="s">
        <v>865</v>
      </c>
      <c r="F44" s="2444" t="s">
        <v>866</v>
      </c>
      <c r="G44" s="2444"/>
      <c r="H44" s="515"/>
      <c r="I44" s="515"/>
      <c r="J44" s="7263"/>
      <c r="K44" s="7263"/>
      <c r="L44" s="7263"/>
      <c r="M44" s="7263"/>
      <c r="N44" s="7263"/>
      <c r="O44" s="515"/>
      <c r="AK44" s="1777">
        <v>26</v>
      </c>
    </row>
    <row s="6314" customFormat="1" customHeight="1" ht="39.75">
      <c r="A45" s="1133"/>
      <c r="B45" s="1782"/>
      <c r="C45" s="1782"/>
      <c r="D45" s="497"/>
      <c r="F45" s="2444" t="s">
        <v>867</v>
      </c>
      <c r="G45" s="2444"/>
      <c r="H45" s="515"/>
      <c r="I45" s="515"/>
      <c r="J45" s="7263"/>
      <c r="K45" s="7263"/>
      <c r="L45" s="7263"/>
      <c r="M45" s="7263"/>
      <c r="N45" s="7263"/>
      <c r="O45" s="515"/>
      <c r="P45" s="1306"/>
      <c r="Q45" s="1782"/>
      <c r="R45" s="1782"/>
      <c r="S45" s="1306"/>
      <c r="T45" s="1306"/>
      <c r="U45" s="1306"/>
      <c r="V45" s="1306"/>
      <c r="W45" s="1782"/>
      <c r="X45" s="1306"/>
      <c r="Y45" s="1306"/>
      <c r="Z45" s="690"/>
      <c r="AA45" s="1306"/>
      <c r="AB45" s="1306"/>
      <c r="AC45" s="1306"/>
      <c r="AD45" s="1306"/>
      <c r="AE45" s="1306"/>
      <c r="AF45" s="1778"/>
      <c r="AG45" s="712"/>
      <c r="AH45" s="712"/>
      <c r="AI45" s="712"/>
      <c r="AJ45" s="712"/>
      <c r="AK45" s="1787">
        <v>38</v>
      </c>
    </row>
    <row s="6314" customFormat="1" customHeight="1" ht="11.549999999999999">
      <c r="A46" s="1133"/>
      <c r="B46" s="1782"/>
      <c r="C46" s="1782"/>
      <c r="D46" s="497"/>
      <c r="J46" s="6314"/>
      <c r="K46" s="6314"/>
      <c r="L46" s="6314"/>
      <c r="M46" s="6314"/>
      <c r="N46" s="6314"/>
      <c r="P46" s="1306"/>
      <c r="Q46" s="1782"/>
      <c r="R46" s="1782"/>
      <c r="S46" s="1306"/>
      <c r="T46" s="1306"/>
      <c r="U46" s="1306"/>
      <c r="V46" s="1306"/>
      <c r="W46" s="1782"/>
      <c r="X46" s="1306"/>
      <c r="Y46" s="1306"/>
      <c r="Z46" s="690"/>
      <c r="AA46" s="1306"/>
      <c r="AB46" s="1306"/>
      <c r="AC46" s="1306"/>
      <c r="AD46" s="1306"/>
      <c r="AE46" s="1306"/>
      <c r="AF46" s="1778"/>
      <c r="AG46" s="712"/>
      <c r="AH46" s="712"/>
      <c r="AI46" s="712"/>
      <c r="AJ46" s="712"/>
      <c r="AK46" s="1787">
        <v>11</v>
      </c>
    </row>
    <row s="6314" customFormat="1" customHeight="1" ht="11.549999999999999">
      <c r="A47" s="1133"/>
      <c r="B47" s="1782"/>
      <c r="C47" s="1782"/>
      <c r="D47" s="497"/>
      <c r="J47" s="6314"/>
      <c r="K47" s="6314"/>
      <c r="L47" s="6314"/>
      <c r="M47" s="6314"/>
      <c r="N47" s="6314"/>
      <c r="P47" s="1306"/>
      <c r="Q47" s="1782"/>
      <c r="R47" s="1782"/>
      <c r="S47" s="1306"/>
      <c r="T47" s="1306"/>
      <c r="U47" s="1306"/>
      <c r="V47" s="1306"/>
      <c r="W47" s="1782"/>
      <c r="X47" s="1306"/>
      <c r="Y47" s="1306"/>
      <c r="Z47" s="690"/>
      <c r="AA47" s="1306"/>
      <c r="AB47" s="1306"/>
      <c r="AC47" s="1306"/>
      <c r="AD47" s="1306"/>
      <c r="AE47" s="1306"/>
      <c r="AF47" s="1778"/>
      <c r="AG47" s="712"/>
      <c r="AH47" s="712"/>
      <c r="AI47" s="712"/>
      <c r="AJ47" s="712"/>
      <c r="AK47" s="1787">
        <v>11</v>
      </c>
    </row>
    <row s="6314" customFormat="1" customHeight="1" ht="11.549999999999999">
      <c r="A48" s="1133"/>
      <c r="B48" s="1782"/>
      <c r="C48" s="1782"/>
      <c r="D48" s="497"/>
      <c r="H48" s="712"/>
      <c r="I48" s="712"/>
      <c r="J48" s="6710"/>
      <c r="K48" s="6710"/>
      <c r="L48" s="6710"/>
      <c r="M48" s="6710"/>
      <c r="N48" s="6710"/>
      <c r="P48" s="1306"/>
      <c r="Q48" s="1782"/>
      <c r="R48" s="1782"/>
      <c r="S48" s="1306"/>
      <c r="T48" s="1306"/>
      <c r="U48" s="1306"/>
      <c r="V48" s="1306"/>
      <c r="W48" s="1782"/>
      <c r="X48" s="1306"/>
      <c r="Y48" s="1306"/>
      <c r="Z48" s="690"/>
      <c r="AA48" s="1306"/>
      <c r="AB48" s="1306"/>
      <c r="AC48" s="1306"/>
      <c r="AD48" s="1306"/>
      <c r="AE48" s="1306"/>
      <c r="AF48" s="1778"/>
      <c r="AG48" s="712"/>
      <c r="AH48" s="712"/>
      <c r="AI48" s="712"/>
      <c r="AJ48" s="712"/>
      <c r="AK48" s="1787">
        <v>11</v>
      </c>
    </row>
    <row s="6314" customFormat="1" customHeight="1" ht="11.549999999999999">
      <c r="A49" s="1133"/>
      <c r="B49" s="1782"/>
      <c r="C49" s="1782"/>
      <c r="D49" s="497"/>
      <c r="J49" s="6314"/>
      <c r="K49" s="6314"/>
      <c r="L49" s="6314"/>
      <c r="M49" s="6314"/>
      <c r="N49" s="6314"/>
      <c r="P49" s="1306"/>
      <c r="Q49" s="1782"/>
      <c r="R49" s="1782"/>
      <c r="S49" s="1306"/>
      <c r="T49" s="1306"/>
      <c r="U49" s="1306"/>
      <c r="V49" s="1306"/>
      <c r="W49" s="1782"/>
      <c r="X49" s="1306"/>
      <c r="Y49" s="1306"/>
      <c r="Z49" s="690"/>
      <c r="AA49" s="1306"/>
      <c r="AB49" s="1306"/>
      <c r="AC49" s="1306"/>
      <c r="AD49" s="1306"/>
      <c r="AE49" s="1306"/>
      <c r="AF49" s="1778"/>
      <c r="AG49" s="712"/>
      <c r="AH49" s="712"/>
      <c r="AI49" s="712"/>
      <c r="AJ49" s="712"/>
      <c r="AK49" s="1787">
        <v>11</v>
      </c>
    </row>
    <row s="6314" customFormat="1" customHeight="1" ht="11.549999999999999">
      <c r="A50" s="1133"/>
      <c r="B50" s="1782"/>
      <c r="C50" s="1782"/>
      <c r="D50" s="497"/>
      <c r="J50" s="6314"/>
      <c r="K50" s="6314"/>
      <c r="L50" s="6314"/>
      <c r="M50" s="6314"/>
      <c r="N50" s="6314"/>
      <c r="P50" s="1306"/>
      <c r="Q50" s="1782"/>
      <c r="R50" s="1782"/>
      <c r="S50" s="1306"/>
      <c r="T50" s="1306"/>
      <c r="U50" s="1306"/>
      <c r="V50" s="1306"/>
      <c r="W50" s="1782"/>
      <c r="X50" s="1306"/>
      <c r="Y50" s="1306"/>
      <c r="Z50" s="690"/>
      <c r="AA50" s="1306"/>
      <c r="AB50" s="1306"/>
      <c r="AC50" s="1306"/>
      <c r="AD50" s="1306"/>
      <c r="AE50" s="1306"/>
      <c r="AF50" s="1778"/>
      <c r="AG50" s="712"/>
      <c r="AH50" s="712"/>
      <c r="AI50" s="712"/>
      <c r="AJ50" s="712"/>
      <c r="AK50" s="1787">
        <v>11</v>
      </c>
    </row>
    <row s="6314" customFormat="1" customHeight="1" ht="11.549999999999999">
      <c r="A51" s="1133"/>
      <c r="B51" s="1782"/>
      <c r="C51" s="1782"/>
      <c r="D51" s="497"/>
      <c r="J51" s="6314"/>
      <c r="K51" s="6314"/>
      <c r="L51" s="6314"/>
      <c r="M51" s="6314"/>
      <c r="N51" s="6314"/>
      <c r="P51" s="1306"/>
      <c r="Q51" s="1782"/>
      <c r="R51" s="1782"/>
      <c r="S51" s="1306"/>
      <c r="T51" s="1306"/>
      <c r="U51" s="1306"/>
      <c r="V51" s="1306"/>
      <c r="W51" s="1782"/>
      <c r="X51" s="1306"/>
      <c r="Y51" s="1306"/>
      <c r="Z51" s="690"/>
      <c r="AA51" s="1306"/>
      <c r="AB51" s="1306"/>
      <c r="AC51" s="1306"/>
      <c r="AD51" s="1306"/>
      <c r="AE51" s="1306"/>
      <c r="AF51" s="1778"/>
      <c r="AG51" s="712"/>
      <c r="AH51" s="712"/>
      <c r="AI51" s="712"/>
      <c r="AJ51" s="712"/>
      <c r="AK51" s="1787">
        <v>11</v>
      </c>
    </row>
    <row s="6314" customFormat="1" customHeight="1" ht="11.549999999999999">
      <c r="A52" s="1133"/>
      <c r="B52" s="1782"/>
      <c r="C52" s="1782"/>
      <c r="D52" s="497"/>
      <c r="J52" s="6314"/>
      <c r="K52" s="6314"/>
      <c r="L52" s="6314"/>
      <c r="M52" s="6314"/>
      <c r="N52" s="6314"/>
      <c r="P52" s="1306"/>
      <c r="Q52" s="1782"/>
      <c r="R52" s="1782"/>
      <c r="S52" s="1306"/>
      <c r="T52" s="1306"/>
      <c r="U52" s="1306"/>
      <c r="V52" s="1306"/>
      <c r="W52" s="1782"/>
      <c r="X52" s="1306"/>
      <c r="Y52" s="1306"/>
      <c r="Z52" s="690"/>
      <c r="AA52" s="1306"/>
      <c r="AB52" s="1306"/>
      <c r="AC52" s="1306"/>
      <c r="AD52" s="1306"/>
      <c r="AE52" s="1306"/>
      <c r="AF52" s="1778"/>
      <c r="AG52" s="712"/>
      <c r="AH52" s="712"/>
      <c r="AI52" s="712"/>
      <c r="AJ52" s="712"/>
      <c r="AK52" s="1787">
        <v>11</v>
      </c>
    </row>
    <row s="6314" customFormat="1" customHeight="1" ht="11.549999999999999">
      <c r="A53" s="1133"/>
      <c r="B53" s="1782"/>
      <c r="C53" s="1782"/>
      <c r="D53" s="497"/>
      <c r="J53" s="6314"/>
      <c r="K53" s="6314"/>
      <c r="L53" s="6314"/>
      <c r="M53" s="6314"/>
      <c r="N53" s="6314"/>
      <c r="P53" s="1306"/>
      <c r="Q53" s="1782"/>
      <c r="R53" s="1782"/>
      <c r="S53" s="1306"/>
      <c r="T53" s="1306"/>
      <c r="U53" s="1306"/>
      <c r="V53" s="1306"/>
      <c r="W53" s="1782"/>
      <c r="X53" s="1306"/>
      <c r="Y53" s="1306"/>
      <c r="Z53" s="690"/>
      <c r="AA53" s="1306"/>
      <c r="AB53" s="1306"/>
      <c r="AC53" s="1306"/>
      <c r="AD53" s="1306"/>
      <c r="AE53" s="1306"/>
      <c r="AF53" s="1778"/>
      <c r="AG53" s="712"/>
      <c r="AH53" s="712"/>
      <c r="AI53" s="712"/>
      <c r="AJ53" s="712"/>
      <c r="AK53" s="1787">
        <v>11</v>
      </c>
    </row>
    <row s="6314" customFormat="1" customHeight="1" ht="11.549999999999999">
      <c r="A54" s="1133"/>
      <c r="B54" s="1782"/>
      <c r="C54" s="1782"/>
      <c r="D54" s="497"/>
      <c r="J54" s="6314"/>
      <c r="K54" s="6314"/>
      <c r="L54" s="6314"/>
      <c r="M54" s="6314"/>
      <c r="N54" s="6314"/>
      <c r="P54" s="1306"/>
      <c r="Q54" s="1782"/>
      <c r="R54" s="1782"/>
      <c r="S54" s="1306"/>
      <c r="T54" s="1306"/>
      <c r="U54" s="1306"/>
      <c r="V54" s="1306"/>
      <c r="W54" s="1782"/>
      <c r="X54" s="1306"/>
      <c r="Y54" s="1306"/>
      <c r="Z54" s="690"/>
      <c r="AA54" s="1306"/>
      <c r="AB54" s="1306"/>
      <c r="AC54" s="1306"/>
      <c r="AD54" s="1306"/>
      <c r="AE54" s="1306"/>
      <c r="AF54" s="1778"/>
      <c r="AG54" s="712"/>
      <c r="AH54" s="712"/>
      <c r="AI54" s="712"/>
      <c r="AJ54" s="712"/>
      <c r="AK54" s="1787">
        <v>11</v>
      </c>
    </row>
    <row s="6314" customFormat="1" customHeight="1" ht="11.549999999999999">
      <c r="A55" s="1133"/>
      <c r="B55" s="1782"/>
      <c r="C55" s="1782"/>
      <c r="D55" s="497"/>
      <c r="J55" s="6314"/>
      <c r="K55" s="6314"/>
      <c r="L55" s="6314"/>
      <c r="M55" s="6314"/>
      <c r="N55" s="6314"/>
      <c r="P55" s="1306"/>
      <c r="Q55" s="1782"/>
      <c r="R55" s="1782"/>
      <c r="S55" s="1306"/>
      <c r="T55" s="1306"/>
      <c r="U55" s="1306"/>
      <c r="V55" s="1306"/>
      <c r="W55" s="1782"/>
      <c r="X55" s="1306"/>
      <c r="Y55" s="1306"/>
      <c r="Z55" s="690"/>
      <c r="AA55" s="1306"/>
      <c r="AB55" s="1306"/>
      <c r="AC55" s="1306"/>
      <c r="AD55" s="1306"/>
      <c r="AE55" s="1306"/>
      <c r="AF55" s="1778"/>
      <c r="AG55" s="712"/>
      <c r="AH55" s="712"/>
      <c r="AI55" s="712"/>
      <c r="AJ55" s="712"/>
      <c r="AK55" s="1787">
        <v>11</v>
      </c>
    </row>
    <row s="6314" customFormat="1" customHeight="1" ht="11.549999999999999">
      <c r="A56" s="1133"/>
      <c r="B56" s="1782"/>
      <c r="C56" s="1782"/>
      <c r="D56" s="497"/>
      <c r="J56" s="6314"/>
      <c r="K56" s="6314"/>
      <c r="L56" s="6314"/>
      <c r="M56" s="6314"/>
      <c r="N56" s="6314"/>
      <c r="P56" s="1306"/>
      <c r="Q56" s="1782"/>
      <c r="R56" s="1782"/>
      <c r="S56" s="1306"/>
      <c r="T56" s="1306"/>
      <c r="U56" s="1306"/>
      <c r="V56" s="1306"/>
      <c r="W56" s="1782"/>
      <c r="X56" s="1306"/>
      <c r="Y56" s="1306"/>
      <c r="Z56" s="690"/>
      <c r="AA56" s="1306"/>
      <c r="AB56" s="1306"/>
      <c r="AC56" s="1306"/>
      <c r="AD56" s="1306"/>
      <c r="AE56" s="1306"/>
      <c r="AF56" s="1778"/>
      <c r="AG56" s="712"/>
      <c r="AH56" s="712"/>
      <c r="AI56" s="712"/>
      <c r="AJ56" s="712"/>
      <c r="AK56" s="1787">
        <v>11</v>
      </c>
    </row>
    <row s="6314" customFormat="1" customHeight="1" ht="11.549999999999999">
      <c r="A57" s="1133"/>
      <c r="B57" s="1782"/>
      <c r="C57" s="1782"/>
      <c r="D57" s="497"/>
      <c r="J57" s="6314"/>
      <c r="K57" s="6314"/>
      <c r="L57" s="6314"/>
      <c r="M57" s="6314"/>
      <c r="N57" s="6314"/>
      <c r="P57" s="1306"/>
      <c r="Q57" s="1782"/>
      <c r="R57" s="1782"/>
      <c r="S57" s="1306"/>
      <c r="T57" s="1306"/>
      <c r="U57" s="1306"/>
      <c r="V57" s="1306"/>
      <c r="W57" s="1782"/>
      <c r="X57" s="1306"/>
      <c r="Y57" s="1306"/>
      <c r="Z57" s="690"/>
      <c r="AA57" s="1306"/>
      <c r="AB57" s="1306"/>
      <c r="AC57" s="1306"/>
      <c r="AD57" s="1306"/>
      <c r="AE57" s="1306"/>
      <c r="AF57" s="1778"/>
      <c r="AG57" s="712"/>
      <c r="AH57" s="712"/>
      <c r="AI57" s="712"/>
      <c r="AJ57" s="712"/>
      <c r="AK57" s="1787">
        <v>11</v>
      </c>
    </row>
    <row s="6314" customFormat="1" customHeight="1" ht="11.549999999999999">
      <c r="A58" s="1133"/>
      <c r="B58" s="1782"/>
      <c r="C58" s="1782"/>
      <c r="D58" s="497"/>
      <c r="J58" s="6314"/>
      <c r="K58" s="6314"/>
      <c r="L58" s="6314"/>
      <c r="M58" s="6314"/>
      <c r="N58" s="6314"/>
      <c r="P58" s="1306"/>
      <c r="Q58" s="1782"/>
      <c r="R58" s="1782"/>
      <c r="S58" s="1306"/>
      <c r="T58" s="1306"/>
      <c r="U58" s="1306"/>
      <c r="V58" s="1306"/>
      <c r="W58" s="1782"/>
      <c r="X58" s="1306"/>
      <c r="Y58" s="1306"/>
      <c r="Z58" s="690"/>
      <c r="AA58" s="1306"/>
      <c r="AB58" s="1306"/>
      <c r="AC58" s="1306"/>
      <c r="AD58" s="1306"/>
      <c r="AE58" s="1306"/>
      <c r="AF58" s="1778"/>
      <c r="AG58" s="712"/>
      <c r="AH58" s="712"/>
      <c r="AI58" s="712"/>
      <c r="AJ58" s="712"/>
      <c r="AK58" s="1787">
        <v>11</v>
      </c>
    </row>
    <row s="6314" customFormat="1" customHeight="1" ht="11.549999999999999">
      <c r="A59" s="1133"/>
      <c r="B59" s="1782"/>
      <c r="C59" s="1782"/>
      <c r="D59" s="497"/>
      <c r="J59" s="6314"/>
      <c r="K59" s="6314"/>
      <c r="L59" s="6314"/>
      <c r="M59" s="6314"/>
      <c r="N59" s="6314"/>
      <c r="P59" s="1306"/>
      <c r="Q59" s="1782"/>
      <c r="R59" s="1782"/>
      <c r="S59" s="1306"/>
      <c r="T59" s="1306"/>
      <c r="U59" s="1306"/>
      <c r="V59" s="1306"/>
      <c r="W59" s="1782"/>
      <c r="X59" s="1306"/>
      <c r="Y59" s="1306"/>
      <c r="Z59" s="690"/>
      <c r="AA59" s="1306"/>
      <c r="AB59" s="1306"/>
      <c r="AC59" s="1306"/>
      <c r="AD59" s="1306"/>
      <c r="AE59" s="1306"/>
      <c r="AF59" s="1778"/>
      <c r="AG59" s="712"/>
      <c r="AH59" s="712"/>
      <c r="AI59" s="712"/>
      <c r="AJ59" s="712"/>
      <c r="AK59" s="1787">
        <v>11</v>
      </c>
    </row>
    <row s="6314" customFormat="1" customHeight="1" ht="11.549999999999999">
      <c r="A60" s="1133"/>
      <c r="B60" s="1782"/>
      <c r="C60" s="1782"/>
      <c r="D60" s="497"/>
      <c r="J60" s="6314"/>
      <c r="K60" s="6314"/>
      <c r="L60" s="6314"/>
      <c r="M60" s="6314"/>
      <c r="N60" s="6314"/>
      <c r="P60" s="1306"/>
      <c r="Q60" s="1782"/>
      <c r="R60" s="1782"/>
      <c r="S60" s="1306"/>
      <c r="T60" s="1306"/>
      <c r="U60" s="1306"/>
      <c r="V60" s="1306"/>
      <c r="W60" s="1782"/>
      <c r="X60" s="1306"/>
      <c r="Y60" s="1306"/>
      <c r="Z60" s="690"/>
      <c r="AA60" s="1306"/>
      <c r="AB60" s="1306"/>
      <c r="AC60" s="1306"/>
      <c r="AD60" s="1306"/>
      <c r="AE60" s="1306"/>
      <c r="AF60" s="1778"/>
      <c r="AG60" s="712"/>
      <c r="AH60" s="712"/>
      <c r="AI60" s="712"/>
      <c r="AJ60" s="712"/>
      <c r="AK60" s="1787">
        <v>11</v>
      </c>
    </row>
    <row s="6314" customFormat="1" customHeight="1" ht="11.549999999999999">
      <c r="A61" s="1133"/>
      <c r="B61" s="1782"/>
      <c r="C61" s="1782"/>
      <c r="D61" s="497"/>
      <c r="J61" s="6314"/>
      <c r="K61" s="6314"/>
      <c r="L61" s="6314"/>
      <c r="M61" s="6314"/>
      <c r="N61" s="6314"/>
      <c r="P61" s="1306"/>
      <c r="Q61" s="1782"/>
      <c r="R61" s="1782"/>
      <c r="S61" s="1306"/>
      <c r="T61" s="1306"/>
      <c r="U61" s="1306"/>
      <c r="V61" s="1306"/>
      <c r="W61" s="1782"/>
      <c r="X61" s="1306"/>
      <c r="Y61" s="1306"/>
      <c r="Z61" s="690"/>
      <c r="AA61" s="1306"/>
      <c r="AB61" s="1306"/>
      <c r="AC61" s="1306"/>
      <c r="AD61" s="1306"/>
      <c r="AE61" s="1306"/>
      <c r="AF61" s="1778"/>
      <c r="AG61" s="712"/>
      <c r="AH61" s="712"/>
      <c r="AI61" s="712"/>
      <c r="AJ61" s="712"/>
      <c r="AK61" s="1787">
        <v>11</v>
      </c>
    </row>
    <row s="6314" customFormat="1" customHeight="1" ht="11.549999999999999">
      <c r="A62" s="1133"/>
      <c r="B62" s="1782"/>
      <c r="C62" s="1782"/>
      <c r="D62" s="497"/>
      <c r="J62" s="6314"/>
      <c r="K62" s="6314"/>
      <c r="L62" s="6314"/>
      <c r="M62" s="6314"/>
      <c r="N62" s="6314"/>
      <c r="P62" s="1306"/>
      <c r="Q62" s="1782"/>
      <c r="R62" s="1782"/>
      <c r="S62" s="1306"/>
      <c r="T62" s="1306"/>
      <c r="U62" s="1306"/>
      <c r="V62" s="1306"/>
      <c r="W62" s="1782"/>
      <c r="X62" s="1306"/>
      <c r="Y62" s="1306"/>
      <c r="Z62" s="690"/>
      <c r="AA62" s="1306"/>
      <c r="AB62" s="1306"/>
      <c r="AC62" s="1306"/>
      <c r="AD62" s="1306"/>
      <c r="AE62" s="1306"/>
      <c r="AF62" s="1778"/>
      <c r="AG62" s="712"/>
      <c r="AH62" s="712"/>
      <c r="AI62" s="712"/>
      <c r="AJ62" s="712"/>
      <c r="AK62" s="1787">
        <v>11</v>
      </c>
    </row>
    <row s="6314" customFormat="1" customHeight="1" ht="11.549999999999999">
      <c r="A63" s="1133"/>
      <c r="B63" s="1782"/>
      <c r="C63" s="1782"/>
      <c r="D63" s="497"/>
      <c r="J63" s="6314"/>
      <c r="K63" s="6314"/>
      <c r="L63" s="6314"/>
      <c r="M63" s="6314"/>
      <c r="N63" s="6314"/>
      <c r="P63" s="1306"/>
      <c r="Q63" s="1782"/>
      <c r="R63" s="1782"/>
      <c r="S63" s="1306"/>
      <c r="T63" s="1306"/>
      <c r="U63" s="1306"/>
      <c r="V63" s="1306"/>
      <c r="W63" s="1782"/>
      <c r="X63" s="1306"/>
      <c r="Y63" s="1306"/>
      <c r="Z63" s="690"/>
      <c r="AA63" s="1306"/>
      <c r="AB63" s="1306"/>
      <c r="AC63" s="1306"/>
      <c r="AD63" s="1306"/>
      <c r="AE63" s="1306"/>
      <c r="AF63" s="1778"/>
      <c r="AG63" s="712"/>
      <c r="AH63" s="712"/>
      <c r="AI63" s="712"/>
      <c r="AJ63" s="712"/>
      <c r="AK63" s="1787">
        <v>11</v>
      </c>
    </row>
    <row s="6314" customFormat="1" customHeight="1" ht="11.549999999999999">
      <c r="A64" s="1133"/>
      <c r="B64" s="1782"/>
      <c r="C64" s="1782"/>
      <c r="D64" s="497"/>
      <c r="J64" s="6314"/>
      <c r="K64" s="6314"/>
      <c r="L64" s="6314"/>
      <c r="M64" s="6314"/>
      <c r="N64" s="6314"/>
      <c r="P64" s="1306"/>
      <c r="Q64" s="1782"/>
      <c r="R64" s="1782"/>
      <c r="S64" s="1306"/>
      <c r="T64" s="1306"/>
      <c r="U64" s="1306"/>
      <c r="V64" s="1306"/>
      <c r="W64" s="1782"/>
      <c r="X64" s="1306"/>
      <c r="Y64" s="1306"/>
      <c r="Z64" s="690"/>
      <c r="AA64" s="1306"/>
      <c r="AB64" s="1306"/>
      <c r="AC64" s="1306"/>
      <c r="AD64" s="1306"/>
      <c r="AE64" s="1306"/>
      <c r="AF64" s="1778"/>
      <c r="AG64" s="712"/>
      <c r="AH64" s="712"/>
      <c r="AI64" s="712"/>
      <c r="AJ64" s="712"/>
      <c r="AK64" s="1787">
        <v>11</v>
      </c>
    </row>
    <row s="6314" customFormat="1" customHeight="1" ht="11.549999999999999">
      <c r="A65" s="1133"/>
      <c r="B65" s="1782"/>
      <c r="C65" s="1782"/>
      <c r="D65" s="497"/>
      <c r="J65" s="6314"/>
      <c r="K65" s="6314"/>
      <c r="L65" s="6314"/>
      <c r="M65" s="6314"/>
      <c r="N65" s="6314"/>
      <c r="P65" s="1306"/>
      <c r="Q65" s="1782"/>
      <c r="R65" s="1782"/>
      <c r="S65" s="1306"/>
      <c r="T65" s="1306"/>
      <c r="U65" s="1306"/>
      <c r="V65" s="1306"/>
      <c r="W65" s="1782"/>
      <c r="X65" s="1306"/>
      <c r="Y65" s="1306"/>
      <c r="Z65" s="690"/>
      <c r="AA65" s="1306"/>
      <c r="AB65" s="1306"/>
      <c r="AC65" s="1306"/>
      <c r="AD65" s="1306"/>
      <c r="AE65" s="1306"/>
      <c r="AF65" s="1778"/>
      <c r="AG65" s="712"/>
      <c r="AH65" s="712"/>
      <c r="AI65" s="712"/>
      <c r="AJ65" s="712"/>
      <c r="AK65" s="1787">
        <v>11</v>
      </c>
    </row>
    <row s="6314" customFormat="1" customHeight="1" ht="11.549999999999999">
      <c r="A66" s="1133"/>
      <c r="B66" s="1782"/>
      <c r="C66" s="1782"/>
      <c r="D66" s="497"/>
      <c r="J66" s="6314"/>
      <c r="K66" s="6314"/>
      <c r="L66" s="6314"/>
      <c r="M66" s="6314"/>
      <c r="N66" s="6314"/>
      <c r="P66" s="1306"/>
      <c r="Q66" s="1782"/>
      <c r="R66" s="1782"/>
      <c r="S66" s="1306"/>
      <c r="T66" s="1306"/>
      <c r="U66" s="1306"/>
      <c r="V66" s="1306"/>
      <c r="W66" s="1782"/>
      <c r="X66" s="1306"/>
      <c r="Y66" s="1306"/>
      <c r="Z66" s="690"/>
      <c r="AA66" s="1306"/>
      <c r="AB66" s="1306"/>
      <c r="AC66" s="1306"/>
      <c r="AD66" s="1306"/>
      <c r="AE66" s="1306"/>
      <c r="AF66" s="1778"/>
      <c r="AG66" s="712"/>
      <c r="AH66" s="712"/>
      <c r="AI66" s="712"/>
      <c r="AJ66" s="712"/>
      <c r="AK66" s="1787">
        <v>11</v>
      </c>
    </row>
    <row s="6314" customFormat="1" customHeight="1" ht="11.549999999999999">
      <c r="A67" s="1133"/>
      <c r="B67" s="1782"/>
      <c r="C67" s="1782"/>
      <c r="D67" s="497"/>
      <c r="J67" s="6314"/>
      <c r="K67" s="6314"/>
      <c r="L67" s="6314"/>
      <c r="M67" s="6314"/>
      <c r="N67" s="6314"/>
      <c r="P67" s="1306"/>
      <c r="Q67" s="1782"/>
      <c r="R67" s="1782"/>
      <c r="S67" s="1306"/>
      <c r="T67" s="1306"/>
      <c r="U67" s="1306"/>
      <c r="V67" s="1306"/>
      <c r="W67" s="1782"/>
      <c r="X67" s="1306"/>
      <c r="Y67" s="1306"/>
      <c r="Z67" s="690"/>
      <c r="AA67" s="1306"/>
      <c r="AB67" s="1306"/>
      <c r="AC67" s="1306"/>
      <c r="AD67" s="1306"/>
      <c r="AE67" s="1306"/>
      <c r="AF67" s="1778"/>
      <c r="AG67" s="712"/>
      <c r="AH67" s="712"/>
      <c r="AI67" s="712"/>
      <c r="AJ67" s="712"/>
      <c r="AK67" s="1787">
        <v>11</v>
      </c>
    </row>
    <row s="6314" customFormat="1" customHeight="1" ht="11.549999999999999">
      <c r="A68" s="1133"/>
      <c r="B68" s="1782"/>
      <c r="C68" s="1782"/>
      <c r="D68" s="497"/>
      <c r="J68" s="6314"/>
      <c r="K68" s="6314"/>
      <c r="L68" s="6314"/>
      <c r="M68" s="6314"/>
      <c r="N68" s="6314"/>
      <c r="P68" s="1306"/>
      <c r="Q68" s="1782"/>
      <c r="R68" s="1782"/>
      <c r="S68" s="1306"/>
      <c r="T68" s="1306"/>
      <c r="U68" s="1306"/>
      <c r="V68" s="1306"/>
      <c r="W68" s="1782"/>
      <c r="X68" s="1306"/>
      <c r="Y68" s="1306"/>
      <c r="Z68" s="690"/>
      <c r="AA68" s="1306"/>
      <c r="AB68" s="1306"/>
      <c r="AC68" s="1306"/>
      <c r="AD68" s="1306"/>
      <c r="AE68" s="1306"/>
      <c r="AF68" s="1778"/>
      <c r="AG68" s="712"/>
      <c r="AH68" s="712"/>
      <c r="AI68" s="712"/>
      <c r="AJ68" s="712"/>
      <c r="AK68" s="1787">
        <v>11</v>
      </c>
    </row>
    <row s="6314" customFormat="1" customHeight="1" ht="11.549999999999999">
      <c r="A69" s="1133"/>
      <c r="B69" s="1782"/>
      <c r="C69" s="1782"/>
      <c r="D69" s="497"/>
      <c r="J69" s="6314"/>
      <c r="K69" s="6314"/>
      <c r="L69" s="6314"/>
      <c r="M69" s="6314"/>
      <c r="N69" s="6314"/>
      <c r="P69" s="1306"/>
      <c r="Q69" s="1782"/>
      <c r="R69" s="1782"/>
      <c r="S69" s="1306"/>
      <c r="T69" s="1306"/>
      <c r="U69" s="1306"/>
      <c r="V69" s="1306"/>
      <c r="W69" s="1782"/>
      <c r="X69" s="1306"/>
      <c r="Y69" s="1306"/>
      <c r="Z69" s="690"/>
      <c r="AA69" s="1306"/>
      <c r="AB69" s="1306"/>
      <c r="AC69" s="1306"/>
      <c r="AD69" s="1306"/>
      <c r="AE69" s="1306"/>
      <c r="AF69" s="1778"/>
      <c r="AG69" s="712"/>
      <c r="AH69" s="712"/>
      <c r="AI69" s="712"/>
      <c r="AJ69" s="712"/>
      <c r="AK69" s="1787">
        <v>11</v>
      </c>
    </row>
    <row s="6314" customFormat="1" customHeight="1" ht="11.549999999999999">
      <c r="A70" s="1133"/>
      <c r="B70" s="1782"/>
      <c r="C70" s="1782"/>
      <c r="D70" s="497"/>
      <c r="J70" s="6314"/>
      <c r="K70" s="6314"/>
      <c r="L70" s="6314"/>
      <c r="M70" s="6314"/>
      <c r="N70" s="6314"/>
      <c r="P70" s="1306"/>
      <c r="Q70" s="1782"/>
      <c r="R70" s="1782"/>
      <c r="S70" s="1306"/>
      <c r="T70" s="1306"/>
      <c r="U70" s="1306"/>
      <c r="V70" s="1306"/>
      <c r="W70" s="1782"/>
      <c r="X70" s="1306"/>
      <c r="Y70" s="1306"/>
      <c r="Z70" s="690"/>
      <c r="AA70" s="1306"/>
      <c r="AB70" s="1306"/>
      <c r="AC70" s="1306"/>
      <c r="AD70" s="1306"/>
      <c r="AE70" s="1306"/>
      <c r="AF70" s="1778"/>
      <c r="AG70" s="712"/>
      <c r="AH70" s="712"/>
      <c r="AI70" s="712"/>
      <c r="AJ70" s="712"/>
      <c r="AK70" s="1787">
        <v>11</v>
      </c>
    </row>
    <row s="6314" customFormat="1" customHeight="1" ht="11.549999999999999">
      <c r="A71" s="1133"/>
      <c r="B71" s="1782"/>
      <c r="C71" s="1782"/>
      <c r="D71" s="497"/>
      <c r="J71" s="6314"/>
      <c r="K71" s="6314"/>
      <c r="L71" s="6314"/>
      <c r="M71" s="6314"/>
      <c r="N71" s="6314"/>
      <c r="P71" s="1306"/>
      <c r="Q71" s="1782"/>
      <c r="R71" s="1782"/>
      <c r="S71" s="1306"/>
      <c r="T71" s="1306"/>
      <c r="U71" s="1306"/>
      <c r="V71" s="1306"/>
      <c r="W71" s="1782"/>
      <c r="X71" s="1306"/>
      <c r="Y71" s="1306"/>
      <c r="Z71" s="690"/>
      <c r="AA71" s="1306"/>
      <c r="AB71" s="1306"/>
      <c r="AC71" s="1306"/>
      <c r="AD71" s="1306"/>
      <c r="AE71" s="1306"/>
      <c r="AF71" s="1778"/>
      <c r="AG71" s="712"/>
      <c r="AH71" s="712"/>
      <c r="AI71" s="712"/>
      <c r="AJ71" s="712"/>
      <c r="AK71" s="1787">
        <v>11</v>
      </c>
    </row>
    <row s="6314" customFormat="1" customHeight="1" ht="11.549999999999999">
      <c r="A72" s="1133"/>
      <c r="B72" s="1782"/>
      <c r="C72" s="1782"/>
      <c r="D72" s="497"/>
      <c r="J72" s="6314"/>
      <c r="K72" s="6314"/>
      <c r="L72" s="6314"/>
      <c r="M72" s="6314"/>
      <c r="N72" s="6314"/>
      <c r="P72" s="1306"/>
      <c r="Q72" s="1782"/>
      <c r="R72" s="1782"/>
      <c r="S72" s="1306"/>
      <c r="T72" s="1306"/>
      <c r="U72" s="1306"/>
      <c r="V72" s="1306"/>
      <c r="W72" s="1782"/>
      <c r="X72" s="1306"/>
      <c r="Y72" s="1306"/>
      <c r="Z72" s="690"/>
      <c r="AA72" s="1306"/>
      <c r="AB72" s="1306"/>
      <c r="AC72" s="1306"/>
      <c r="AD72" s="1306"/>
      <c r="AE72" s="1306"/>
      <c r="AF72" s="1778"/>
      <c r="AG72" s="712"/>
      <c r="AH72" s="712"/>
      <c r="AI72" s="712"/>
      <c r="AJ72" s="712"/>
      <c r="AK72" s="1787">
        <v>11</v>
      </c>
    </row>
    <row s="6314" customFormat="1" customHeight="1" ht="11.549999999999999">
      <c r="A73" s="1133"/>
      <c r="B73" s="1782"/>
      <c r="C73" s="1782"/>
      <c r="D73" s="497"/>
      <c r="J73" s="6314"/>
      <c r="K73" s="6314"/>
      <c r="L73" s="6314"/>
      <c r="M73" s="6314"/>
      <c r="N73" s="6314"/>
      <c r="P73" s="1306"/>
      <c r="Q73" s="1782"/>
      <c r="R73" s="1782"/>
      <c r="S73" s="1306"/>
      <c r="T73" s="1306"/>
      <c r="U73" s="1306"/>
      <c r="V73" s="1306"/>
      <c r="W73" s="1782"/>
      <c r="X73" s="1306"/>
      <c r="Y73" s="1306"/>
      <c r="Z73" s="690"/>
      <c r="AA73" s="1306"/>
      <c r="AB73" s="1306"/>
      <c r="AC73" s="1306"/>
      <c r="AD73" s="1306"/>
      <c r="AE73" s="1306"/>
      <c r="AF73" s="1778"/>
      <c r="AG73" s="712"/>
      <c r="AH73" s="712"/>
      <c r="AI73" s="712"/>
      <c r="AJ73" s="712"/>
      <c r="AK73" s="1787">
        <v>11</v>
      </c>
    </row>
    <row s="6314" customFormat="1" customHeight="1" ht="11.549999999999999">
      <c r="A74" s="1133"/>
      <c r="B74" s="1782"/>
      <c r="C74" s="1782"/>
      <c r="D74" s="497"/>
      <c r="J74" s="6314"/>
      <c r="K74" s="6314"/>
      <c r="L74" s="6314"/>
      <c r="M74" s="6314"/>
      <c r="N74" s="6314"/>
      <c r="P74" s="1306"/>
      <c r="Q74" s="1782"/>
      <c r="R74" s="1782"/>
      <c r="S74" s="1306"/>
      <c r="T74" s="1306"/>
      <c r="U74" s="1306"/>
      <c r="V74" s="1306"/>
      <c r="W74" s="1782"/>
      <c r="X74" s="1306"/>
      <c r="Y74" s="1306"/>
      <c r="Z74" s="690"/>
      <c r="AA74" s="1306"/>
      <c r="AB74" s="1306"/>
      <c r="AC74" s="1306"/>
      <c r="AD74" s="1306"/>
      <c r="AE74" s="1306"/>
      <c r="AF74" s="1778"/>
      <c r="AG74" s="712"/>
      <c r="AH74" s="712"/>
      <c r="AI74" s="712"/>
      <c r="AJ74" s="712"/>
      <c r="AK74" s="1787">
        <v>11</v>
      </c>
    </row>
    <row s="6314" customFormat="1" customHeight="1" ht="11.549999999999999">
      <c r="A75" s="1133"/>
      <c r="B75" s="1782"/>
      <c r="C75" s="1782"/>
      <c r="D75" s="497"/>
      <c r="J75" s="6314"/>
      <c r="K75" s="6314"/>
      <c r="L75" s="6314"/>
      <c r="M75" s="6314"/>
      <c r="N75" s="6314"/>
      <c r="P75" s="1306"/>
      <c r="Q75" s="1782"/>
      <c r="R75" s="1782"/>
      <c r="S75" s="1306"/>
      <c r="T75" s="1306"/>
      <c r="U75" s="1306"/>
      <c r="V75" s="1306"/>
      <c r="W75" s="1782"/>
      <c r="X75" s="1306"/>
      <c r="Y75" s="1306"/>
      <c r="Z75" s="690"/>
      <c r="AA75" s="1306"/>
      <c r="AB75" s="1306"/>
      <c r="AC75" s="1306"/>
      <c r="AD75" s="1306"/>
      <c r="AE75" s="1306"/>
      <c r="AF75" s="1778"/>
      <c r="AG75" s="712"/>
      <c r="AH75" s="712"/>
      <c r="AI75" s="712"/>
      <c r="AJ75" s="712"/>
      <c r="AK75" s="1787">
        <v>11</v>
      </c>
    </row>
    <row s="6314" customFormat="1" customHeight="1" ht="11.549999999999999">
      <c r="A76" s="1133"/>
      <c r="B76" s="1782"/>
      <c r="C76" s="1782"/>
      <c r="D76" s="497"/>
      <c r="J76" s="6314"/>
      <c r="K76" s="6314"/>
      <c r="L76" s="6314"/>
      <c r="M76" s="6314"/>
      <c r="N76" s="6314"/>
      <c r="P76" s="1306"/>
      <c r="Q76" s="1782"/>
      <c r="R76" s="1782"/>
      <c r="S76" s="1306"/>
      <c r="T76" s="1306"/>
      <c r="U76" s="1306"/>
      <c r="V76" s="1306"/>
      <c r="W76" s="1782"/>
      <c r="X76" s="1306"/>
      <c r="Y76" s="1306"/>
      <c r="Z76" s="690"/>
      <c r="AA76" s="1306"/>
      <c r="AB76" s="1306"/>
      <c r="AC76" s="1306"/>
      <c r="AD76" s="1306"/>
      <c r="AE76" s="1306"/>
      <c r="AF76" s="1778"/>
      <c r="AG76" s="712"/>
      <c r="AH76" s="712"/>
      <c r="AI76" s="712"/>
      <c r="AJ76" s="712"/>
      <c r="AK76" s="1787">
        <v>11</v>
      </c>
    </row>
    <row s="6314" customFormat="1" customHeight="1" ht="11.549999999999999">
      <c r="A77" s="1133"/>
      <c r="B77" s="1782"/>
      <c r="C77" s="1782"/>
      <c r="D77" s="497"/>
      <c r="J77" s="6314"/>
      <c r="K77" s="6314"/>
      <c r="L77" s="6314"/>
      <c r="M77" s="6314"/>
      <c r="N77" s="6314"/>
      <c r="P77" s="1306"/>
      <c r="Q77" s="1782"/>
      <c r="R77" s="1782"/>
      <c r="S77" s="1306"/>
      <c r="T77" s="1306"/>
      <c r="U77" s="1306"/>
      <c r="V77" s="1306"/>
      <c r="W77" s="1782"/>
      <c r="X77" s="1306"/>
      <c r="Y77" s="1306"/>
      <c r="Z77" s="690"/>
      <c r="AA77" s="1306"/>
      <c r="AB77" s="1306"/>
      <c r="AC77" s="1306"/>
      <c r="AD77" s="1306"/>
      <c r="AE77" s="1306"/>
      <c r="AF77" s="1778"/>
      <c r="AG77" s="712"/>
      <c r="AH77" s="712"/>
      <c r="AI77" s="712"/>
      <c r="AJ77" s="712"/>
      <c r="AK77" s="1787">
        <v>11</v>
      </c>
    </row>
    <row s="6314" customFormat="1" customHeight="1" ht="11.549999999999999">
      <c r="A78" s="1133"/>
      <c r="B78" s="1782"/>
      <c r="C78" s="1782"/>
      <c r="D78" s="497"/>
      <c r="J78" s="6314"/>
      <c r="K78" s="6314"/>
      <c r="L78" s="6314"/>
      <c r="M78" s="6314"/>
      <c r="N78" s="6314"/>
      <c r="P78" s="1306"/>
      <c r="Q78" s="1782"/>
      <c r="R78" s="1782"/>
      <c r="S78" s="1306"/>
      <c r="T78" s="1306"/>
      <c r="U78" s="1306"/>
      <c r="V78" s="1306"/>
      <c r="W78" s="1782"/>
      <c r="X78" s="1306"/>
      <c r="Y78" s="1306"/>
      <c r="Z78" s="690"/>
      <c r="AA78" s="1306"/>
      <c r="AB78" s="1306"/>
      <c r="AC78" s="1306"/>
      <c r="AD78" s="1306"/>
      <c r="AE78" s="1306"/>
      <c r="AF78" s="1778"/>
      <c r="AG78" s="712"/>
      <c r="AH78" s="712"/>
      <c r="AI78" s="712"/>
      <c r="AJ78" s="712"/>
      <c r="AK78" s="1787">
        <v>11</v>
      </c>
    </row>
    <row s="6314" customFormat="1" customHeight="1" ht="11.549999999999999">
      <c r="A79" s="1133"/>
      <c r="B79" s="1782"/>
      <c r="C79" s="1782"/>
      <c r="D79" s="497"/>
      <c r="J79" s="6314"/>
      <c r="K79" s="6314"/>
      <c r="L79" s="6314"/>
      <c r="M79" s="6314"/>
      <c r="N79" s="6314"/>
      <c r="P79" s="1306"/>
      <c r="Q79" s="1782"/>
      <c r="R79" s="1782"/>
      <c r="S79" s="1306"/>
      <c r="T79" s="1306"/>
      <c r="U79" s="1306"/>
      <c r="V79" s="1306"/>
      <c r="W79" s="1782"/>
      <c r="X79" s="1306"/>
      <c r="Y79" s="1306"/>
      <c r="Z79" s="690"/>
      <c r="AA79" s="1306"/>
      <c r="AB79" s="1306"/>
      <c r="AC79" s="1306"/>
      <c r="AD79" s="1306"/>
      <c r="AE79" s="1306"/>
      <c r="AF79" s="1778"/>
      <c r="AG79" s="712"/>
      <c r="AH79" s="712"/>
      <c r="AI79" s="712"/>
      <c r="AJ79" s="712"/>
      <c r="AK79" s="1787">
        <v>11</v>
      </c>
    </row>
    <row s="6314" customFormat="1" customHeight="1" ht="11.549999999999999">
      <c r="A80" s="1133"/>
      <c r="B80" s="1782"/>
      <c r="C80" s="1782"/>
      <c r="D80" s="497"/>
      <c r="J80" s="6314"/>
      <c r="K80" s="6314"/>
      <c r="L80" s="6314"/>
      <c r="M80" s="6314"/>
      <c r="N80" s="6314"/>
      <c r="P80" s="1306"/>
      <c r="Q80" s="1782"/>
      <c r="R80" s="1782"/>
      <c r="S80" s="1306"/>
      <c r="T80" s="1306"/>
      <c r="U80" s="1306"/>
      <c r="V80" s="1306"/>
      <c r="W80" s="1782"/>
      <c r="X80" s="1306"/>
      <c r="Y80" s="1306"/>
      <c r="Z80" s="690"/>
      <c r="AA80" s="1306"/>
      <c r="AB80" s="1306"/>
      <c r="AC80" s="1306"/>
      <c r="AD80" s="1306"/>
      <c r="AE80" s="1306"/>
      <c r="AF80" s="1778"/>
      <c r="AG80" s="712"/>
      <c r="AH80" s="712"/>
      <c r="AI80" s="712"/>
      <c r="AJ80" s="712"/>
      <c r="AK80" s="1787">
        <v>11</v>
      </c>
    </row>
    <row s="6314" customFormat="1" customHeight="1" ht="11.549999999999999">
      <c r="A81" s="1133"/>
      <c r="B81" s="1782"/>
      <c r="C81" s="1782"/>
      <c r="D81" s="497"/>
      <c r="J81" s="6314"/>
      <c r="K81" s="6314"/>
      <c r="L81" s="6314"/>
      <c r="M81" s="6314"/>
      <c r="N81" s="6314"/>
      <c r="P81" s="1306"/>
      <c r="Q81" s="1782"/>
      <c r="R81" s="1782"/>
      <c r="S81" s="1306"/>
      <c r="T81" s="1306"/>
      <c r="U81" s="1306"/>
      <c r="V81" s="1306"/>
      <c r="W81" s="1782"/>
      <c r="X81" s="1306"/>
      <c r="Y81" s="1306"/>
      <c r="Z81" s="690"/>
      <c r="AA81" s="1306"/>
      <c r="AB81" s="1306"/>
      <c r="AC81" s="1306"/>
      <c r="AD81" s="1306"/>
      <c r="AE81" s="1306"/>
      <c r="AF81" s="1778"/>
      <c r="AG81" s="712"/>
      <c r="AH81" s="712"/>
      <c r="AI81" s="712"/>
      <c r="AJ81" s="712"/>
      <c r="AK81" s="1787">
        <v>11</v>
      </c>
    </row>
    <row s="6314" customFormat="1" customHeight="1" ht="11.549999999999999">
      <c r="A82" s="1133"/>
      <c r="B82" s="1782"/>
      <c r="C82" s="1782"/>
      <c r="D82" s="497"/>
      <c r="J82" s="6314"/>
      <c r="K82" s="6314"/>
      <c r="L82" s="6314"/>
      <c r="M82" s="6314"/>
      <c r="N82" s="6314"/>
      <c r="P82" s="1306"/>
      <c r="Q82" s="1782"/>
      <c r="R82" s="1782"/>
      <c r="S82" s="1306"/>
      <c r="T82" s="1306"/>
      <c r="U82" s="1306"/>
      <c r="V82" s="1306"/>
      <c r="W82" s="1782"/>
      <c r="X82" s="1306"/>
      <c r="Y82" s="1306"/>
      <c r="Z82" s="690"/>
      <c r="AA82" s="1306"/>
      <c r="AB82" s="1306"/>
      <c r="AC82" s="1306"/>
      <c r="AD82" s="1306"/>
      <c r="AE82" s="1306"/>
      <c r="AF82" s="1778"/>
      <c r="AG82" s="712"/>
      <c r="AH82" s="712"/>
      <c r="AI82" s="712"/>
      <c r="AJ82" s="712"/>
      <c r="AK82" s="1787">
        <v>11</v>
      </c>
    </row>
    <row s="6314" customFormat="1" customHeight="1" ht="11.549999999999999">
      <c r="A83" s="1133"/>
      <c r="B83" s="1782"/>
      <c r="C83" s="1782"/>
      <c r="D83" s="497"/>
      <c r="J83" s="6314"/>
      <c r="K83" s="6314"/>
      <c r="L83" s="6314"/>
      <c r="M83" s="6314"/>
      <c r="N83" s="6314"/>
      <c r="P83" s="1306"/>
      <c r="Q83" s="1782"/>
      <c r="R83" s="1782"/>
      <c r="S83" s="1306"/>
      <c r="T83" s="1306"/>
      <c r="U83" s="1306"/>
      <c r="V83" s="1306"/>
      <c r="W83" s="1782"/>
      <c r="X83" s="1306"/>
      <c r="Y83" s="1306"/>
      <c r="Z83" s="690"/>
      <c r="AA83" s="1306"/>
      <c r="AB83" s="1306"/>
      <c r="AC83" s="1306"/>
      <c r="AD83" s="1306"/>
      <c r="AE83" s="1306"/>
      <c r="AF83" s="1778"/>
      <c r="AG83" s="712"/>
      <c r="AH83" s="712"/>
      <c r="AI83" s="712"/>
      <c r="AJ83" s="712"/>
      <c r="AK83" s="1787">
        <v>11</v>
      </c>
    </row>
    <row s="6314" customFormat="1" customHeight="1" ht="11.549999999999999">
      <c r="A84" s="1133"/>
      <c r="B84" s="1782"/>
      <c r="C84" s="1782"/>
      <c r="D84" s="497"/>
      <c r="J84" s="6314"/>
      <c r="K84" s="6314"/>
      <c r="L84" s="6314"/>
      <c r="M84" s="6314"/>
      <c r="N84" s="6314"/>
      <c r="P84" s="1306"/>
      <c r="Q84" s="1782"/>
      <c r="R84" s="1782"/>
      <c r="S84" s="1306"/>
      <c r="T84" s="1306"/>
      <c r="U84" s="1306"/>
      <c r="V84" s="1306"/>
      <c r="W84" s="1782"/>
      <c r="X84" s="1306"/>
      <c r="Y84" s="1306"/>
      <c r="Z84" s="690"/>
      <c r="AA84" s="1306"/>
      <c r="AB84" s="1306"/>
      <c r="AC84" s="1306"/>
      <c r="AD84" s="1306"/>
      <c r="AE84" s="1306"/>
      <c r="AF84" s="1778"/>
      <c r="AG84" s="712"/>
      <c r="AH84" s="712"/>
      <c r="AI84" s="712"/>
      <c r="AJ84" s="712"/>
      <c r="AK84" s="1787">
        <v>11</v>
      </c>
    </row>
    <row s="6314" customFormat="1" customHeight="1" ht="11.549999999999999">
      <c r="A85" s="1133"/>
      <c r="B85" s="1782"/>
      <c r="C85" s="1782"/>
      <c r="D85" s="497"/>
      <c r="J85" s="6314"/>
      <c r="K85" s="6314"/>
      <c r="L85" s="6314"/>
      <c r="M85" s="6314"/>
      <c r="N85" s="6314"/>
      <c r="P85" s="1306"/>
      <c r="Q85" s="1782"/>
      <c r="R85" s="1782"/>
      <c r="S85" s="1306"/>
      <c r="T85" s="1306"/>
      <c r="U85" s="1306"/>
      <c r="V85" s="1306"/>
      <c r="W85" s="1782"/>
      <c r="X85" s="1306"/>
      <c r="Y85" s="1306"/>
      <c r="Z85" s="690"/>
      <c r="AA85" s="1306"/>
      <c r="AB85" s="1306"/>
      <c r="AC85" s="1306"/>
      <c r="AD85" s="1306"/>
      <c r="AE85" s="1306"/>
      <c r="AF85" s="1778"/>
      <c r="AG85" s="712"/>
      <c r="AH85" s="712"/>
      <c r="AI85" s="712"/>
      <c r="AJ85" s="712"/>
      <c r="AK85" s="1787">
        <v>11</v>
      </c>
    </row>
    <row s="6314" customFormat="1" customHeight="1" ht="11.549999999999999">
      <c r="A86" s="1133"/>
      <c r="B86" s="1782"/>
      <c r="C86" s="1782"/>
      <c r="D86" s="497"/>
      <c r="J86" s="6314"/>
      <c r="K86" s="6314"/>
      <c r="L86" s="6314"/>
      <c r="M86" s="6314"/>
      <c r="N86" s="6314"/>
      <c r="P86" s="1306"/>
      <c r="Q86" s="1782"/>
      <c r="R86" s="1782"/>
      <c r="S86" s="1306"/>
      <c r="T86" s="1306"/>
      <c r="U86" s="1306"/>
      <c r="V86" s="1306"/>
      <c r="W86" s="1782"/>
      <c r="X86" s="1306"/>
      <c r="Y86" s="1306"/>
      <c r="Z86" s="690"/>
      <c r="AA86" s="1306"/>
      <c r="AB86" s="1306"/>
      <c r="AC86" s="1306"/>
      <c r="AD86" s="1306"/>
      <c r="AE86" s="1306"/>
      <c r="AF86" s="1778"/>
      <c r="AG86" s="712"/>
      <c r="AH86" s="712"/>
      <c r="AI86" s="712"/>
      <c r="AJ86" s="712"/>
      <c r="AK86" s="1787">
        <v>11</v>
      </c>
    </row>
    <row s="6314" customFormat="1" customHeight="1" ht="11.549999999999999">
      <c r="A87" s="1133"/>
      <c r="B87" s="1782"/>
      <c r="C87" s="1782"/>
      <c r="D87" s="497"/>
      <c r="J87" s="6314"/>
      <c r="K87" s="6314"/>
      <c r="L87" s="6314"/>
      <c r="M87" s="6314"/>
      <c r="N87" s="6314"/>
      <c r="P87" s="1306"/>
      <c r="Q87" s="1782"/>
      <c r="R87" s="1782"/>
      <c r="S87" s="1306"/>
      <c r="T87" s="1306"/>
      <c r="U87" s="1306"/>
      <c r="V87" s="1306"/>
      <c r="W87" s="1782"/>
      <c r="X87" s="1306"/>
      <c r="Y87" s="1306"/>
      <c r="Z87" s="690"/>
      <c r="AA87" s="1306"/>
      <c r="AB87" s="1306"/>
      <c r="AC87" s="1306"/>
      <c r="AD87" s="1306"/>
      <c r="AE87" s="1306"/>
      <c r="AF87" s="1778"/>
      <c r="AG87" s="712"/>
      <c r="AH87" s="712"/>
      <c r="AI87" s="712"/>
      <c r="AJ87" s="712"/>
      <c r="AK87" s="1787">
        <v>11</v>
      </c>
    </row>
    <row s="6314" customFormat="1" customHeight="1" ht="11.549999999999999">
      <c r="A88" s="1133"/>
      <c r="B88" s="1782"/>
      <c r="C88" s="1782"/>
      <c r="D88" s="497"/>
      <c r="J88" s="6314"/>
      <c r="K88" s="6314"/>
      <c r="L88" s="6314"/>
      <c r="M88" s="6314"/>
      <c r="N88" s="6314"/>
      <c r="P88" s="1306"/>
      <c r="Q88" s="1782"/>
      <c r="R88" s="1782"/>
      <c r="S88" s="1306"/>
      <c r="T88" s="1306"/>
      <c r="U88" s="1306"/>
      <c r="V88" s="1306"/>
      <c r="W88" s="1782"/>
      <c r="X88" s="1306"/>
      <c r="Y88" s="1306"/>
      <c r="Z88" s="690"/>
      <c r="AA88" s="1306"/>
      <c r="AB88" s="1306"/>
      <c r="AC88" s="1306"/>
      <c r="AD88" s="1306"/>
      <c r="AE88" s="1306"/>
      <c r="AF88" s="1778"/>
      <c r="AG88" s="712"/>
      <c r="AH88" s="712"/>
      <c r="AI88" s="712"/>
      <c r="AJ88" s="712"/>
      <c r="AK88" s="1787">
        <v>11</v>
      </c>
    </row>
    <row s="6314" customFormat="1" customHeight="1" ht="11.549999999999999">
      <c r="A89" s="1133"/>
      <c r="B89" s="1782"/>
      <c r="C89" s="1782"/>
      <c r="D89" s="497"/>
      <c r="J89" s="6314"/>
      <c r="K89" s="6314"/>
      <c r="L89" s="6314"/>
      <c r="M89" s="6314"/>
      <c r="N89" s="6314"/>
      <c r="P89" s="1306"/>
      <c r="Q89" s="1782"/>
      <c r="R89" s="1782"/>
      <c r="S89" s="1306"/>
      <c r="T89" s="1306"/>
      <c r="U89" s="1306"/>
      <c r="V89" s="1306"/>
      <c r="W89" s="1782"/>
      <c r="X89" s="1306"/>
      <c r="Y89" s="1306"/>
      <c r="Z89" s="690"/>
      <c r="AA89" s="1306"/>
      <c r="AB89" s="1306"/>
      <c r="AC89" s="1306"/>
      <c r="AD89" s="1306"/>
      <c r="AE89" s="1306"/>
      <c r="AF89" s="1778"/>
      <c r="AG89" s="712"/>
      <c r="AH89" s="712"/>
      <c r="AI89" s="712"/>
      <c r="AJ89" s="712"/>
      <c r="AK89" s="1787">
        <v>11</v>
      </c>
    </row>
    <row s="6314" customFormat="1" customHeight="1" ht="11.549999999999999">
      <c r="A90" s="1133"/>
      <c r="B90" s="1782"/>
      <c r="C90" s="1782"/>
      <c r="D90" s="497"/>
      <c r="J90" s="6314"/>
      <c r="K90" s="6314"/>
      <c r="L90" s="6314"/>
      <c r="M90" s="6314"/>
      <c r="N90" s="6314"/>
      <c r="P90" s="1306"/>
      <c r="Q90" s="1782"/>
      <c r="R90" s="1782"/>
      <c r="S90" s="1306"/>
      <c r="T90" s="1306"/>
      <c r="U90" s="1306"/>
      <c r="V90" s="1306"/>
      <c r="W90" s="1782"/>
      <c r="X90" s="1306"/>
      <c r="Y90" s="1306"/>
      <c r="Z90" s="690"/>
      <c r="AA90" s="1306"/>
      <c r="AB90" s="1306"/>
      <c r="AC90" s="1306"/>
      <c r="AD90" s="1306"/>
      <c r="AE90" s="1306"/>
      <c r="AF90" s="1778"/>
      <c r="AG90" s="712"/>
      <c r="AH90" s="712"/>
      <c r="AI90" s="712"/>
      <c r="AJ90" s="712"/>
      <c r="AK90" s="1787">
        <v>11</v>
      </c>
    </row>
    <row s="6314" customFormat="1" customHeight="1" ht="11.549999999999999">
      <c r="A91" s="1133"/>
      <c r="B91" s="1782"/>
      <c r="C91" s="1782"/>
      <c r="D91" s="497"/>
      <c r="J91" s="6314"/>
      <c r="K91" s="6314"/>
      <c r="L91" s="6314"/>
      <c r="M91" s="6314"/>
      <c r="N91" s="6314"/>
      <c r="P91" s="1306"/>
      <c r="Q91" s="1782"/>
      <c r="R91" s="1782"/>
      <c r="S91" s="1306"/>
      <c r="T91" s="1306"/>
      <c r="U91" s="1306"/>
      <c r="V91" s="1306"/>
      <c r="W91" s="1782"/>
      <c r="X91" s="1306"/>
      <c r="Y91" s="1306"/>
      <c r="Z91" s="690"/>
      <c r="AA91" s="1306"/>
      <c r="AB91" s="1306"/>
      <c r="AC91" s="1306"/>
      <c r="AD91" s="1306"/>
      <c r="AE91" s="1306"/>
      <c r="AF91" s="1778"/>
      <c r="AG91" s="712"/>
      <c r="AH91" s="712"/>
      <c r="AI91" s="712"/>
      <c r="AJ91" s="712"/>
      <c r="AK91" s="1787">
        <v>11</v>
      </c>
    </row>
    <row s="6314" customFormat="1" customHeight="1" ht="11.549999999999999">
      <c r="A92" s="1133"/>
      <c r="B92" s="1782"/>
      <c r="C92" s="1782"/>
      <c r="D92" s="497"/>
      <c r="J92" s="6314"/>
      <c r="K92" s="6314"/>
      <c r="L92" s="6314"/>
      <c r="M92" s="6314"/>
      <c r="N92" s="6314"/>
      <c r="P92" s="1306"/>
      <c r="Q92" s="1782"/>
      <c r="R92" s="1782"/>
      <c r="S92" s="1306"/>
      <c r="T92" s="1306"/>
      <c r="U92" s="1306"/>
      <c r="V92" s="1306"/>
      <c r="W92" s="1782"/>
      <c r="X92" s="1306"/>
      <c r="Y92" s="1306"/>
      <c r="Z92" s="690"/>
      <c r="AA92" s="1306"/>
      <c r="AB92" s="1306"/>
      <c r="AC92" s="1306"/>
      <c r="AD92" s="1306"/>
      <c r="AE92" s="1306"/>
      <c r="AF92" s="1778"/>
      <c r="AG92" s="712"/>
      <c r="AH92" s="712"/>
      <c r="AI92" s="712"/>
      <c r="AJ92" s="712"/>
      <c r="AK92" s="1787">
        <v>11</v>
      </c>
    </row>
    <row s="6314" customFormat="1" customHeight="1" ht="11.549999999999999">
      <c r="A93" s="1133"/>
      <c r="B93" s="1782"/>
      <c r="C93" s="1782"/>
      <c r="D93" s="497"/>
      <c r="J93" s="6314"/>
      <c r="K93" s="6314"/>
      <c r="L93" s="6314"/>
      <c r="M93" s="6314"/>
      <c r="N93" s="6314"/>
      <c r="P93" s="1306"/>
      <c r="Q93" s="1782"/>
      <c r="R93" s="1782"/>
      <c r="S93" s="1306"/>
      <c r="T93" s="1306"/>
      <c r="U93" s="1306"/>
      <c r="V93" s="1306"/>
      <c r="W93" s="1782"/>
      <c r="X93" s="1306"/>
      <c r="Y93" s="1306"/>
      <c r="Z93" s="690"/>
      <c r="AA93" s="1306"/>
      <c r="AB93" s="1306"/>
      <c r="AC93" s="1306"/>
      <c r="AD93" s="1306"/>
      <c r="AE93" s="1306"/>
      <c r="AF93" s="1778"/>
      <c r="AG93" s="712"/>
      <c r="AH93" s="712"/>
      <c r="AI93" s="712"/>
      <c r="AJ93" s="712"/>
      <c r="AK93" s="1787">
        <v>11</v>
      </c>
    </row>
    <row s="6314" customFormat="1" customHeight="1" ht="11.549999999999999">
      <c r="A94" s="1133"/>
      <c r="B94" s="1782"/>
      <c r="C94" s="1782"/>
      <c r="D94" s="497"/>
      <c r="J94" s="6314"/>
      <c r="K94" s="6314"/>
      <c r="L94" s="6314"/>
      <c r="M94" s="6314"/>
      <c r="N94" s="6314"/>
      <c r="P94" s="1306"/>
      <c r="Q94" s="1782"/>
      <c r="R94" s="1782"/>
      <c r="S94" s="1306"/>
      <c r="T94" s="1306"/>
      <c r="U94" s="1306"/>
      <c r="V94" s="1306"/>
      <c r="W94" s="1782"/>
      <c r="X94" s="1306"/>
      <c r="Y94" s="1306"/>
      <c r="Z94" s="690"/>
      <c r="AA94" s="1306"/>
      <c r="AB94" s="1306"/>
      <c r="AC94" s="1306"/>
      <c r="AD94" s="1306"/>
      <c r="AE94" s="1306"/>
      <c r="AF94" s="1778"/>
      <c r="AG94" s="712"/>
      <c r="AH94" s="712"/>
      <c r="AI94" s="712"/>
      <c r="AJ94" s="712"/>
      <c r="AK94" s="1787">
        <v>11</v>
      </c>
    </row>
    <row s="6314" customFormat="1" customHeight="1" ht="11.549999999999999">
      <c r="A95" s="1133"/>
      <c r="B95" s="1782"/>
      <c r="C95" s="1782"/>
      <c r="D95" s="497"/>
      <c r="J95" s="6314"/>
      <c r="K95" s="6314"/>
      <c r="L95" s="6314"/>
      <c r="M95" s="6314"/>
      <c r="N95" s="6314"/>
      <c r="P95" s="1306"/>
      <c r="Q95" s="1782"/>
      <c r="R95" s="1782"/>
      <c r="S95" s="1306"/>
      <c r="T95" s="1306"/>
      <c r="U95" s="1306"/>
      <c r="V95" s="1306"/>
      <c r="W95" s="1782"/>
      <c r="X95" s="1306"/>
      <c r="Y95" s="1306"/>
      <c r="Z95" s="690"/>
      <c r="AA95" s="1306"/>
      <c r="AB95" s="1306"/>
      <c r="AC95" s="1306"/>
      <c r="AD95" s="1306"/>
      <c r="AE95" s="1306"/>
      <c r="AF95" s="1778"/>
      <c r="AG95" s="712"/>
      <c r="AH95" s="712"/>
      <c r="AI95" s="712"/>
      <c r="AJ95" s="712"/>
      <c r="AK95" s="1787">
        <v>11</v>
      </c>
    </row>
    <row s="6314" customFormat="1" customHeight="1" ht="11.549999999999999">
      <c r="A96" s="1133"/>
      <c r="B96" s="1782"/>
      <c r="C96" s="1782"/>
      <c r="D96" s="497"/>
      <c r="J96" s="6314"/>
      <c r="K96" s="6314"/>
      <c r="L96" s="6314"/>
      <c r="M96" s="6314"/>
      <c r="N96" s="6314"/>
      <c r="P96" s="1306"/>
      <c r="Q96" s="1782"/>
      <c r="R96" s="1782"/>
      <c r="S96" s="1306"/>
      <c r="T96" s="1306"/>
      <c r="U96" s="1306"/>
      <c r="V96" s="1306"/>
      <c r="W96" s="1782"/>
      <c r="X96" s="1306"/>
      <c r="Y96" s="1306"/>
      <c r="Z96" s="690"/>
      <c r="AA96" s="1306"/>
      <c r="AB96" s="1306"/>
      <c r="AC96" s="1306"/>
      <c r="AD96" s="1306"/>
      <c r="AE96" s="1306"/>
      <c r="AF96" s="1778"/>
      <c r="AG96" s="712"/>
      <c r="AH96" s="712"/>
      <c r="AI96" s="712"/>
      <c r="AJ96" s="712"/>
      <c r="AK96" s="1787">
        <v>11</v>
      </c>
    </row>
    <row s="6314" customFormat="1" customHeight="1" ht="11.549999999999999">
      <c r="A97" s="1133"/>
      <c r="B97" s="1782"/>
      <c r="C97" s="1782"/>
      <c r="D97" s="497"/>
      <c r="J97" s="6314"/>
      <c r="K97" s="6314"/>
      <c r="L97" s="6314"/>
      <c r="M97" s="6314"/>
      <c r="N97" s="6314"/>
      <c r="P97" s="1306"/>
      <c r="Q97" s="1782"/>
      <c r="R97" s="1782"/>
      <c r="S97" s="1306"/>
      <c r="T97" s="1306"/>
      <c r="U97" s="1306"/>
      <c r="V97" s="1306"/>
      <c r="W97" s="1782"/>
      <c r="X97" s="1306"/>
      <c r="Y97" s="1306"/>
      <c r="Z97" s="690"/>
      <c r="AA97" s="1306"/>
      <c r="AB97" s="1306"/>
      <c r="AC97" s="1306"/>
      <c r="AD97" s="1306"/>
      <c r="AE97" s="1306"/>
      <c r="AF97" s="1778"/>
      <c r="AG97" s="712"/>
      <c r="AH97" s="712"/>
      <c r="AI97" s="712"/>
      <c r="AJ97" s="712"/>
      <c r="AK97" s="1787">
        <v>11</v>
      </c>
    </row>
    <row s="6314" customFormat="1" customHeight="1" ht="11.549999999999999">
      <c r="A98" s="1133"/>
      <c r="B98" s="1782"/>
      <c r="C98" s="1782"/>
      <c r="D98" s="497"/>
      <c r="J98" s="6314"/>
      <c r="K98" s="6314"/>
      <c r="L98" s="6314"/>
      <c r="M98" s="6314"/>
      <c r="N98" s="6314"/>
      <c r="P98" s="1306"/>
      <c r="Q98" s="1782"/>
      <c r="R98" s="1782"/>
      <c r="S98" s="1306"/>
      <c r="T98" s="1306"/>
      <c r="U98" s="1306"/>
      <c r="V98" s="1306"/>
      <c r="W98" s="1782"/>
      <c r="X98" s="1306"/>
      <c r="Y98" s="1306"/>
      <c r="Z98" s="690"/>
      <c r="AA98" s="1306"/>
      <c r="AB98" s="1306"/>
      <c r="AC98" s="1306"/>
      <c r="AD98" s="1306"/>
      <c r="AE98" s="1306"/>
      <c r="AF98" s="1778"/>
      <c r="AG98" s="712"/>
      <c r="AH98" s="712"/>
      <c r="AI98" s="712"/>
      <c r="AJ98" s="712"/>
      <c r="AK98" s="1787">
        <v>11</v>
      </c>
    </row>
    <row s="6314" customFormat="1" customHeight="1" ht="11.549999999999999">
      <c r="A99" s="1133"/>
      <c r="B99" s="1782"/>
      <c r="C99" s="1782"/>
      <c r="D99" s="497"/>
      <c r="J99" s="6314"/>
      <c r="K99" s="6314"/>
      <c r="L99" s="6314"/>
      <c r="M99" s="6314"/>
      <c r="N99" s="6314"/>
      <c r="P99" s="1306"/>
      <c r="Q99" s="1782"/>
      <c r="R99" s="1782"/>
      <c r="S99" s="1306"/>
      <c r="T99" s="1306"/>
      <c r="U99" s="1306"/>
      <c r="V99" s="1306"/>
      <c r="W99" s="1782"/>
      <c r="X99" s="1306"/>
      <c r="Y99" s="1306"/>
      <c r="Z99" s="690"/>
      <c r="AA99" s="1306"/>
      <c r="AB99" s="1306"/>
      <c r="AC99" s="1306"/>
      <c r="AD99" s="1306"/>
      <c r="AE99" s="1306"/>
      <c r="AF99" s="1778"/>
      <c r="AG99" s="712"/>
      <c r="AH99" s="712"/>
      <c r="AI99" s="712"/>
      <c r="AJ99" s="712"/>
      <c r="AK99" s="1787">
        <v>11</v>
      </c>
    </row>
    <row s="6314" customFormat="1" customHeight="1" ht="11.549999999999999">
      <c r="A100" s="1133"/>
      <c r="B100" s="1782"/>
      <c r="C100" s="1782"/>
      <c r="D100" s="497"/>
      <c r="J100" s="6314"/>
      <c r="K100" s="6314"/>
      <c r="L100" s="6314"/>
      <c r="M100" s="6314"/>
      <c r="N100" s="6314"/>
      <c r="P100" s="1306"/>
      <c r="Q100" s="1782"/>
      <c r="R100" s="1782"/>
      <c r="S100" s="1306"/>
      <c r="T100" s="1306"/>
      <c r="U100" s="1306"/>
      <c r="V100" s="1306"/>
      <c r="W100" s="1782"/>
      <c r="X100" s="1306"/>
      <c r="Y100" s="1306"/>
      <c r="Z100" s="690"/>
      <c r="AA100" s="1306"/>
      <c r="AB100" s="1306"/>
      <c r="AC100" s="1306"/>
      <c r="AD100" s="1306"/>
      <c r="AE100" s="1306"/>
      <c r="AF100" s="1778"/>
      <c r="AG100" s="712"/>
      <c r="AH100" s="712"/>
      <c r="AI100" s="712"/>
      <c r="AJ100" s="712"/>
      <c r="AK100" s="1787">
        <v>11</v>
      </c>
    </row>
    <row s="6314" customFormat="1" customHeight="1" ht="11.549999999999999">
      <c r="A101" s="1133"/>
      <c r="B101" s="1782"/>
      <c r="C101" s="1782"/>
      <c r="D101" s="497"/>
      <c r="J101" s="6314"/>
      <c r="K101" s="6314"/>
      <c r="L101" s="6314"/>
      <c r="M101" s="6314"/>
      <c r="N101" s="6314"/>
      <c r="P101" s="1306"/>
      <c r="Q101" s="1782"/>
      <c r="R101" s="1782"/>
      <c r="S101" s="1306"/>
      <c r="T101" s="1306"/>
      <c r="U101" s="1306"/>
      <c r="V101" s="1306"/>
      <c r="W101" s="1782"/>
      <c r="X101" s="1306"/>
      <c r="Y101" s="1306"/>
      <c r="Z101" s="690"/>
      <c r="AA101" s="1306"/>
      <c r="AB101" s="1306"/>
      <c r="AC101" s="1306"/>
      <c r="AD101" s="1306"/>
      <c r="AE101" s="1306"/>
      <c r="AF101" s="1778"/>
      <c r="AG101" s="712"/>
      <c r="AH101" s="712"/>
      <c r="AI101" s="712"/>
      <c r="AJ101" s="712"/>
      <c r="AK101" s="1787">
        <v>11</v>
      </c>
    </row>
    <row s="6314" customFormat="1" customHeight="1" ht="11.549999999999999">
      <c r="A102" s="1133"/>
      <c r="B102" s="1782"/>
      <c r="C102" s="1782"/>
      <c r="D102" s="497"/>
      <c r="J102" s="6314"/>
      <c r="K102" s="6314"/>
      <c r="L102" s="6314"/>
      <c r="M102" s="6314"/>
      <c r="N102" s="6314"/>
      <c r="P102" s="1306"/>
      <c r="Q102" s="1782"/>
      <c r="R102" s="1782"/>
      <c r="S102" s="1306"/>
      <c r="T102" s="1306"/>
      <c r="U102" s="1306"/>
      <c r="V102" s="1306"/>
      <c r="W102" s="1782"/>
      <c r="X102" s="1306"/>
      <c r="Y102" s="1306"/>
      <c r="Z102" s="690"/>
      <c r="AA102" s="1306"/>
      <c r="AB102" s="1306"/>
      <c r="AC102" s="1306"/>
      <c r="AD102" s="1306"/>
      <c r="AE102" s="1306"/>
      <c r="AF102" s="1778"/>
      <c r="AG102" s="712"/>
      <c r="AH102" s="712"/>
      <c r="AI102" s="712"/>
      <c r="AJ102" s="712"/>
      <c r="AK102" s="1787">
        <v>11</v>
      </c>
    </row>
    <row s="6314" customFormat="1" customHeight="1" ht="11.549999999999999">
      <c r="A103" s="1133"/>
      <c r="B103" s="1782"/>
      <c r="C103" s="1782"/>
      <c r="D103" s="497"/>
      <c r="J103" s="6314"/>
      <c r="K103" s="6314"/>
      <c r="L103" s="6314"/>
      <c r="M103" s="6314"/>
      <c r="N103" s="6314"/>
      <c r="P103" s="1306"/>
      <c r="Q103" s="1782"/>
      <c r="R103" s="1782"/>
      <c r="S103" s="1306"/>
      <c r="T103" s="1306"/>
      <c r="U103" s="1306"/>
      <c r="V103" s="1306"/>
      <c r="W103" s="1782"/>
      <c r="X103" s="1306"/>
      <c r="Y103" s="1306"/>
      <c r="Z103" s="690"/>
      <c r="AA103" s="1306"/>
      <c r="AB103" s="1306"/>
      <c r="AC103" s="1306"/>
      <c r="AD103" s="1306"/>
      <c r="AE103" s="1306"/>
      <c r="AF103" s="1778"/>
      <c r="AG103" s="712"/>
      <c r="AH103" s="712"/>
      <c r="AI103" s="712"/>
      <c r="AJ103" s="712"/>
      <c r="AK103" s="1787">
        <v>11</v>
      </c>
    </row>
    <row s="6314" customFormat="1" customHeight="1" ht="11.549999999999999">
      <c r="A104" s="1133"/>
      <c r="B104" s="1782"/>
      <c r="C104" s="1782"/>
      <c r="D104" s="497"/>
      <c r="J104" s="6314"/>
      <c r="K104" s="6314"/>
      <c r="L104" s="6314"/>
      <c r="M104" s="6314"/>
      <c r="N104" s="6314"/>
      <c r="P104" s="1306"/>
      <c r="Q104" s="1782"/>
      <c r="R104" s="1782"/>
      <c r="S104" s="1306"/>
      <c r="T104" s="1306"/>
      <c r="U104" s="1306"/>
      <c r="V104" s="1306"/>
      <c r="W104" s="1782"/>
      <c r="X104" s="1306"/>
      <c r="Y104" s="1306"/>
      <c r="Z104" s="690"/>
      <c r="AA104" s="1306"/>
      <c r="AB104" s="1306"/>
      <c r="AC104" s="1306"/>
      <c r="AD104" s="1306"/>
      <c r="AE104" s="1306"/>
      <c r="AF104" s="1778"/>
      <c r="AG104" s="712"/>
      <c r="AH104" s="712"/>
      <c r="AI104" s="712"/>
      <c r="AJ104" s="712"/>
      <c r="AK104" s="1787">
        <v>11</v>
      </c>
    </row>
    <row s="6314" customFormat="1" customHeight="1" ht="11.549999999999999">
      <c r="A105" s="1133"/>
      <c r="B105" s="1782"/>
      <c r="C105" s="1782"/>
      <c r="D105" s="497"/>
      <c r="J105" s="6314"/>
      <c r="K105" s="6314"/>
      <c r="L105" s="6314"/>
      <c r="M105" s="6314"/>
      <c r="N105" s="6314"/>
      <c r="P105" s="1306"/>
      <c r="Q105" s="1782"/>
      <c r="R105" s="1782"/>
      <c r="S105" s="1306"/>
      <c r="T105" s="1306"/>
      <c r="U105" s="1306"/>
      <c r="V105" s="1306"/>
      <c r="W105" s="1782"/>
      <c r="X105" s="1306"/>
      <c r="Y105" s="1306"/>
      <c r="Z105" s="690"/>
      <c r="AA105" s="1306"/>
      <c r="AB105" s="1306"/>
      <c r="AC105" s="1306"/>
      <c r="AD105" s="1306"/>
      <c r="AE105" s="1306"/>
      <c r="AF105" s="1778"/>
      <c r="AG105" s="712"/>
      <c r="AH105" s="712"/>
      <c r="AI105" s="712"/>
      <c r="AJ105" s="712"/>
      <c r="AK105" s="1787">
        <v>11</v>
      </c>
    </row>
    <row s="6314" customFormat="1" customHeight="1" ht="11.549999999999999">
      <c r="A106" s="1133"/>
      <c r="B106" s="1782"/>
      <c r="C106" s="1782"/>
      <c r="D106" s="497"/>
      <c r="J106" s="6314"/>
      <c r="K106" s="6314"/>
      <c r="L106" s="6314"/>
      <c r="M106" s="6314"/>
      <c r="N106" s="6314"/>
      <c r="P106" s="1306"/>
      <c r="Q106" s="1782"/>
      <c r="R106" s="1782"/>
      <c r="S106" s="1306"/>
      <c r="T106" s="1306"/>
      <c r="U106" s="1306"/>
      <c r="V106" s="1306"/>
      <c r="W106" s="1782"/>
      <c r="X106" s="1306"/>
      <c r="Y106" s="1306"/>
      <c r="Z106" s="690"/>
      <c r="AA106" s="1306"/>
      <c r="AB106" s="1306"/>
      <c r="AC106" s="1306"/>
      <c r="AD106" s="1306"/>
      <c r="AE106" s="1306"/>
      <c r="AF106" s="1778"/>
      <c r="AG106" s="712"/>
      <c r="AH106" s="712"/>
      <c r="AI106" s="712"/>
      <c r="AJ106" s="712"/>
      <c r="AK106" s="1787">
        <v>11</v>
      </c>
    </row>
    <row s="6314" customFormat="1" customHeight="1" ht="11.549999999999999">
      <c r="A107" s="1133"/>
      <c r="B107" s="1782"/>
      <c r="C107" s="1782"/>
      <c r="D107" s="497"/>
      <c r="J107" s="6314"/>
      <c r="K107" s="6314"/>
      <c r="L107" s="6314"/>
      <c r="M107" s="6314"/>
      <c r="N107" s="6314"/>
      <c r="P107" s="1306"/>
      <c r="Q107" s="1782"/>
      <c r="R107" s="1782"/>
      <c r="S107" s="1306"/>
      <c r="T107" s="1306"/>
      <c r="U107" s="1306"/>
      <c r="V107" s="1306"/>
      <c r="W107" s="1782"/>
      <c r="X107" s="1306"/>
      <c r="Y107" s="1306"/>
      <c r="Z107" s="690"/>
      <c r="AA107" s="1306"/>
      <c r="AB107" s="1306"/>
      <c r="AC107" s="1306"/>
      <c r="AD107" s="1306"/>
      <c r="AE107" s="1306"/>
      <c r="AF107" s="1778"/>
      <c r="AG107" s="712"/>
      <c r="AH107" s="712"/>
      <c r="AI107" s="712"/>
      <c r="AJ107" s="712"/>
      <c r="AK107" s="1787">
        <v>11</v>
      </c>
    </row>
    <row s="6314" customFormat="1" customHeight="1" ht="11.549999999999999">
      <c r="A108" s="1133"/>
      <c r="B108" s="1782"/>
      <c r="C108" s="1782"/>
      <c r="D108" s="497"/>
      <c r="J108" s="6314"/>
      <c r="K108" s="6314"/>
      <c r="L108" s="6314"/>
      <c r="M108" s="6314"/>
      <c r="N108" s="6314"/>
      <c r="P108" s="1306"/>
      <c r="Q108" s="1782"/>
      <c r="R108" s="1782"/>
      <c r="S108" s="1306"/>
      <c r="T108" s="1306"/>
      <c r="U108" s="1306"/>
      <c r="V108" s="1306"/>
      <c r="W108" s="1782"/>
      <c r="X108" s="1306"/>
      <c r="Y108" s="1306"/>
      <c r="Z108" s="690"/>
      <c r="AA108" s="1306"/>
      <c r="AB108" s="1306"/>
      <c r="AC108" s="1306"/>
      <c r="AD108" s="1306"/>
      <c r="AE108" s="1306"/>
      <c r="AF108" s="1778"/>
      <c r="AG108" s="712"/>
      <c r="AH108" s="712"/>
      <c r="AI108" s="712"/>
      <c r="AJ108" s="712"/>
      <c r="AK108" s="1787">
        <v>11</v>
      </c>
    </row>
    <row s="6314" customFormat="1" customHeight="1" ht="11.549999999999999">
      <c r="A109" s="1133"/>
      <c r="B109" s="1782"/>
      <c r="C109" s="1782"/>
      <c r="D109" s="497"/>
      <c r="J109" s="6314"/>
      <c r="K109" s="6314"/>
      <c r="L109" s="6314"/>
      <c r="M109" s="6314"/>
      <c r="N109" s="6314"/>
      <c r="P109" s="1306"/>
      <c r="Q109" s="1782"/>
      <c r="R109" s="1782"/>
      <c r="S109" s="1306"/>
      <c r="T109" s="1306"/>
      <c r="U109" s="1306"/>
      <c r="V109" s="1306"/>
      <c r="W109" s="1782"/>
      <c r="X109" s="1306"/>
      <c r="Y109" s="1306"/>
      <c r="Z109" s="690"/>
      <c r="AA109" s="1306"/>
      <c r="AB109" s="1306"/>
      <c r="AC109" s="1306"/>
      <c r="AD109" s="1306"/>
      <c r="AE109" s="1306"/>
      <c r="AF109" s="1778"/>
      <c r="AG109" s="712"/>
      <c r="AH109" s="712"/>
      <c r="AI109" s="712"/>
      <c r="AJ109" s="712"/>
      <c r="AK109" s="1787">
        <v>11</v>
      </c>
    </row>
    <row s="6314" customFormat="1" customHeight="1" ht="11.549999999999999">
      <c r="A110" s="1133"/>
      <c r="B110" s="1782"/>
      <c r="C110" s="1782"/>
      <c r="D110" s="497"/>
      <c r="J110" s="6314"/>
      <c r="K110" s="6314"/>
      <c r="L110" s="6314"/>
      <c r="M110" s="6314"/>
      <c r="N110" s="6314"/>
      <c r="P110" s="1306"/>
      <c r="Q110" s="1782"/>
      <c r="R110" s="1782"/>
      <c r="S110" s="1306"/>
      <c r="T110" s="1306"/>
      <c r="U110" s="1306"/>
      <c r="V110" s="1306"/>
      <c r="W110" s="1782"/>
      <c r="X110" s="1306"/>
      <c r="Y110" s="1306"/>
      <c r="Z110" s="690"/>
      <c r="AA110" s="1306"/>
      <c r="AB110" s="1306"/>
      <c r="AC110" s="1306"/>
      <c r="AD110" s="1306"/>
      <c r="AE110" s="1306"/>
      <c r="AF110" s="1778"/>
      <c r="AG110" s="712"/>
      <c r="AH110" s="712"/>
      <c r="AI110" s="712"/>
      <c r="AJ110" s="712"/>
      <c r="AK110" s="1787">
        <v>11</v>
      </c>
    </row>
    <row s="6314" customFormat="1" customHeight="1" ht="11.549999999999999">
      <c r="A111" s="1133"/>
      <c r="B111" s="1782"/>
      <c r="C111" s="1782"/>
      <c r="D111" s="497"/>
      <c r="J111" s="6314"/>
      <c r="K111" s="6314"/>
      <c r="L111" s="6314"/>
      <c r="M111" s="6314"/>
      <c r="N111" s="6314"/>
      <c r="P111" s="1306"/>
      <c r="Q111" s="1782"/>
      <c r="R111" s="1782"/>
      <c r="S111" s="1306"/>
      <c r="T111" s="1306"/>
      <c r="U111" s="1306"/>
      <c r="V111" s="1306"/>
      <c r="W111" s="1782"/>
      <c r="X111" s="1306"/>
      <c r="Y111" s="1306"/>
      <c r="Z111" s="690"/>
      <c r="AA111" s="1306"/>
      <c r="AB111" s="1306"/>
      <c r="AC111" s="1306"/>
      <c r="AD111" s="1306"/>
      <c r="AE111" s="1306"/>
      <c r="AF111" s="1778"/>
      <c r="AG111" s="712"/>
      <c r="AH111" s="712"/>
      <c r="AI111" s="712"/>
      <c r="AJ111" s="712"/>
      <c r="AK111" s="1787">
        <v>11</v>
      </c>
    </row>
    <row s="6314" customFormat="1" customHeight="1" ht="11.549999999999999">
      <c r="A112" s="1133"/>
      <c r="B112" s="1782"/>
      <c r="C112" s="1782"/>
      <c r="D112" s="497"/>
      <c r="J112" s="6314"/>
      <c r="K112" s="6314"/>
      <c r="L112" s="6314"/>
      <c r="M112" s="6314"/>
      <c r="N112" s="6314"/>
      <c r="P112" s="1306"/>
      <c r="Q112" s="1782"/>
      <c r="R112" s="1782"/>
      <c r="S112" s="1306"/>
      <c r="T112" s="1306"/>
      <c r="U112" s="1306"/>
      <c r="V112" s="1306"/>
      <c r="W112" s="1782"/>
      <c r="X112" s="1306"/>
      <c r="Y112" s="1306"/>
      <c r="Z112" s="690"/>
      <c r="AA112" s="1306"/>
      <c r="AB112" s="1306"/>
      <c r="AC112" s="1306"/>
      <c r="AD112" s="1306"/>
      <c r="AE112" s="1306"/>
      <c r="AF112" s="1778"/>
      <c r="AG112" s="712"/>
      <c r="AH112" s="712"/>
      <c r="AI112" s="712"/>
      <c r="AJ112" s="712"/>
      <c r="AK112" s="1787">
        <v>11</v>
      </c>
    </row>
    <row s="6314" customFormat="1" customHeight="1" ht="11.549999999999999">
      <c r="A113" s="1133"/>
      <c r="B113" s="1782"/>
      <c r="C113" s="1782"/>
      <c r="D113" s="497"/>
      <c r="J113" s="6314"/>
      <c r="K113" s="6314"/>
      <c r="L113" s="6314"/>
      <c r="M113" s="6314"/>
      <c r="N113" s="6314"/>
      <c r="P113" s="1306"/>
      <c r="Q113" s="1782"/>
      <c r="R113" s="1782"/>
      <c r="S113" s="1306"/>
      <c r="T113" s="1306"/>
      <c r="U113" s="1306"/>
      <c r="V113" s="1306"/>
      <c r="W113" s="1782"/>
      <c r="X113" s="1306"/>
      <c r="Y113" s="1306"/>
      <c r="Z113" s="690"/>
      <c r="AA113" s="1306"/>
      <c r="AB113" s="1306"/>
      <c r="AC113" s="1306"/>
      <c r="AD113" s="1306"/>
      <c r="AE113" s="1306"/>
      <c r="AF113" s="1778"/>
      <c r="AG113" s="712"/>
      <c r="AH113" s="712"/>
      <c r="AI113" s="712"/>
      <c r="AJ113" s="712"/>
      <c r="AK113" s="1787">
        <v>11</v>
      </c>
    </row>
    <row s="6314" customFormat="1" customHeight="1" ht="11.549999999999999">
      <c r="A114" s="1133"/>
      <c r="B114" s="1782"/>
      <c r="C114" s="1782"/>
      <c r="D114" s="497"/>
      <c r="J114" s="6314"/>
      <c r="K114" s="6314"/>
      <c r="L114" s="6314"/>
      <c r="M114" s="6314"/>
      <c r="N114" s="6314"/>
      <c r="P114" s="1306"/>
      <c r="Q114" s="1782"/>
      <c r="R114" s="1782"/>
      <c r="S114" s="1306"/>
      <c r="T114" s="1306"/>
      <c r="U114" s="1306"/>
      <c r="V114" s="1306"/>
      <c r="W114" s="1782"/>
      <c r="X114" s="1306"/>
      <c r="Y114" s="1306"/>
      <c r="Z114" s="690"/>
      <c r="AA114" s="1306"/>
      <c r="AB114" s="1306"/>
      <c r="AC114" s="1306"/>
      <c r="AD114" s="1306"/>
      <c r="AE114" s="1306"/>
      <c r="AF114" s="1778"/>
      <c r="AG114" s="712"/>
      <c r="AH114" s="712"/>
      <c r="AI114" s="712"/>
      <c r="AJ114" s="712"/>
      <c r="AK114" s="1787">
        <v>11</v>
      </c>
    </row>
    <row s="6314" customFormat="1" customHeight="1" ht="11.549999999999999">
      <c r="A115" s="1133"/>
      <c r="B115" s="1782"/>
      <c r="C115" s="1782"/>
      <c r="D115" s="497"/>
      <c r="J115" s="6314"/>
      <c r="K115" s="6314"/>
      <c r="L115" s="6314"/>
      <c r="M115" s="6314"/>
      <c r="N115" s="6314"/>
      <c r="P115" s="1306"/>
      <c r="Q115" s="1782"/>
      <c r="R115" s="1782"/>
      <c r="S115" s="1306"/>
      <c r="T115" s="1306"/>
      <c r="U115" s="1306"/>
      <c r="V115" s="1306"/>
      <c r="W115" s="1782"/>
      <c r="X115" s="1306"/>
      <c r="Y115" s="1306"/>
      <c r="Z115" s="690"/>
      <c r="AA115" s="1306"/>
      <c r="AB115" s="1306"/>
      <c r="AC115" s="1306"/>
      <c r="AD115" s="1306"/>
      <c r="AE115" s="1306"/>
      <c r="AF115" s="1778"/>
      <c r="AG115" s="712"/>
      <c r="AH115" s="712"/>
      <c r="AI115" s="712"/>
      <c r="AJ115" s="712"/>
      <c r="AK115" s="1787">
        <v>11</v>
      </c>
    </row>
    <row s="6314" customFormat="1" customHeight="1" ht="11.549999999999999">
      <c r="A116" s="1133"/>
      <c r="B116" s="1782"/>
      <c r="C116" s="1782"/>
      <c r="D116" s="497"/>
      <c r="J116" s="6314"/>
      <c r="K116" s="6314"/>
      <c r="L116" s="6314"/>
      <c r="M116" s="6314"/>
      <c r="N116" s="6314"/>
      <c r="P116" s="1306"/>
      <c r="Q116" s="1782"/>
      <c r="R116" s="1782"/>
      <c r="S116" s="1306"/>
      <c r="T116" s="1306"/>
      <c r="U116" s="1306"/>
      <c r="V116" s="1306"/>
      <c r="W116" s="1782"/>
      <c r="X116" s="1306"/>
      <c r="Y116" s="1306"/>
      <c r="Z116" s="690"/>
      <c r="AA116" s="1306"/>
      <c r="AB116" s="1306"/>
      <c r="AC116" s="1306"/>
      <c r="AD116" s="1306"/>
      <c r="AE116" s="1306"/>
      <c r="AF116" s="1778"/>
      <c r="AG116" s="712"/>
      <c r="AH116" s="712"/>
      <c r="AI116" s="712"/>
      <c r="AJ116" s="712"/>
      <c r="AK116" s="1787">
        <v>11</v>
      </c>
    </row>
    <row s="6314" customFormat="1" customHeight="1" ht="11.549999999999999">
      <c r="A117" s="1133"/>
      <c r="B117" s="1782"/>
      <c r="C117" s="1782"/>
      <c r="D117" s="497"/>
      <c r="J117" s="6314"/>
      <c r="K117" s="6314"/>
      <c r="L117" s="6314"/>
      <c r="M117" s="6314"/>
      <c r="N117" s="6314"/>
      <c r="P117" s="1306"/>
      <c r="Q117" s="1782"/>
      <c r="R117" s="1782"/>
      <c r="S117" s="1306"/>
      <c r="T117" s="1306"/>
      <c r="U117" s="1306"/>
      <c r="V117" s="1306"/>
      <c r="W117" s="1782"/>
      <c r="X117" s="1306"/>
      <c r="Y117" s="1306"/>
      <c r="Z117" s="690"/>
      <c r="AA117" s="1306"/>
      <c r="AB117" s="1306"/>
      <c r="AC117" s="1306"/>
      <c r="AD117" s="1306"/>
      <c r="AE117" s="1306"/>
      <c r="AF117" s="1778"/>
      <c r="AG117" s="712"/>
      <c r="AH117" s="712"/>
      <c r="AI117" s="712"/>
      <c r="AJ117" s="712"/>
      <c r="AK117" s="1787">
        <v>11</v>
      </c>
    </row>
    <row s="6314" customFormat="1" customHeight="1" ht="11.549999999999999">
      <c r="A118" s="1133"/>
      <c r="B118" s="1782"/>
      <c r="C118" s="1782"/>
      <c r="D118" s="497"/>
      <c r="J118" s="6314"/>
      <c r="K118" s="6314"/>
      <c r="L118" s="6314"/>
      <c r="M118" s="6314"/>
      <c r="N118" s="6314"/>
      <c r="P118" s="1306"/>
      <c r="Q118" s="1782"/>
      <c r="R118" s="1782"/>
      <c r="S118" s="1306"/>
      <c r="T118" s="1306"/>
      <c r="U118" s="1306"/>
      <c r="V118" s="1306"/>
      <c r="W118" s="1782"/>
      <c r="X118" s="1306"/>
      <c r="Y118" s="1306"/>
      <c r="Z118" s="690"/>
      <c r="AA118" s="1306"/>
      <c r="AB118" s="1306"/>
      <c r="AC118" s="1306"/>
      <c r="AD118" s="1306"/>
      <c r="AE118" s="1306"/>
      <c r="AF118" s="1778"/>
      <c r="AG118" s="712"/>
      <c r="AH118" s="712"/>
      <c r="AI118" s="712"/>
      <c r="AJ118" s="712"/>
      <c r="AK118" s="1787">
        <v>11</v>
      </c>
    </row>
    <row s="6314" customFormat="1" customHeight="1" ht="11.549999999999999">
      <c r="A119" s="1133"/>
      <c r="B119" s="1782"/>
      <c r="C119" s="1782"/>
      <c r="D119" s="497"/>
      <c r="J119" s="6314"/>
      <c r="K119" s="6314"/>
      <c r="L119" s="6314"/>
      <c r="M119" s="6314"/>
      <c r="N119" s="6314"/>
      <c r="P119" s="1306"/>
      <c r="Q119" s="1782"/>
      <c r="R119" s="1782"/>
      <c r="S119" s="1306"/>
      <c r="T119" s="1306"/>
      <c r="U119" s="1306"/>
      <c r="V119" s="1306"/>
      <c r="W119" s="1782"/>
      <c r="X119" s="1306"/>
      <c r="Y119" s="1306"/>
      <c r="Z119" s="690"/>
      <c r="AA119" s="1306"/>
      <c r="AB119" s="1306"/>
      <c r="AC119" s="1306"/>
      <c r="AD119" s="1306"/>
      <c r="AE119" s="1306"/>
      <c r="AF119" s="1778"/>
      <c r="AG119" s="712"/>
      <c r="AH119" s="712"/>
      <c r="AI119" s="712"/>
      <c r="AJ119" s="712"/>
      <c r="AK119" s="1787">
        <v>11</v>
      </c>
    </row>
    <row s="6314" customFormat="1" customHeight="1" ht="11.549999999999999">
      <c r="A120" s="1133"/>
      <c r="B120" s="1782"/>
      <c r="C120" s="1782"/>
      <c r="D120" s="497"/>
      <c r="J120" s="6314"/>
      <c r="K120" s="6314"/>
      <c r="L120" s="6314"/>
      <c r="M120" s="6314"/>
      <c r="N120" s="6314"/>
      <c r="P120" s="1306"/>
      <c r="Q120" s="1782"/>
      <c r="R120" s="1782"/>
      <c r="S120" s="1306"/>
      <c r="T120" s="1306"/>
      <c r="U120" s="1306"/>
      <c r="V120" s="1306"/>
      <c r="W120" s="1782"/>
      <c r="X120" s="1306"/>
      <c r="Y120" s="1306"/>
      <c r="Z120" s="690"/>
      <c r="AA120" s="1306"/>
      <c r="AB120" s="1306"/>
      <c r="AC120" s="1306"/>
      <c r="AD120" s="1306"/>
      <c r="AE120" s="1306"/>
      <c r="AF120" s="1778"/>
      <c r="AG120" s="712"/>
      <c r="AH120" s="712"/>
      <c r="AI120" s="712"/>
      <c r="AJ120" s="712"/>
      <c r="AK120" s="1787">
        <v>11</v>
      </c>
    </row>
    <row s="6314" customFormat="1" customHeight="1" ht="11.549999999999999">
      <c r="A121" s="1133"/>
      <c r="B121" s="1782"/>
      <c r="C121" s="1782"/>
      <c r="D121" s="497"/>
      <c r="J121" s="6314"/>
      <c r="K121" s="6314"/>
      <c r="L121" s="6314"/>
      <c r="M121" s="6314"/>
      <c r="N121" s="6314"/>
      <c r="P121" s="1306"/>
      <c r="Q121" s="1782"/>
      <c r="R121" s="1782"/>
      <c r="S121" s="1306"/>
      <c r="T121" s="1306"/>
      <c r="U121" s="1306"/>
      <c r="V121" s="1306"/>
      <c r="W121" s="1782"/>
      <c r="X121" s="1306"/>
      <c r="Y121" s="1306"/>
      <c r="Z121" s="690"/>
      <c r="AA121" s="1306"/>
      <c r="AB121" s="1306"/>
      <c r="AC121" s="1306"/>
      <c r="AD121" s="1306"/>
      <c r="AE121" s="1306"/>
      <c r="AF121" s="1778"/>
      <c r="AG121" s="712"/>
      <c r="AH121" s="712"/>
      <c r="AI121" s="712"/>
      <c r="AJ121" s="712"/>
      <c r="AK121" s="1787">
        <v>11</v>
      </c>
    </row>
    <row s="6314" customFormat="1" customHeight="1" ht="11.549999999999999">
      <c r="A122" s="1133"/>
      <c r="B122" s="1782"/>
      <c r="C122" s="1782"/>
      <c r="D122" s="497"/>
      <c r="J122" s="6314"/>
      <c r="K122" s="6314"/>
      <c r="L122" s="6314"/>
      <c r="M122" s="6314"/>
      <c r="N122" s="6314"/>
      <c r="P122" s="1306"/>
      <c r="Q122" s="1782"/>
      <c r="R122" s="1782"/>
      <c r="S122" s="1306"/>
      <c r="T122" s="1306"/>
      <c r="U122" s="1306"/>
      <c r="V122" s="1306"/>
      <c r="W122" s="1782"/>
      <c r="X122" s="1306"/>
      <c r="Y122" s="1306"/>
      <c r="Z122" s="690"/>
      <c r="AA122" s="1306"/>
      <c r="AB122" s="1306"/>
      <c r="AC122" s="1306"/>
      <c r="AD122" s="1306"/>
      <c r="AE122" s="1306"/>
      <c r="AF122" s="1778"/>
      <c r="AG122" s="712"/>
      <c r="AH122" s="712"/>
      <c r="AI122" s="712"/>
      <c r="AJ122" s="712"/>
      <c r="AK122" s="1787">
        <v>11</v>
      </c>
    </row>
    <row s="6314" customFormat="1" customHeight="1" ht="11.549999999999999">
      <c r="A123" s="1133"/>
      <c r="B123" s="1782"/>
      <c r="C123" s="1782"/>
      <c r="D123" s="497"/>
      <c r="J123" s="6314"/>
      <c r="K123" s="6314"/>
      <c r="L123" s="6314"/>
      <c r="M123" s="6314"/>
      <c r="N123" s="6314"/>
      <c r="P123" s="1306"/>
      <c r="Q123" s="1782"/>
      <c r="R123" s="1782"/>
      <c r="S123" s="1306"/>
      <c r="T123" s="1306"/>
      <c r="U123" s="1306"/>
      <c r="V123" s="1306"/>
      <c r="W123" s="1782"/>
      <c r="X123" s="1306"/>
      <c r="Y123" s="1306"/>
      <c r="Z123" s="690"/>
      <c r="AA123" s="1306"/>
      <c r="AB123" s="1306"/>
      <c r="AC123" s="1306"/>
      <c r="AD123" s="1306"/>
      <c r="AE123" s="1306"/>
      <c r="AF123" s="1778"/>
      <c r="AG123" s="712"/>
      <c r="AH123" s="712"/>
      <c r="AI123" s="712"/>
      <c r="AJ123" s="712"/>
      <c r="AK123" s="1787">
        <v>11</v>
      </c>
    </row>
    <row s="6314" customFormat="1" customHeight="1" ht="11.549999999999999">
      <c r="A124" s="1133"/>
      <c r="B124" s="1782"/>
      <c r="C124" s="1782"/>
      <c r="D124" s="497"/>
      <c r="J124" s="6314"/>
      <c r="K124" s="6314"/>
      <c r="L124" s="6314"/>
      <c r="M124" s="6314"/>
      <c r="N124" s="6314"/>
      <c r="P124" s="1306"/>
      <c r="Q124" s="1782"/>
      <c r="R124" s="1782"/>
      <c r="S124" s="1306"/>
      <c r="T124" s="1306"/>
      <c r="U124" s="1306"/>
      <c r="V124" s="1306"/>
      <c r="W124" s="1782"/>
      <c r="X124" s="1306"/>
      <c r="Y124" s="1306"/>
      <c r="Z124" s="690"/>
      <c r="AA124" s="1306"/>
      <c r="AB124" s="1306"/>
      <c r="AC124" s="1306"/>
      <c r="AD124" s="1306"/>
      <c r="AE124" s="1306"/>
      <c r="AF124" s="1778"/>
      <c r="AG124" s="712"/>
      <c r="AH124" s="712"/>
      <c r="AI124" s="712"/>
      <c r="AJ124" s="712"/>
      <c r="AK124" s="1787">
        <v>11</v>
      </c>
    </row>
    <row s="6314" customFormat="1" customHeight="1" ht="11.549999999999999">
      <c r="A125" s="1133"/>
      <c r="B125" s="1782"/>
      <c r="C125" s="1782"/>
      <c r="D125" s="497"/>
      <c r="J125" s="6314"/>
      <c r="K125" s="6314"/>
      <c r="L125" s="6314"/>
      <c r="M125" s="6314"/>
      <c r="N125" s="6314"/>
      <c r="P125" s="1306"/>
      <c r="Q125" s="1782"/>
      <c r="R125" s="1782"/>
      <c r="S125" s="1306"/>
      <c r="T125" s="1306"/>
      <c r="U125" s="1306"/>
      <c r="V125" s="1306"/>
      <c r="W125" s="1782"/>
      <c r="X125" s="1306"/>
      <c r="Y125" s="1306"/>
      <c r="Z125" s="690"/>
      <c r="AA125" s="1306"/>
      <c r="AB125" s="1306"/>
      <c r="AC125" s="1306"/>
      <c r="AD125" s="1306"/>
      <c r="AE125" s="1306"/>
      <c r="AF125" s="1778"/>
      <c r="AG125" s="712"/>
      <c r="AH125" s="712"/>
      <c r="AI125" s="712"/>
      <c r="AJ125" s="712"/>
      <c r="AK125" s="1787">
        <v>11</v>
      </c>
    </row>
    <row s="6314" customFormat="1" customHeight="1" ht="11.549999999999999">
      <c r="A126" s="1133"/>
      <c r="B126" s="1782"/>
      <c r="C126" s="1782"/>
      <c r="D126" s="497"/>
      <c r="J126" s="6314"/>
      <c r="K126" s="6314"/>
      <c r="L126" s="6314"/>
      <c r="M126" s="6314"/>
      <c r="N126" s="6314"/>
      <c r="P126" s="1306"/>
      <c r="Q126" s="1782"/>
      <c r="R126" s="1782"/>
      <c r="S126" s="1306"/>
      <c r="T126" s="1306"/>
      <c r="U126" s="1306"/>
      <c r="V126" s="1306"/>
      <c r="W126" s="1782"/>
      <c r="X126" s="1306"/>
      <c r="Y126" s="1306"/>
      <c r="Z126" s="690"/>
      <c r="AA126" s="1306"/>
      <c r="AB126" s="1306"/>
      <c r="AC126" s="1306"/>
      <c r="AD126" s="1306"/>
      <c r="AE126" s="1306"/>
      <c r="AF126" s="1778"/>
      <c r="AG126" s="712"/>
      <c r="AH126" s="712"/>
      <c r="AI126" s="712"/>
      <c r="AJ126" s="712"/>
      <c r="AK126" s="1787">
        <v>11</v>
      </c>
    </row>
    <row s="6314" customFormat="1" customHeight="1" ht="11.549999999999999">
      <c r="A127" s="1133"/>
      <c r="B127" s="1782"/>
      <c r="C127" s="1782"/>
      <c r="D127" s="497"/>
      <c r="J127" s="6314"/>
      <c r="K127" s="6314"/>
      <c r="L127" s="6314"/>
      <c r="M127" s="6314"/>
      <c r="N127" s="6314"/>
      <c r="P127" s="1306"/>
      <c r="Q127" s="1782"/>
      <c r="R127" s="1782"/>
      <c r="S127" s="1306"/>
      <c r="T127" s="1306"/>
      <c r="U127" s="1306"/>
      <c r="V127" s="1306"/>
      <c r="W127" s="1782"/>
      <c r="X127" s="1306"/>
      <c r="Y127" s="1306"/>
      <c r="Z127" s="690"/>
      <c r="AA127" s="1306"/>
      <c r="AB127" s="1306"/>
      <c r="AC127" s="1306"/>
      <c r="AD127" s="1306"/>
      <c r="AE127" s="1306"/>
      <c r="AF127" s="1778"/>
      <c r="AG127" s="712"/>
      <c r="AH127" s="712"/>
      <c r="AI127" s="712"/>
      <c r="AJ127" s="712"/>
      <c r="AK127" s="1787">
        <v>11</v>
      </c>
    </row>
    <row s="6314" customFormat="1" customHeight="1" ht="11.549999999999999">
      <c r="A128" s="1133"/>
      <c r="B128" s="1782"/>
      <c r="C128" s="1782"/>
      <c r="D128" s="497"/>
      <c r="J128" s="6314"/>
      <c r="K128" s="6314"/>
      <c r="L128" s="6314"/>
      <c r="M128" s="6314"/>
      <c r="N128" s="6314"/>
      <c r="P128" s="1306"/>
      <c r="Q128" s="1782"/>
      <c r="R128" s="1782"/>
      <c r="S128" s="1306"/>
      <c r="T128" s="1306"/>
      <c r="U128" s="1306"/>
      <c r="V128" s="1306"/>
      <c r="W128" s="1782"/>
      <c r="X128" s="1306"/>
      <c r="Y128" s="1306"/>
      <c r="Z128" s="690"/>
      <c r="AA128" s="1306"/>
      <c r="AB128" s="1306"/>
      <c r="AC128" s="1306"/>
      <c r="AD128" s="1306"/>
      <c r="AE128" s="1306"/>
      <c r="AF128" s="1778"/>
      <c r="AG128" s="712"/>
      <c r="AH128" s="712"/>
      <c r="AI128" s="712"/>
      <c r="AJ128" s="712"/>
      <c r="AK128" s="1787">
        <v>11</v>
      </c>
    </row>
    <row s="6314" customFormat="1" customHeight="1" ht="11.549999999999999">
      <c r="A129" s="1133"/>
      <c r="B129" s="1782"/>
      <c r="C129" s="1782"/>
      <c r="D129" s="497"/>
      <c r="J129" s="6314"/>
      <c r="K129" s="6314"/>
      <c r="L129" s="6314"/>
      <c r="M129" s="6314"/>
      <c r="N129" s="6314"/>
      <c r="P129" s="1306"/>
      <c r="Q129" s="1782"/>
      <c r="R129" s="1782"/>
      <c r="S129" s="1306"/>
      <c r="T129" s="1306"/>
      <c r="U129" s="1306"/>
      <c r="V129" s="1306"/>
      <c r="W129" s="1782"/>
      <c r="X129" s="1306"/>
      <c r="Y129" s="1306"/>
      <c r="Z129" s="690"/>
      <c r="AA129" s="1306"/>
      <c r="AB129" s="1306"/>
      <c r="AC129" s="1306"/>
      <c r="AD129" s="1306"/>
      <c r="AE129" s="1306"/>
      <c r="AF129" s="1778"/>
      <c r="AG129" s="712"/>
      <c r="AH129" s="712"/>
      <c r="AI129" s="712"/>
      <c r="AJ129" s="712"/>
      <c r="AK129" s="1787">
        <v>11</v>
      </c>
    </row>
    <row s="6314" customFormat="1" customHeight="1" ht="11.549999999999999">
      <c r="A130" s="1133"/>
      <c r="B130" s="1782"/>
      <c r="C130" s="1782"/>
      <c r="D130" s="497"/>
      <c r="J130" s="6314"/>
      <c r="K130" s="6314"/>
      <c r="L130" s="6314"/>
      <c r="M130" s="6314"/>
      <c r="N130" s="6314"/>
      <c r="P130" s="1306"/>
      <c r="Q130" s="1782"/>
      <c r="R130" s="1782"/>
      <c r="S130" s="1306"/>
      <c r="T130" s="1306"/>
      <c r="U130" s="1306"/>
      <c r="V130" s="1306"/>
      <c r="W130" s="1782"/>
      <c r="X130" s="1306"/>
      <c r="Y130" s="1306"/>
      <c r="Z130" s="690"/>
      <c r="AA130" s="1306"/>
      <c r="AB130" s="1306"/>
      <c r="AC130" s="1306"/>
      <c r="AD130" s="1306"/>
      <c r="AE130" s="1306"/>
      <c r="AF130" s="1778"/>
      <c r="AG130" s="712"/>
      <c r="AH130" s="712"/>
      <c r="AI130" s="712"/>
      <c r="AJ130" s="712"/>
      <c r="AK130" s="1787">
        <v>11</v>
      </c>
    </row>
    <row s="6314" customFormat="1" customHeight="1" ht="11.549999999999999">
      <c r="A131" s="1133"/>
      <c r="B131" s="1782"/>
      <c r="C131" s="1782"/>
      <c r="D131" s="497"/>
      <c r="J131" s="6314"/>
      <c r="K131" s="6314"/>
      <c r="L131" s="6314"/>
      <c r="M131" s="6314"/>
      <c r="N131" s="6314"/>
      <c r="P131" s="1306"/>
      <c r="Q131" s="1782"/>
      <c r="R131" s="1782"/>
      <c r="S131" s="1306"/>
      <c r="T131" s="1306"/>
      <c r="U131" s="1306"/>
      <c r="V131" s="1306"/>
      <c r="W131" s="1782"/>
      <c r="X131" s="1306"/>
      <c r="Y131" s="1306"/>
      <c r="Z131" s="690"/>
      <c r="AA131" s="1306"/>
      <c r="AB131" s="1306"/>
      <c r="AC131" s="1306"/>
      <c r="AD131" s="1306"/>
      <c r="AE131" s="1306"/>
      <c r="AF131" s="1778"/>
      <c r="AG131" s="712"/>
      <c r="AH131" s="712"/>
      <c r="AI131" s="712"/>
      <c r="AJ131" s="712"/>
      <c r="AK131" s="1787">
        <v>11</v>
      </c>
    </row>
    <row s="6314" customFormat="1" customHeight="1" ht="11.549999999999999">
      <c r="A132" s="1133"/>
      <c r="B132" s="1782"/>
      <c r="C132" s="1782"/>
      <c r="D132" s="497"/>
      <c r="J132" s="6314"/>
      <c r="K132" s="6314"/>
      <c r="L132" s="6314"/>
      <c r="M132" s="6314"/>
      <c r="N132" s="6314"/>
      <c r="P132" s="1306"/>
      <c r="Q132" s="1782"/>
      <c r="R132" s="1782"/>
      <c r="S132" s="1306"/>
      <c r="T132" s="1306"/>
      <c r="U132" s="1306"/>
      <c r="V132" s="1306"/>
      <c r="W132" s="1782"/>
      <c r="X132" s="1306"/>
      <c r="Y132" s="1306"/>
      <c r="Z132" s="690"/>
      <c r="AA132" s="1306"/>
      <c r="AB132" s="1306"/>
      <c r="AC132" s="1306"/>
      <c r="AD132" s="1306"/>
      <c r="AE132" s="1306"/>
      <c r="AF132" s="1778"/>
      <c r="AG132" s="712"/>
      <c r="AH132" s="712"/>
      <c r="AI132" s="712"/>
      <c r="AJ132" s="712"/>
      <c r="AK132" s="1787">
        <v>11</v>
      </c>
    </row>
    <row s="6314" customFormat="1" customHeight="1" ht="11.549999999999999">
      <c r="A133" s="1133"/>
      <c r="B133" s="1782"/>
      <c r="C133" s="1782"/>
      <c r="D133" s="497"/>
      <c r="J133" s="6314"/>
      <c r="K133" s="6314"/>
      <c r="L133" s="6314"/>
      <c r="M133" s="6314"/>
      <c r="N133" s="6314"/>
      <c r="P133" s="1306"/>
      <c r="Q133" s="1782"/>
      <c r="R133" s="1782"/>
      <c r="S133" s="1306"/>
      <c r="T133" s="1306"/>
      <c r="U133" s="1306"/>
      <c r="V133" s="1306"/>
      <c r="W133" s="1782"/>
      <c r="X133" s="1306"/>
      <c r="Y133" s="1306"/>
      <c r="Z133" s="690"/>
      <c r="AA133" s="1306"/>
      <c r="AB133" s="1306"/>
      <c r="AC133" s="1306"/>
      <c r="AD133" s="1306"/>
      <c r="AE133" s="1306"/>
      <c r="AF133" s="1778"/>
      <c r="AG133" s="712"/>
      <c r="AH133" s="712"/>
      <c r="AI133" s="712"/>
      <c r="AJ133" s="712"/>
      <c r="AK133" s="1787">
        <v>11</v>
      </c>
    </row>
    <row s="6314" customFormat="1" customHeight="1" ht="11.549999999999999">
      <c r="A134" s="1133"/>
      <c r="B134" s="1782"/>
      <c r="C134" s="1782"/>
      <c r="D134" s="497"/>
      <c r="J134" s="6314"/>
      <c r="K134" s="6314"/>
      <c r="L134" s="6314"/>
      <c r="M134" s="6314"/>
      <c r="N134" s="6314"/>
      <c r="P134" s="1306"/>
      <c r="Q134" s="1782"/>
      <c r="R134" s="1782"/>
      <c r="S134" s="1306"/>
      <c r="T134" s="1306"/>
      <c r="U134" s="1306"/>
      <c r="V134" s="1306"/>
      <c r="W134" s="1782"/>
      <c r="X134" s="1306"/>
      <c r="Y134" s="1306"/>
      <c r="Z134" s="690"/>
      <c r="AA134" s="1306"/>
      <c r="AB134" s="1306"/>
      <c r="AC134" s="1306"/>
      <c r="AD134" s="1306"/>
      <c r="AE134" s="1306"/>
      <c r="AF134" s="1778"/>
      <c r="AG134" s="712"/>
      <c r="AH134" s="712"/>
      <c r="AI134" s="712"/>
      <c r="AJ134" s="712"/>
      <c r="AK134" s="1787">
        <v>11</v>
      </c>
    </row>
    <row s="6314" customFormat="1" customHeight="1" ht="11.549999999999999">
      <c r="A135" s="1133"/>
      <c r="B135" s="1782"/>
      <c r="C135" s="1782"/>
      <c r="D135" s="497"/>
      <c r="J135" s="6314"/>
      <c r="K135" s="6314"/>
      <c r="L135" s="6314"/>
      <c r="M135" s="6314"/>
      <c r="N135" s="6314"/>
      <c r="P135" s="1306"/>
      <c r="Q135" s="1782"/>
      <c r="R135" s="1782"/>
      <c r="S135" s="1306"/>
      <c r="T135" s="1306"/>
      <c r="U135" s="1306"/>
      <c r="V135" s="1306"/>
      <c r="W135" s="1782"/>
      <c r="X135" s="1306"/>
      <c r="Y135" s="1306"/>
      <c r="Z135" s="690"/>
      <c r="AA135" s="1306"/>
      <c r="AB135" s="1306"/>
      <c r="AC135" s="1306"/>
      <c r="AD135" s="1306"/>
      <c r="AE135" s="1306"/>
      <c r="AF135" s="1778"/>
      <c r="AG135" s="712"/>
      <c r="AH135" s="712"/>
      <c r="AI135" s="712"/>
      <c r="AJ135" s="712"/>
      <c r="AK135" s="1787">
        <v>11</v>
      </c>
    </row>
    <row s="6314" customFormat="1" customHeight="1" ht="11.549999999999999">
      <c r="A136" s="1133"/>
      <c r="B136" s="1782"/>
      <c r="C136" s="1782"/>
      <c r="D136" s="497"/>
      <c r="J136" s="6314"/>
      <c r="K136" s="6314"/>
      <c r="L136" s="6314"/>
      <c r="M136" s="6314"/>
      <c r="N136" s="6314"/>
      <c r="P136" s="1306"/>
      <c r="Q136" s="1782"/>
      <c r="R136" s="1782"/>
      <c r="S136" s="1306"/>
      <c r="T136" s="1306"/>
      <c r="U136" s="1306"/>
      <c r="V136" s="1306"/>
      <c r="W136" s="1782"/>
      <c r="X136" s="1306"/>
      <c r="Y136" s="1306"/>
      <c r="Z136" s="690"/>
      <c r="AA136" s="1306"/>
      <c r="AB136" s="1306"/>
      <c r="AC136" s="1306"/>
      <c r="AD136" s="1306"/>
      <c r="AE136" s="1306"/>
      <c r="AF136" s="1778"/>
      <c r="AG136" s="712"/>
      <c r="AH136" s="712"/>
      <c r="AI136" s="712"/>
      <c r="AJ136" s="712"/>
      <c r="AK136" s="1787">
        <v>11</v>
      </c>
    </row>
    <row s="6314" customFormat="1" customHeight="1" ht="11.549999999999999">
      <c r="A137" s="1133"/>
      <c r="B137" s="1782"/>
      <c r="C137" s="1782"/>
      <c r="D137" s="497"/>
      <c r="J137" s="6314"/>
      <c r="K137" s="6314"/>
      <c r="L137" s="6314"/>
      <c r="M137" s="6314"/>
      <c r="N137" s="6314"/>
      <c r="P137" s="1306"/>
      <c r="Q137" s="1782"/>
      <c r="R137" s="1782"/>
      <c r="S137" s="1306"/>
      <c r="T137" s="1306"/>
      <c r="U137" s="1306"/>
      <c r="V137" s="1306"/>
      <c r="W137" s="1782"/>
      <c r="X137" s="1306"/>
      <c r="Y137" s="1306"/>
      <c r="Z137" s="690"/>
      <c r="AA137" s="1306"/>
      <c r="AB137" s="1306"/>
      <c r="AC137" s="1306"/>
      <c r="AD137" s="1306"/>
      <c r="AE137" s="1306"/>
      <c r="AF137" s="1778"/>
      <c r="AG137" s="712"/>
      <c r="AH137" s="712"/>
      <c r="AI137" s="712"/>
      <c r="AJ137" s="712"/>
      <c r="AK137" s="1787">
        <v>11</v>
      </c>
    </row>
    <row s="6314" customFormat="1" customHeight="1" ht="11.549999999999999">
      <c r="A138" s="1133"/>
      <c r="B138" s="1782"/>
      <c r="C138" s="1782"/>
      <c r="D138" s="497"/>
      <c r="J138" s="6314"/>
      <c r="K138" s="6314"/>
      <c r="L138" s="6314"/>
      <c r="M138" s="6314"/>
      <c r="N138" s="6314"/>
      <c r="P138" s="1306"/>
      <c r="Q138" s="1782"/>
      <c r="R138" s="1782"/>
      <c r="S138" s="1306"/>
      <c r="T138" s="1306"/>
      <c r="U138" s="1306"/>
      <c r="V138" s="1306"/>
      <c r="W138" s="1782"/>
      <c r="X138" s="1306"/>
      <c r="Y138" s="1306"/>
      <c r="Z138" s="690"/>
      <c r="AA138" s="1306"/>
      <c r="AB138" s="1306"/>
      <c r="AC138" s="1306"/>
      <c r="AD138" s="1306"/>
      <c r="AE138" s="1306"/>
      <c r="AF138" s="1778"/>
      <c r="AG138" s="712"/>
      <c r="AH138" s="712"/>
      <c r="AI138" s="712"/>
      <c r="AJ138" s="712"/>
      <c r="AK138" s="1787">
        <v>11</v>
      </c>
    </row>
    <row s="6314" customFormat="1" customHeight="1" ht="11.549999999999999">
      <c r="A139" s="1133"/>
      <c r="B139" s="1782"/>
      <c r="C139" s="1782"/>
      <c r="D139" s="497"/>
      <c r="J139" s="6314"/>
      <c r="K139" s="6314"/>
      <c r="L139" s="6314"/>
      <c r="M139" s="6314"/>
      <c r="N139" s="6314"/>
      <c r="P139" s="1306"/>
      <c r="Q139" s="1782"/>
      <c r="R139" s="1782"/>
      <c r="S139" s="1306"/>
      <c r="T139" s="1306"/>
      <c r="U139" s="1306"/>
      <c r="V139" s="1306"/>
      <c r="W139" s="1782"/>
      <c r="X139" s="1306"/>
      <c r="Y139" s="1306"/>
      <c r="Z139" s="690"/>
      <c r="AA139" s="1306"/>
      <c r="AB139" s="1306"/>
      <c r="AC139" s="1306"/>
      <c r="AD139" s="1306"/>
      <c r="AE139" s="1306"/>
      <c r="AF139" s="1778"/>
      <c r="AG139" s="712"/>
      <c r="AH139" s="712"/>
      <c r="AI139" s="712"/>
      <c r="AJ139" s="712"/>
      <c r="AK139" s="1787">
        <v>11</v>
      </c>
    </row>
    <row s="6314" customFormat="1" customHeight="1" ht="11.549999999999999">
      <c r="A140" s="1133"/>
      <c r="B140" s="1782"/>
      <c r="C140" s="1782"/>
      <c r="D140" s="497"/>
      <c r="J140" s="6314"/>
      <c r="K140" s="6314"/>
      <c r="L140" s="6314"/>
      <c r="M140" s="6314"/>
      <c r="N140" s="6314"/>
      <c r="P140" s="1306"/>
      <c r="Q140" s="1782"/>
      <c r="R140" s="1782"/>
      <c r="S140" s="1306"/>
      <c r="T140" s="1306"/>
      <c r="U140" s="1306"/>
      <c r="V140" s="1306"/>
      <c r="W140" s="1782"/>
      <c r="X140" s="1306"/>
      <c r="Y140" s="1306"/>
      <c r="Z140" s="690"/>
      <c r="AA140" s="1306"/>
      <c r="AB140" s="1306"/>
      <c r="AC140" s="1306"/>
      <c r="AD140" s="1306"/>
      <c r="AE140" s="1306"/>
      <c r="AF140" s="1778"/>
      <c r="AG140" s="712"/>
      <c r="AH140" s="712"/>
      <c r="AI140" s="712"/>
      <c r="AJ140" s="712"/>
      <c r="AK140" s="1787">
        <v>11</v>
      </c>
    </row>
    <row s="6314" customFormat="1" customHeight="1" ht="11.549999999999999">
      <c r="A141" s="1133"/>
      <c r="B141" s="1782"/>
      <c r="C141" s="1782"/>
      <c r="D141" s="497"/>
      <c r="J141" s="6314"/>
      <c r="K141" s="6314"/>
      <c r="L141" s="6314"/>
      <c r="M141" s="6314"/>
      <c r="N141" s="6314"/>
      <c r="P141" s="1306"/>
      <c r="Q141" s="1782"/>
      <c r="R141" s="1782"/>
      <c r="S141" s="1306"/>
      <c r="T141" s="1306"/>
      <c r="U141" s="1306"/>
      <c r="V141" s="1306"/>
      <c r="W141" s="1782"/>
      <c r="X141" s="1306"/>
      <c r="Y141" s="1306"/>
      <c r="Z141" s="690"/>
      <c r="AA141" s="1306"/>
      <c r="AB141" s="1306"/>
      <c r="AC141" s="1306"/>
      <c r="AD141" s="1306"/>
      <c r="AE141" s="1306"/>
      <c r="AF141" s="1778"/>
      <c r="AG141" s="712"/>
      <c r="AH141" s="712"/>
      <c r="AI141" s="712"/>
      <c r="AJ141" s="712"/>
      <c r="AK141" s="1787">
        <v>11</v>
      </c>
    </row>
    <row s="6314" customFormat="1" customHeight="1" ht="11.549999999999999">
      <c r="A142" s="1133"/>
      <c r="B142" s="1782"/>
      <c r="C142" s="1782"/>
      <c r="D142" s="497"/>
      <c r="J142" s="6314"/>
      <c r="K142" s="6314"/>
      <c r="L142" s="6314"/>
      <c r="M142" s="6314"/>
      <c r="N142" s="6314"/>
      <c r="P142" s="1306"/>
      <c r="Q142" s="1782"/>
      <c r="R142" s="1782"/>
      <c r="S142" s="1306"/>
      <c r="T142" s="1306"/>
      <c r="U142" s="1306"/>
      <c r="V142" s="1306"/>
      <c r="W142" s="1782"/>
      <c r="X142" s="1306"/>
      <c r="Y142" s="1306"/>
      <c r="Z142" s="690"/>
      <c r="AA142" s="1306"/>
      <c r="AB142" s="1306"/>
      <c r="AC142" s="1306"/>
      <c r="AD142" s="1306"/>
      <c r="AE142" s="1306"/>
      <c r="AF142" s="1778"/>
      <c r="AG142" s="712"/>
      <c r="AH142" s="712"/>
      <c r="AI142" s="712"/>
      <c r="AJ142" s="712"/>
      <c r="AK142" s="1787">
        <v>11</v>
      </c>
    </row>
    <row s="6314" customFormat="1" customHeight="1" ht="11.549999999999999">
      <c r="A143" s="1133"/>
      <c r="B143" s="1782"/>
      <c r="C143" s="1782"/>
      <c r="D143" s="497"/>
      <c r="J143" s="6314"/>
      <c r="K143" s="6314"/>
      <c r="L143" s="6314"/>
      <c r="M143" s="6314"/>
      <c r="N143" s="6314"/>
      <c r="P143" s="1306"/>
      <c r="Q143" s="1782"/>
      <c r="R143" s="1782"/>
      <c r="S143" s="1306"/>
      <c r="T143" s="1306"/>
      <c r="U143" s="1306"/>
      <c r="V143" s="1306"/>
      <c r="W143" s="1782"/>
      <c r="X143" s="1306"/>
      <c r="Y143" s="1306"/>
      <c r="Z143" s="690"/>
      <c r="AA143" s="1306"/>
      <c r="AB143" s="1306"/>
      <c r="AC143" s="1306"/>
      <c r="AD143" s="1306"/>
      <c r="AE143" s="1306"/>
      <c r="AF143" s="1778"/>
      <c r="AG143" s="712"/>
      <c r="AH143" s="712"/>
      <c r="AI143" s="712"/>
      <c r="AJ143" s="712"/>
      <c r="AK143" s="1787">
        <v>11</v>
      </c>
    </row>
    <row s="6314" customFormat="1" customHeight="1" ht="11.549999999999999">
      <c r="A144" s="1133"/>
      <c r="B144" s="1782"/>
      <c r="C144" s="1782"/>
      <c r="D144" s="497"/>
      <c r="J144" s="6314"/>
      <c r="K144" s="6314"/>
      <c r="L144" s="6314"/>
      <c r="M144" s="6314"/>
      <c r="N144" s="6314"/>
      <c r="P144" s="1306"/>
      <c r="Q144" s="1782"/>
      <c r="R144" s="1782"/>
      <c r="S144" s="1306"/>
      <c r="T144" s="1306"/>
      <c r="U144" s="1306"/>
      <c r="V144" s="1306"/>
      <c r="W144" s="1782"/>
      <c r="X144" s="1306"/>
      <c r="Y144" s="1306"/>
      <c r="Z144" s="690"/>
      <c r="AA144" s="1306"/>
      <c r="AB144" s="1306"/>
      <c r="AC144" s="1306"/>
      <c r="AD144" s="1306"/>
      <c r="AE144" s="1306"/>
      <c r="AF144" s="1778"/>
      <c r="AG144" s="712"/>
      <c r="AH144" s="712"/>
      <c r="AI144" s="712"/>
      <c r="AJ144" s="712"/>
      <c r="AK144" s="1787">
        <v>11</v>
      </c>
    </row>
    <row s="6314" customFormat="1" customHeight="1" ht="11.549999999999999">
      <c r="A145" s="1133"/>
      <c r="B145" s="1782"/>
      <c r="C145" s="1782"/>
      <c r="D145" s="497"/>
      <c r="J145" s="6314"/>
      <c r="K145" s="6314"/>
      <c r="L145" s="6314"/>
      <c r="M145" s="6314"/>
      <c r="N145" s="6314"/>
      <c r="P145" s="1306"/>
      <c r="Q145" s="1782"/>
      <c r="R145" s="1782"/>
      <c r="S145" s="1306"/>
      <c r="T145" s="1306"/>
      <c r="U145" s="1306"/>
      <c r="V145" s="1306"/>
      <c r="W145" s="1782"/>
      <c r="X145" s="1306"/>
      <c r="Y145" s="1306"/>
      <c r="Z145" s="690"/>
      <c r="AA145" s="1306"/>
      <c r="AB145" s="1306"/>
      <c r="AC145" s="1306"/>
      <c r="AD145" s="1306"/>
      <c r="AE145" s="1306"/>
      <c r="AF145" s="1778"/>
      <c r="AG145" s="712"/>
      <c r="AH145" s="712"/>
      <c r="AI145" s="712"/>
      <c r="AJ145" s="712"/>
      <c r="AK145" s="1787">
        <v>11</v>
      </c>
    </row>
    <row s="6314" customFormat="1" customHeight="1" ht="11.549999999999999">
      <c r="A146" s="1133"/>
      <c r="B146" s="1782"/>
      <c r="C146" s="1782"/>
      <c r="D146" s="497"/>
      <c r="J146" s="6314"/>
      <c r="K146" s="6314"/>
      <c r="L146" s="6314"/>
      <c r="M146" s="6314"/>
      <c r="N146" s="6314"/>
      <c r="P146" s="1306"/>
      <c r="Q146" s="1782"/>
      <c r="R146" s="1782"/>
      <c r="S146" s="1306"/>
      <c r="T146" s="1306"/>
      <c r="U146" s="1306"/>
      <c r="V146" s="1306"/>
      <c r="W146" s="1782"/>
      <c r="X146" s="1306"/>
      <c r="Y146" s="1306"/>
      <c r="Z146" s="690"/>
      <c r="AA146" s="1306"/>
      <c r="AB146" s="1306"/>
      <c r="AC146" s="1306"/>
      <c r="AD146" s="1306"/>
      <c r="AE146" s="1306"/>
      <c r="AF146" s="1778"/>
      <c r="AG146" s="712"/>
      <c r="AH146" s="712"/>
      <c r="AI146" s="712"/>
      <c r="AJ146" s="712"/>
      <c r="AK146" s="1787">
        <v>11</v>
      </c>
    </row>
    <row s="6314" customFormat="1" customHeight="1" ht="11.549999999999999">
      <c r="A147" s="1133"/>
      <c r="B147" s="1782"/>
      <c r="C147" s="1782"/>
      <c r="D147" s="497"/>
      <c r="J147" s="6314"/>
      <c r="K147" s="6314"/>
      <c r="L147" s="6314"/>
      <c r="M147" s="6314"/>
      <c r="N147" s="6314"/>
      <c r="P147" s="1306"/>
      <c r="Q147" s="1782"/>
      <c r="R147" s="1782"/>
      <c r="S147" s="1306"/>
      <c r="T147" s="1306"/>
      <c r="U147" s="1306"/>
      <c r="V147" s="1306"/>
      <c r="W147" s="1782"/>
      <c r="X147" s="1306"/>
      <c r="Y147" s="1306"/>
      <c r="Z147" s="690"/>
      <c r="AA147" s="1306"/>
      <c r="AB147" s="1306"/>
      <c r="AC147" s="1306"/>
      <c r="AD147" s="1306"/>
      <c r="AE147" s="1306"/>
      <c r="AF147" s="1778"/>
      <c r="AG147" s="712"/>
      <c r="AH147" s="712"/>
      <c r="AI147" s="712"/>
      <c r="AJ147" s="712"/>
      <c r="AK147" s="1787">
        <v>11</v>
      </c>
    </row>
    <row s="6314" customFormat="1" customHeight="1" ht="11.549999999999999">
      <c r="A148" s="1133"/>
      <c r="B148" s="1782"/>
      <c r="C148" s="1782"/>
      <c r="D148" s="497"/>
      <c r="J148" s="6314"/>
      <c r="K148" s="6314"/>
      <c r="L148" s="6314"/>
      <c r="M148" s="6314"/>
      <c r="N148" s="6314"/>
      <c r="P148" s="1306"/>
      <c r="Q148" s="1782"/>
      <c r="R148" s="1782"/>
      <c r="S148" s="1306"/>
      <c r="T148" s="1306"/>
      <c r="U148" s="1306"/>
      <c r="V148" s="1306"/>
      <c r="W148" s="1782"/>
      <c r="X148" s="1306"/>
      <c r="Y148" s="1306"/>
      <c r="Z148" s="690"/>
      <c r="AA148" s="1306"/>
      <c r="AB148" s="1306"/>
      <c r="AC148" s="1306"/>
      <c r="AD148" s="1306"/>
      <c r="AE148" s="1306"/>
      <c r="AF148" s="1778"/>
      <c r="AG148" s="712"/>
      <c r="AH148" s="712"/>
      <c r="AI148" s="712"/>
      <c r="AJ148" s="712"/>
      <c r="AK148" s="1787">
        <v>11</v>
      </c>
    </row>
    <row s="6314" customFormat="1" customHeight="1" ht="11.549999999999999">
      <c r="A149" s="1133"/>
      <c r="B149" s="1782"/>
      <c r="C149" s="1782"/>
      <c r="D149" s="497"/>
      <c r="J149" s="6314"/>
      <c r="K149" s="6314"/>
      <c r="L149" s="6314"/>
      <c r="M149" s="6314"/>
      <c r="N149" s="6314"/>
      <c r="P149" s="1306"/>
      <c r="Q149" s="1782"/>
      <c r="R149" s="1782"/>
      <c r="S149" s="1306"/>
      <c r="T149" s="1306"/>
      <c r="U149" s="1306"/>
      <c r="V149" s="1306"/>
      <c r="W149" s="1782"/>
      <c r="X149" s="1306"/>
      <c r="Y149" s="1306"/>
      <c r="Z149" s="690"/>
      <c r="AA149" s="1306"/>
      <c r="AB149" s="1306"/>
      <c r="AC149" s="1306"/>
      <c r="AD149" s="1306"/>
      <c r="AE149" s="1306"/>
      <c r="AF149" s="1778"/>
      <c r="AG149" s="712"/>
      <c r="AH149" s="712"/>
      <c r="AI149" s="712"/>
      <c r="AJ149" s="712"/>
      <c r="AK149" s="1787">
        <v>11</v>
      </c>
    </row>
    <row s="6314" customFormat="1" customHeight="1" ht="11.549999999999999">
      <c r="A150" s="1133"/>
      <c r="B150" s="1782"/>
      <c r="C150" s="1782"/>
      <c r="D150" s="497"/>
      <c r="J150" s="6314"/>
      <c r="K150" s="6314"/>
      <c r="L150" s="6314"/>
      <c r="M150" s="6314"/>
      <c r="N150" s="6314"/>
      <c r="P150" s="1306"/>
      <c r="Q150" s="1782"/>
      <c r="R150" s="1782"/>
      <c r="S150" s="1306"/>
      <c r="T150" s="1306"/>
      <c r="U150" s="1306"/>
      <c r="V150" s="1306"/>
      <c r="W150" s="1782"/>
      <c r="X150" s="1306"/>
      <c r="Y150" s="1306"/>
      <c r="Z150" s="690"/>
      <c r="AA150" s="1306"/>
      <c r="AB150" s="1306"/>
      <c r="AC150" s="1306"/>
      <c r="AD150" s="1306"/>
      <c r="AE150" s="1306"/>
      <c r="AF150" s="1778"/>
      <c r="AG150" s="712"/>
      <c r="AH150" s="712"/>
      <c r="AI150" s="712"/>
      <c r="AJ150" s="712"/>
      <c r="AK150" s="1787">
        <v>11</v>
      </c>
    </row>
    <row s="6314" customFormat="1" customHeight="1" ht="11.549999999999999">
      <c r="A151" s="1133"/>
      <c r="B151" s="1782"/>
      <c r="C151" s="1782"/>
      <c r="D151" s="497"/>
      <c r="J151" s="6314"/>
      <c r="K151" s="6314"/>
      <c r="L151" s="6314"/>
      <c r="M151" s="6314"/>
      <c r="N151" s="6314"/>
      <c r="P151" s="1306"/>
      <c r="Q151" s="1782"/>
      <c r="R151" s="1782"/>
      <c r="S151" s="1306"/>
      <c r="T151" s="1306"/>
      <c r="U151" s="1306"/>
      <c r="V151" s="1306"/>
      <c r="W151" s="1782"/>
      <c r="X151" s="1306"/>
      <c r="Y151" s="1306"/>
      <c r="Z151" s="690"/>
      <c r="AA151" s="1306"/>
      <c r="AB151" s="1306"/>
      <c r="AC151" s="1306"/>
      <c r="AD151" s="1306"/>
      <c r="AE151" s="1306"/>
      <c r="AF151" s="1778"/>
      <c r="AG151" s="712"/>
      <c r="AH151" s="712"/>
      <c r="AI151" s="712"/>
      <c r="AJ151" s="712"/>
      <c r="AK151" s="1787">
        <v>11</v>
      </c>
    </row>
    <row s="6314" customFormat="1" customHeight="1" ht="11.549999999999999">
      <c r="A152" s="1133"/>
      <c r="B152" s="1782"/>
      <c r="C152" s="1782"/>
      <c r="D152" s="497"/>
      <c r="J152" s="6314"/>
      <c r="K152" s="6314"/>
      <c r="L152" s="6314"/>
      <c r="M152" s="6314"/>
      <c r="N152" s="6314"/>
      <c r="P152" s="1306"/>
      <c r="Q152" s="1782"/>
      <c r="R152" s="1782"/>
      <c r="S152" s="1306"/>
      <c r="T152" s="1306"/>
      <c r="U152" s="1306"/>
      <c r="V152" s="1306"/>
      <c r="W152" s="1782"/>
      <c r="X152" s="1306"/>
      <c r="Y152" s="1306"/>
      <c r="Z152" s="690"/>
      <c r="AA152" s="1306"/>
      <c r="AB152" s="1306"/>
      <c r="AC152" s="1306"/>
      <c r="AD152" s="1306"/>
      <c r="AE152" s="1306"/>
      <c r="AF152" s="1778"/>
      <c r="AG152" s="712"/>
      <c r="AH152" s="712"/>
      <c r="AI152" s="712"/>
      <c r="AJ152" s="712"/>
      <c r="AK152" s="1787">
        <v>11</v>
      </c>
    </row>
    <row s="6314" customFormat="1" customHeight="1" ht="11.549999999999999">
      <c r="A153" s="1133"/>
      <c r="B153" s="1782"/>
      <c r="C153" s="1782"/>
      <c r="D153" s="497"/>
      <c r="J153" s="6314"/>
      <c r="K153" s="6314"/>
      <c r="L153" s="6314"/>
      <c r="M153" s="6314"/>
      <c r="N153" s="6314"/>
      <c r="P153" s="1306"/>
      <c r="Q153" s="1782"/>
      <c r="R153" s="1782"/>
      <c r="S153" s="1306"/>
      <c r="T153" s="1306"/>
      <c r="U153" s="1306"/>
      <c r="V153" s="1306"/>
      <c r="W153" s="1782"/>
      <c r="X153" s="1306"/>
      <c r="Y153" s="1306"/>
      <c r="Z153" s="690"/>
      <c r="AA153" s="1306"/>
      <c r="AB153" s="1306"/>
      <c r="AC153" s="1306"/>
      <c r="AD153" s="1306"/>
      <c r="AE153" s="1306"/>
      <c r="AF153" s="1778"/>
      <c r="AG153" s="712"/>
      <c r="AH153" s="712"/>
      <c r="AI153" s="712"/>
      <c r="AJ153" s="712"/>
      <c r="AK153" s="1787">
        <v>11</v>
      </c>
    </row>
    <row s="6314" customFormat="1" customHeight="1" ht="11.549999999999999">
      <c r="A154" s="1133"/>
      <c r="B154" s="1782"/>
      <c r="C154" s="1782"/>
      <c r="D154" s="497"/>
      <c r="J154" s="6314"/>
      <c r="K154" s="6314"/>
      <c r="L154" s="6314"/>
      <c r="M154" s="6314"/>
      <c r="N154" s="6314"/>
      <c r="P154" s="1306"/>
      <c r="Q154" s="1782"/>
      <c r="R154" s="1782"/>
      <c r="S154" s="1306"/>
      <c r="T154" s="1306"/>
      <c r="U154" s="1306"/>
      <c r="V154" s="1306"/>
      <c r="W154" s="1782"/>
      <c r="X154" s="1306"/>
      <c r="Y154" s="1306"/>
      <c r="Z154" s="690"/>
      <c r="AA154" s="1306"/>
      <c r="AB154" s="1306"/>
      <c r="AC154" s="1306"/>
      <c r="AD154" s="1306"/>
      <c r="AE154" s="1306"/>
      <c r="AF154" s="1778"/>
      <c r="AG154" s="712"/>
      <c r="AH154" s="712"/>
      <c r="AI154" s="712"/>
      <c r="AJ154" s="712"/>
      <c r="AK154" s="1787">
        <v>11</v>
      </c>
    </row>
    <row s="6314" customFormat="1" customHeight="1" ht="11.549999999999999">
      <c r="A155" s="1133"/>
      <c r="B155" s="1782"/>
      <c r="C155" s="1782"/>
      <c r="D155" s="497"/>
      <c r="J155" s="6314"/>
      <c r="K155" s="6314"/>
      <c r="L155" s="6314"/>
      <c r="M155" s="6314"/>
      <c r="N155" s="6314"/>
      <c r="P155" s="1306"/>
      <c r="Q155" s="1782"/>
      <c r="R155" s="1782"/>
      <c r="S155" s="1306"/>
      <c r="T155" s="1306"/>
      <c r="U155" s="1306"/>
      <c r="V155" s="1306"/>
      <c r="W155" s="1782"/>
      <c r="X155" s="1306"/>
      <c r="Y155" s="1306"/>
      <c r="Z155" s="690"/>
      <c r="AA155" s="1306"/>
      <c r="AB155" s="1306"/>
      <c r="AC155" s="1306"/>
      <c r="AD155" s="1306"/>
      <c r="AE155" s="1306"/>
      <c r="AF155" s="1778"/>
      <c r="AG155" s="712"/>
      <c r="AH155" s="712"/>
      <c r="AI155" s="712"/>
      <c r="AJ155" s="712"/>
      <c r="AK155" s="1787">
        <v>11</v>
      </c>
    </row>
    <row s="6314" customFormat="1" customHeight="1" ht="11.549999999999999">
      <c r="A156" s="1133"/>
      <c r="B156" s="1782"/>
      <c r="C156" s="1782"/>
      <c r="D156" s="497"/>
      <c r="J156" s="6314"/>
      <c r="K156" s="6314"/>
      <c r="L156" s="6314"/>
      <c r="M156" s="6314"/>
      <c r="N156" s="6314"/>
      <c r="P156" s="1306"/>
      <c r="Q156" s="1782"/>
      <c r="R156" s="1782"/>
      <c r="S156" s="1306"/>
      <c r="T156" s="1306"/>
      <c r="U156" s="1306"/>
      <c r="V156" s="1306"/>
      <c r="W156" s="1782"/>
      <c r="X156" s="1306"/>
      <c r="Y156" s="1306"/>
      <c r="Z156" s="690"/>
      <c r="AA156" s="1306"/>
      <c r="AB156" s="1306"/>
      <c r="AC156" s="1306"/>
      <c r="AD156" s="1306"/>
      <c r="AE156" s="1306"/>
      <c r="AF156" s="1778"/>
      <c r="AG156" s="712"/>
      <c r="AH156" s="712"/>
      <c r="AI156" s="712"/>
      <c r="AJ156" s="712"/>
      <c r="AK156" s="1787">
        <v>11</v>
      </c>
    </row>
    <row s="6314" customFormat="1" customHeight="1" ht="11.549999999999999">
      <c r="A157" s="1133"/>
      <c r="B157" s="1782"/>
      <c r="C157" s="1782"/>
      <c r="D157" s="497"/>
      <c r="J157" s="6314"/>
      <c r="K157" s="6314"/>
      <c r="L157" s="6314"/>
      <c r="M157" s="6314"/>
      <c r="N157" s="6314"/>
      <c r="P157" s="1306"/>
      <c r="Q157" s="1782"/>
      <c r="R157" s="1782"/>
      <c r="S157" s="1306"/>
      <c r="T157" s="1306"/>
      <c r="U157" s="1306"/>
      <c r="V157" s="1306"/>
      <c r="W157" s="1782"/>
      <c r="X157" s="1306"/>
      <c r="Y157" s="1306"/>
      <c r="Z157" s="690"/>
      <c r="AA157" s="1306"/>
      <c r="AB157" s="1306"/>
      <c r="AC157" s="1306"/>
      <c r="AD157" s="1306"/>
      <c r="AE157" s="1306"/>
      <c r="AF157" s="1778"/>
      <c r="AG157" s="712"/>
      <c r="AH157" s="712"/>
      <c r="AI157" s="712"/>
      <c r="AJ157" s="712"/>
      <c r="AK157" s="1787">
        <v>11</v>
      </c>
    </row>
    <row s="6314" customFormat="1" customHeight="1" ht="11.549999999999999">
      <c r="A158" s="1133"/>
      <c r="B158" s="1782"/>
      <c r="C158" s="1782"/>
      <c r="D158" s="497"/>
      <c r="J158" s="6314"/>
      <c r="K158" s="6314"/>
      <c r="L158" s="6314"/>
      <c r="M158" s="6314"/>
      <c r="N158" s="6314"/>
      <c r="P158" s="1306"/>
      <c r="Q158" s="1782"/>
      <c r="R158" s="1782"/>
      <c r="S158" s="1306"/>
      <c r="T158" s="1306"/>
      <c r="U158" s="1306"/>
      <c r="V158" s="1306"/>
      <c r="W158" s="1782"/>
      <c r="X158" s="1306"/>
      <c r="Y158" s="1306"/>
      <c r="Z158" s="690"/>
      <c r="AA158" s="1306"/>
      <c r="AB158" s="1306"/>
      <c r="AC158" s="1306"/>
      <c r="AD158" s="1306"/>
      <c r="AE158" s="1306"/>
      <c r="AF158" s="1778"/>
      <c r="AG158" s="712"/>
      <c r="AH158" s="712"/>
      <c r="AI158" s="712"/>
      <c r="AJ158" s="712"/>
      <c r="AK158" s="1787">
        <v>11</v>
      </c>
    </row>
    <row s="6314" customFormat="1" customHeight="1" ht="11.549999999999999">
      <c r="A159" s="1133"/>
      <c r="B159" s="1782"/>
      <c r="C159" s="1782"/>
      <c r="D159" s="497"/>
      <c r="J159" s="6314"/>
      <c r="K159" s="6314"/>
      <c r="L159" s="6314"/>
      <c r="M159" s="6314"/>
      <c r="N159" s="6314"/>
      <c r="P159" s="1306"/>
      <c r="Q159" s="1782"/>
      <c r="R159" s="1782"/>
      <c r="S159" s="1306"/>
      <c r="T159" s="1306"/>
      <c r="U159" s="1306"/>
      <c r="V159" s="1306"/>
      <c r="W159" s="1782"/>
      <c r="X159" s="1306"/>
      <c r="Y159" s="1306"/>
      <c r="Z159" s="690"/>
      <c r="AA159" s="1306"/>
      <c r="AB159" s="1306"/>
      <c r="AC159" s="1306"/>
      <c r="AD159" s="1306"/>
      <c r="AE159" s="1306"/>
      <c r="AF159" s="1778"/>
      <c r="AG159" s="712"/>
      <c r="AH159" s="712"/>
      <c r="AI159" s="712"/>
      <c r="AJ159" s="712"/>
      <c r="AK159" s="1787">
        <v>11</v>
      </c>
    </row>
    <row s="6314" customFormat="1" customHeight="1" ht="11.549999999999999">
      <c r="A160" s="1133"/>
      <c r="B160" s="1782"/>
      <c r="C160" s="1782"/>
      <c r="D160" s="497"/>
      <c r="J160" s="6314"/>
      <c r="K160" s="6314"/>
      <c r="L160" s="6314"/>
      <c r="M160" s="6314"/>
      <c r="N160" s="6314"/>
      <c r="P160" s="1306"/>
      <c r="Q160" s="1782"/>
      <c r="R160" s="1782"/>
      <c r="S160" s="1306"/>
      <c r="T160" s="1306"/>
      <c r="U160" s="1306"/>
      <c r="V160" s="1306"/>
      <c r="W160" s="1782"/>
      <c r="X160" s="1306"/>
      <c r="Y160" s="1306"/>
      <c r="Z160" s="690"/>
      <c r="AA160" s="1306"/>
      <c r="AB160" s="1306"/>
      <c r="AC160" s="1306"/>
      <c r="AD160" s="1306"/>
      <c r="AE160" s="1306"/>
      <c r="AF160" s="1778"/>
      <c r="AG160" s="712"/>
      <c r="AH160" s="712"/>
      <c r="AI160" s="712"/>
      <c r="AJ160" s="712"/>
      <c r="AK160" s="1787">
        <v>11</v>
      </c>
    </row>
    <row s="6314" customFormat="1" customHeight="1" ht="11.549999999999999">
      <c r="A161" s="1133"/>
      <c r="B161" s="1782"/>
      <c r="C161" s="1782"/>
      <c r="D161" s="497"/>
      <c r="J161" s="6314"/>
      <c r="K161" s="6314"/>
      <c r="L161" s="6314"/>
      <c r="M161" s="6314"/>
      <c r="N161" s="6314"/>
      <c r="P161" s="1306"/>
      <c r="Q161" s="1782"/>
      <c r="R161" s="1782"/>
      <c r="S161" s="1306"/>
      <c r="T161" s="1306"/>
      <c r="U161" s="1306"/>
      <c r="V161" s="1306"/>
      <c r="W161" s="1782"/>
      <c r="X161" s="1306"/>
      <c r="Y161" s="1306"/>
      <c r="Z161" s="690"/>
      <c r="AA161" s="1306"/>
      <c r="AB161" s="1306"/>
      <c r="AC161" s="1306"/>
      <c r="AD161" s="1306"/>
      <c r="AE161" s="1306"/>
      <c r="AF161" s="1778"/>
      <c r="AG161" s="712"/>
      <c r="AH161" s="712"/>
      <c r="AI161" s="712"/>
      <c r="AJ161" s="712"/>
      <c r="AK161" s="1787">
        <v>11</v>
      </c>
    </row>
    <row s="6314" customFormat="1" customHeight="1" ht="11.549999999999999">
      <c r="A162" s="1133"/>
      <c r="B162" s="1782"/>
      <c r="C162" s="1782"/>
      <c r="D162" s="497"/>
      <c r="J162" s="6314"/>
      <c r="K162" s="6314"/>
      <c r="L162" s="6314"/>
      <c r="M162" s="6314"/>
      <c r="N162" s="6314"/>
      <c r="P162" s="1306"/>
      <c r="Q162" s="1782"/>
      <c r="R162" s="1782"/>
      <c r="S162" s="1306"/>
      <c r="T162" s="1306"/>
      <c r="U162" s="1306"/>
      <c r="V162" s="1306"/>
      <c r="W162" s="1782"/>
      <c r="X162" s="1306"/>
      <c r="Y162" s="1306"/>
      <c r="Z162" s="690"/>
      <c r="AA162" s="1306"/>
      <c r="AB162" s="1306"/>
      <c r="AC162" s="1306"/>
      <c r="AD162" s="1306"/>
      <c r="AE162" s="1306"/>
      <c r="AF162" s="1778"/>
      <c r="AG162" s="712"/>
      <c r="AH162" s="712"/>
      <c r="AI162" s="712"/>
      <c r="AJ162" s="712"/>
      <c r="AK162" s="1787">
        <v>11</v>
      </c>
    </row>
    <row s="6314" customFormat="1" customHeight="1" ht="11.549999999999999">
      <c r="A163" s="1133"/>
      <c r="B163" s="1782"/>
      <c r="C163" s="1782"/>
      <c r="D163" s="497"/>
      <c r="J163" s="6314"/>
      <c r="K163" s="6314"/>
      <c r="L163" s="6314"/>
      <c r="M163" s="6314"/>
      <c r="N163" s="6314"/>
      <c r="P163" s="1306"/>
      <c r="Q163" s="1782"/>
      <c r="R163" s="1782"/>
      <c r="S163" s="1306"/>
      <c r="T163" s="1306"/>
      <c r="U163" s="1306"/>
      <c r="V163" s="1306"/>
      <c r="W163" s="1782"/>
      <c r="X163" s="1306"/>
      <c r="Y163" s="1306"/>
      <c r="Z163" s="690"/>
      <c r="AA163" s="1306"/>
      <c r="AB163" s="1306"/>
      <c r="AC163" s="1306"/>
      <c r="AD163" s="1306"/>
      <c r="AE163" s="1306"/>
      <c r="AF163" s="1778"/>
      <c r="AG163" s="712"/>
      <c r="AH163" s="712"/>
      <c r="AI163" s="712"/>
      <c r="AJ163" s="712"/>
      <c r="AK163" s="1787">
        <v>11</v>
      </c>
    </row>
    <row s="6314" customFormat="1" customHeight="1" ht="11.549999999999999">
      <c r="A164" s="1133"/>
      <c r="B164" s="1782"/>
      <c r="C164" s="1782"/>
      <c r="D164" s="497"/>
      <c r="J164" s="6314"/>
      <c r="K164" s="6314"/>
      <c r="L164" s="6314"/>
      <c r="M164" s="6314"/>
      <c r="N164" s="6314"/>
      <c r="P164" s="1306"/>
      <c r="Q164" s="1782"/>
      <c r="R164" s="1782"/>
      <c r="S164" s="1306"/>
      <c r="T164" s="1306"/>
      <c r="U164" s="1306"/>
      <c r="V164" s="1306"/>
      <c r="W164" s="1782"/>
      <c r="X164" s="1306"/>
      <c r="Y164" s="1306"/>
      <c r="Z164" s="690"/>
      <c r="AA164" s="1306"/>
      <c r="AB164" s="1306"/>
      <c r="AC164" s="1306"/>
      <c r="AD164" s="1306"/>
      <c r="AE164" s="1306"/>
      <c r="AF164" s="1778"/>
      <c r="AG164" s="712"/>
      <c r="AH164" s="712"/>
      <c r="AI164" s="712"/>
      <c r="AJ164" s="712"/>
      <c r="AK164" s="1787">
        <v>11</v>
      </c>
    </row>
    <row s="6314" customFormat="1" customHeight="1" ht="11.549999999999999">
      <c r="A165" s="1133"/>
      <c r="B165" s="1782"/>
      <c r="C165" s="1782"/>
      <c r="D165" s="497"/>
      <c r="J165" s="6314"/>
      <c r="K165" s="6314"/>
      <c r="L165" s="6314"/>
      <c r="M165" s="6314"/>
      <c r="N165" s="6314"/>
      <c r="P165" s="1306"/>
      <c r="Q165" s="1782"/>
      <c r="R165" s="1782"/>
      <c r="S165" s="1306"/>
      <c r="T165" s="1306"/>
      <c r="U165" s="1306"/>
      <c r="V165" s="1306"/>
      <c r="W165" s="1782"/>
      <c r="X165" s="1306"/>
      <c r="Y165" s="1306"/>
      <c r="Z165" s="690"/>
      <c r="AA165" s="1306"/>
      <c r="AB165" s="1306"/>
      <c r="AC165" s="1306"/>
      <c r="AD165" s="1306"/>
      <c r="AE165" s="1306"/>
      <c r="AF165" s="1778"/>
      <c r="AG165" s="712"/>
      <c r="AH165" s="712"/>
      <c r="AI165" s="712"/>
      <c r="AJ165" s="712"/>
      <c r="AK165" s="1787">
        <v>11</v>
      </c>
    </row>
    <row s="6314" customFormat="1" customHeight="1" ht="11.549999999999999">
      <c r="A166" s="1133"/>
      <c r="B166" s="1782"/>
      <c r="C166" s="1782"/>
      <c r="D166" s="497"/>
      <c r="J166" s="6314"/>
      <c r="K166" s="6314"/>
      <c r="L166" s="6314"/>
      <c r="M166" s="6314"/>
      <c r="N166" s="6314"/>
      <c r="P166" s="1306"/>
      <c r="Q166" s="1782"/>
      <c r="R166" s="1782"/>
      <c r="S166" s="1306"/>
      <c r="T166" s="1306"/>
      <c r="U166" s="1306"/>
      <c r="V166" s="1306"/>
      <c r="W166" s="1782"/>
      <c r="X166" s="1306"/>
      <c r="Y166" s="1306"/>
      <c r="Z166" s="690"/>
      <c r="AA166" s="1306"/>
      <c r="AB166" s="1306"/>
      <c r="AC166" s="1306"/>
      <c r="AD166" s="1306"/>
      <c r="AE166" s="1306"/>
      <c r="AF166" s="1778"/>
      <c r="AG166" s="712"/>
      <c r="AH166" s="712"/>
      <c r="AI166" s="712"/>
      <c r="AJ166" s="712"/>
      <c r="AK166" s="1787">
        <v>11</v>
      </c>
    </row>
    <row s="6314" customFormat="1" customHeight="1" ht="11.549999999999999">
      <c r="A167" s="1133"/>
      <c r="B167" s="1782"/>
      <c r="C167" s="1782"/>
      <c r="D167" s="497"/>
      <c r="J167" s="6314"/>
      <c r="K167" s="6314"/>
      <c r="L167" s="6314"/>
      <c r="M167" s="6314"/>
      <c r="N167" s="6314"/>
      <c r="P167" s="1306"/>
      <c r="Q167" s="1782"/>
      <c r="R167" s="1782"/>
      <c r="S167" s="1306"/>
      <c r="T167" s="1306"/>
      <c r="U167" s="1306"/>
      <c r="V167" s="1306"/>
      <c r="W167" s="1782"/>
      <c r="X167" s="1306"/>
      <c r="Y167" s="1306"/>
      <c r="Z167" s="690"/>
      <c r="AA167" s="1306"/>
      <c r="AB167" s="1306"/>
      <c r="AC167" s="1306"/>
      <c r="AD167" s="1306"/>
      <c r="AE167" s="1306"/>
      <c r="AF167" s="1778"/>
      <c r="AG167" s="712"/>
      <c r="AH167" s="712"/>
      <c r="AI167" s="712"/>
      <c r="AJ167" s="712"/>
      <c r="AK167" s="1787">
        <v>11</v>
      </c>
    </row>
    <row s="6314" customFormat="1" customHeight="1" ht="11.549999999999999">
      <c r="A168" s="1133"/>
      <c r="B168" s="1782"/>
      <c r="C168" s="1782"/>
      <c r="D168" s="497"/>
      <c r="J168" s="6314"/>
      <c r="K168" s="6314"/>
      <c r="L168" s="6314"/>
      <c r="M168" s="6314"/>
      <c r="N168" s="6314"/>
      <c r="P168" s="1306"/>
      <c r="Q168" s="1782"/>
      <c r="R168" s="1782"/>
      <c r="S168" s="1306"/>
      <c r="T168" s="1306"/>
      <c r="U168" s="1306"/>
      <c r="V168" s="1306"/>
      <c r="W168" s="1782"/>
      <c r="X168" s="1306"/>
      <c r="Y168" s="1306"/>
      <c r="Z168" s="690"/>
      <c r="AA168" s="1306"/>
      <c r="AB168" s="1306"/>
      <c r="AC168" s="1306"/>
      <c r="AD168" s="1306"/>
      <c r="AE168" s="1306"/>
      <c r="AF168" s="1778"/>
      <c r="AG168" s="712"/>
      <c r="AH168" s="712"/>
      <c r="AI168" s="712"/>
      <c r="AJ168" s="712"/>
      <c r="AK168" s="1787">
        <v>11</v>
      </c>
    </row>
    <row s="6314" customFormat="1" customHeight="1" ht="11.549999999999999">
      <c r="A169" s="1133"/>
      <c r="B169" s="1782"/>
      <c r="C169" s="1782"/>
      <c r="D169" s="497"/>
      <c r="J169" s="6314"/>
      <c r="K169" s="6314"/>
      <c r="L169" s="6314"/>
      <c r="M169" s="6314"/>
      <c r="N169" s="6314"/>
      <c r="P169" s="1306"/>
      <c r="Q169" s="1782"/>
      <c r="R169" s="1782"/>
      <c r="S169" s="1306"/>
      <c r="T169" s="1306"/>
      <c r="U169" s="1306"/>
      <c r="V169" s="1306"/>
      <c r="W169" s="1782"/>
      <c r="X169" s="1306"/>
      <c r="Y169" s="1306"/>
      <c r="Z169" s="690"/>
      <c r="AA169" s="1306"/>
      <c r="AB169" s="1306"/>
      <c r="AC169" s="1306"/>
      <c r="AD169" s="1306"/>
      <c r="AE169" s="1306"/>
      <c r="AF169" s="1778"/>
      <c r="AG169" s="712"/>
      <c r="AH169" s="712"/>
      <c r="AI169" s="712"/>
      <c r="AJ169" s="712"/>
      <c r="AK169" s="1787">
        <v>11</v>
      </c>
    </row>
    <row s="6314" customFormat="1" customHeight="1" ht="11.549999999999999">
      <c r="A170" s="1133"/>
      <c r="B170" s="1782"/>
      <c r="C170" s="1782"/>
      <c r="D170" s="497"/>
      <c r="J170" s="6314"/>
      <c r="K170" s="6314"/>
      <c r="L170" s="6314"/>
      <c r="M170" s="6314"/>
      <c r="N170" s="6314"/>
      <c r="P170" s="1306"/>
      <c r="Q170" s="1782"/>
      <c r="R170" s="1782"/>
      <c r="S170" s="1306"/>
      <c r="T170" s="1306"/>
      <c r="U170" s="1306"/>
      <c r="V170" s="1306"/>
      <c r="W170" s="1782"/>
      <c r="X170" s="1306"/>
      <c r="Y170" s="1306"/>
      <c r="Z170" s="690"/>
      <c r="AA170" s="1306"/>
      <c r="AB170" s="1306"/>
      <c r="AC170" s="1306"/>
      <c r="AD170" s="1306"/>
      <c r="AE170" s="1306"/>
      <c r="AF170" s="1778"/>
      <c r="AG170" s="712"/>
      <c r="AH170" s="712"/>
      <c r="AI170" s="712"/>
      <c r="AJ170" s="712"/>
      <c r="AK170" s="1787">
        <v>11</v>
      </c>
    </row>
    <row s="6314" customFormat="1" customHeight="1" ht="11.549999999999999">
      <c r="A171" s="1133"/>
      <c r="B171" s="1782"/>
      <c r="C171" s="1782"/>
      <c r="D171" s="497"/>
      <c r="J171" s="6314"/>
      <c r="K171" s="6314"/>
      <c r="L171" s="6314"/>
      <c r="M171" s="6314"/>
      <c r="N171" s="6314"/>
      <c r="P171" s="1306"/>
      <c r="Q171" s="1782"/>
      <c r="R171" s="1782"/>
      <c r="S171" s="1306"/>
      <c r="T171" s="1306"/>
      <c r="U171" s="1306"/>
      <c r="V171" s="1306"/>
      <c r="W171" s="1782"/>
      <c r="X171" s="1306"/>
      <c r="Y171" s="1306"/>
      <c r="Z171" s="690"/>
      <c r="AA171" s="1306"/>
      <c r="AB171" s="1306"/>
      <c r="AC171" s="1306"/>
      <c r="AD171" s="1306"/>
      <c r="AE171" s="1306"/>
      <c r="AF171" s="1778"/>
      <c r="AG171" s="712"/>
      <c r="AH171" s="712"/>
      <c r="AI171" s="712"/>
      <c r="AJ171" s="712"/>
      <c r="AK171" s="1787">
        <v>11</v>
      </c>
    </row>
    <row s="6314" customFormat="1" customHeight="1" ht="11.549999999999999">
      <c r="A172" s="1133"/>
      <c r="B172" s="1782"/>
      <c r="C172" s="1782"/>
      <c r="D172" s="497"/>
      <c r="J172" s="6314"/>
      <c r="K172" s="6314"/>
      <c r="L172" s="6314"/>
      <c r="M172" s="6314"/>
      <c r="N172" s="6314"/>
      <c r="P172" s="1306"/>
      <c r="Q172" s="1782"/>
      <c r="R172" s="1782"/>
      <c r="S172" s="1306"/>
      <c r="T172" s="1306"/>
      <c r="U172" s="1306"/>
      <c r="V172" s="1306"/>
      <c r="W172" s="1782"/>
      <c r="X172" s="1306"/>
      <c r="Y172" s="1306"/>
      <c r="Z172" s="690"/>
      <c r="AA172" s="1306"/>
      <c r="AB172" s="1306"/>
      <c r="AC172" s="1306"/>
      <c r="AD172" s="1306"/>
      <c r="AE172" s="1306"/>
      <c r="AF172" s="1778"/>
      <c r="AG172" s="712"/>
      <c r="AH172" s="712"/>
      <c r="AI172" s="712"/>
      <c r="AJ172" s="712"/>
      <c r="AK172" s="1787">
        <v>11</v>
      </c>
    </row>
    <row s="6314" customFormat="1" customHeight="1" ht="11.549999999999999">
      <c r="A173" s="1133"/>
      <c r="B173" s="1782"/>
      <c r="C173" s="1782"/>
      <c r="D173" s="497"/>
      <c r="J173" s="6314"/>
      <c r="K173" s="6314"/>
      <c r="L173" s="6314"/>
      <c r="M173" s="6314"/>
      <c r="N173" s="6314"/>
      <c r="P173" s="1306"/>
      <c r="Q173" s="1782"/>
      <c r="R173" s="1782"/>
      <c r="S173" s="1306"/>
      <c r="T173" s="1306"/>
      <c r="U173" s="1306"/>
      <c r="V173" s="1306"/>
      <c r="W173" s="1782"/>
      <c r="X173" s="1306"/>
      <c r="Y173" s="1306"/>
      <c r="Z173" s="690"/>
      <c r="AA173" s="1306"/>
      <c r="AB173" s="1306"/>
      <c r="AC173" s="1306"/>
      <c r="AD173" s="1306"/>
      <c r="AE173" s="1306"/>
      <c r="AF173" s="1778"/>
      <c r="AG173" s="712"/>
      <c r="AH173" s="712"/>
      <c r="AI173" s="712"/>
      <c r="AJ173" s="712"/>
      <c r="AK173" s="1787">
        <v>11</v>
      </c>
    </row>
    <row s="6314" customFormat="1" customHeight="1" ht="11.549999999999999">
      <c r="A174" s="1133"/>
      <c r="B174" s="1782"/>
      <c r="C174" s="1782"/>
      <c r="D174" s="497"/>
      <c r="J174" s="6314"/>
      <c r="K174" s="6314"/>
      <c r="L174" s="6314"/>
      <c r="M174" s="6314"/>
      <c r="N174" s="6314"/>
      <c r="P174" s="1306"/>
      <c r="Q174" s="1782"/>
      <c r="R174" s="1782"/>
      <c r="S174" s="1306"/>
      <c r="T174" s="1306"/>
      <c r="U174" s="1306"/>
      <c r="V174" s="1306"/>
      <c r="W174" s="1782"/>
      <c r="X174" s="1306"/>
      <c r="Y174" s="1306"/>
      <c r="Z174" s="690"/>
      <c r="AA174" s="1306"/>
      <c r="AB174" s="1306"/>
      <c r="AC174" s="1306"/>
      <c r="AD174" s="1306"/>
      <c r="AE174" s="1306"/>
      <c r="AF174" s="1778"/>
      <c r="AG174" s="712"/>
      <c r="AH174" s="712"/>
      <c r="AI174" s="712"/>
      <c r="AJ174" s="712"/>
      <c r="AK174" s="1787">
        <v>11</v>
      </c>
    </row>
    <row s="6314" customFormat="1" customHeight="1" ht="11.549999999999999">
      <c r="A175" s="1133"/>
      <c r="B175" s="1782"/>
      <c r="C175" s="1782"/>
      <c r="D175" s="497"/>
      <c r="J175" s="6314"/>
      <c r="K175" s="6314"/>
      <c r="L175" s="6314"/>
      <c r="M175" s="6314"/>
      <c r="N175" s="6314"/>
      <c r="P175" s="1306"/>
      <c r="Q175" s="1782"/>
      <c r="R175" s="1782"/>
      <c r="S175" s="1306"/>
      <c r="T175" s="1306"/>
      <c r="U175" s="1306"/>
      <c r="V175" s="1306"/>
      <c r="W175" s="1782"/>
      <c r="X175" s="1306"/>
      <c r="Y175" s="1306"/>
      <c r="Z175" s="690"/>
      <c r="AA175" s="1306"/>
      <c r="AB175" s="1306"/>
      <c r="AC175" s="1306"/>
      <c r="AD175" s="1306"/>
      <c r="AE175" s="1306"/>
      <c r="AF175" s="1778"/>
      <c r="AG175" s="712"/>
      <c r="AH175" s="712"/>
      <c r="AI175" s="712"/>
      <c r="AJ175" s="712"/>
      <c r="AK175" s="1787">
        <v>11</v>
      </c>
    </row>
    <row s="6314" customFormat="1" customHeight="1" ht="11.549999999999999">
      <c r="A176" s="1133"/>
      <c r="B176" s="1782"/>
      <c r="C176" s="1782"/>
      <c r="D176" s="497"/>
      <c r="J176" s="6314"/>
      <c r="K176" s="6314"/>
      <c r="L176" s="6314"/>
      <c r="M176" s="6314"/>
      <c r="N176" s="6314"/>
      <c r="P176" s="1306"/>
      <c r="Q176" s="1782"/>
      <c r="R176" s="1782"/>
      <c r="S176" s="1306"/>
      <c r="T176" s="1306"/>
      <c r="U176" s="1306"/>
      <c r="V176" s="1306"/>
      <c r="W176" s="1782"/>
      <c r="X176" s="1306"/>
      <c r="Y176" s="1306"/>
      <c r="Z176" s="690"/>
      <c r="AA176" s="1306"/>
      <c r="AB176" s="1306"/>
      <c r="AC176" s="1306"/>
      <c r="AD176" s="1306"/>
      <c r="AE176" s="1306"/>
      <c r="AF176" s="1778"/>
      <c r="AG176" s="712"/>
      <c r="AH176" s="712"/>
      <c r="AI176" s="712"/>
      <c r="AJ176" s="712"/>
      <c r="AK176" s="1787">
        <v>11</v>
      </c>
    </row>
    <row s="6314" customFormat="1" customHeight="1" ht="11.549999999999999">
      <c r="A177" s="1133"/>
      <c r="B177" s="1782"/>
      <c r="C177" s="1782"/>
      <c r="D177" s="497"/>
      <c r="J177" s="6314"/>
      <c r="K177" s="6314"/>
      <c r="L177" s="6314"/>
      <c r="M177" s="6314"/>
      <c r="N177" s="6314"/>
      <c r="P177" s="1306"/>
      <c r="Q177" s="1782"/>
      <c r="R177" s="1782"/>
      <c r="S177" s="1306"/>
      <c r="T177" s="1306"/>
      <c r="U177" s="1306"/>
      <c r="V177" s="1306"/>
      <c r="W177" s="1782"/>
      <c r="X177" s="1306"/>
      <c r="Y177" s="1306"/>
      <c r="Z177" s="690"/>
      <c r="AA177" s="1306"/>
      <c r="AB177" s="1306"/>
      <c r="AC177" s="1306"/>
      <c r="AD177" s="1306"/>
      <c r="AE177" s="1306"/>
      <c r="AF177" s="1778"/>
      <c r="AG177" s="712"/>
      <c r="AH177" s="712"/>
      <c r="AI177" s="712"/>
      <c r="AJ177" s="712"/>
      <c r="AK177" s="1787">
        <v>11</v>
      </c>
    </row>
    <row s="6314" customFormat="1" customHeight="1" ht="11.549999999999999">
      <c r="A178" s="1133"/>
      <c r="B178" s="1782"/>
      <c r="C178" s="1782"/>
      <c r="D178" s="497"/>
      <c r="J178" s="6314"/>
      <c r="K178" s="6314"/>
      <c r="L178" s="6314"/>
      <c r="M178" s="6314"/>
      <c r="N178" s="6314"/>
      <c r="P178" s="1306"/>
      <c r="Q178" s="1782"/>
      <c r="R178" s="1782"/>
      <c r="S178" s="1306"/>
      <c r="T178" s="1306"/>
      <c r="U178" s="1306"/>
      <c r="V178" s="1306"/>
      <c r="W178" s="1782"/>
      <c r="X178" s="1306"/>
      <c r="Y178" s="1306"/>
      <c r="Z178" s="690"/>
      <c r="AA178" s="1306"/>
      <c r="AB178" s="1306"/>
      <c r="AC178" s="1306"/>
      <c r="AD178" s="1306"/>
      <c r="AE178" s="1306"/>
      <c r="AF178" s="1778"/>
      <c r="AG178" s="712"/>
      <c r="AH178" s="712"/>
      <c r="AI178" s="712"/>
      <c r="AJ178" s="712"/>
      <c r="AK178" s="1787">
        <v>11</v>
      </c>
    </row>
    <row s="6314" customFormat="1" customHeight="1" ht="11.549999999999999">
      <c r="A179" s="1133"/>
      <c r="B179" s="1782"/>
      <c r="C179" s="1782"/>
      <c r="D179" s="497"/>
      <c r="J179" s="6314"/>
      <c r="K179" s="6314"/>
      <c r="L179" s="6314"/>
      <c r="M179" s="6314"/>
      <c r="N179" s="6314"/>
      <c r="P179" s="1306"/>
      <c r="Q179" s="1782"/>
      <c r="R179" s="1782"/>
      <c r="S179" s="1306"/>
      <c r="T179" s="1306"/>
      <c r="U179" s="1306"/>
      <c r="V179" s="1306"/>
      <c r="W179" s="1782"/>
      <c r="X179" s="1306"/>
      <c r="Y179" s="1306"/>
      <c r="Z179" s="690"/>
      <c r="AA179" s="1306"/>
      <c r="AB179" s="1306"/>
      <c r="AC179" s="1306"/>
      <c r="AD179" s="1306"/>
      <c r="AE179" s="1306"/>
      <c r="AF179" s="1778"/>
      <c r="AG179" s="712"/>
      <c r="AH179" s="712"/>
      <c r="AI179" s="712"/>
      <c r="AJ179" s="712"/>
      <c r="AK179" s="1787">
        <v>11</v>
      </c>
    </row>
    <row s="6314" customFormat="1" customHeight="1" ht="11.549999999999999">
      <c r="A180" s="1133"/>
      <c r="B180" s="1782"/>
      <c r="C180" s="1782"/>
      <c r="D180" s="497"/>
      <c r="J180" s="6314"/>
      <c r="K180" s="6314"/>
      <c r="L180" s="6314"/>
      <c r="M180" s="6314"/>
      <c r="N180" s="6314"/>
      <c r="P180" s="1306"/>
      <c r="Q180" s="1782"/>
      <c r="R180" s="1782"/>
      <c r="S180" s="1306"/>
      <c r="T180" s="1306"/>
      <c r="U180" s="1306"/>
      <c r="V180" s="1306"/>
      <c r="W180" s="1782"/>
      <c r="X180" s="1306"/>
      <c r="Y180" s="1306"/>
      <c r="Z180" s="690"/>
      <c r="AA180" s="1306"/>
      <c r="AB180" s="1306"/>
      <c r="AC180" s="1306"/>
      <c r="AD180" s="1306"/>
      <c r="AE180" s="1306"/>
      <c r="AF180" s="1778"/>
      <c r="AG180" s="712"/>
      <c r="AH180" s="712"/>
      <c r="AI180" s="712"/>
      <c r="AJ180" s="712"/>
      <c r="AK180" s="1787">
        <v>11</v>
      </c>
    </row>
    <row s="6314" customFormat="1" customHeight="1" ht="11.549999999999999">
      <c r="A181" s="1133"/>
      <c r="B181" s="1782"/>
      <c r="C181" s="1782"/>
      <c r="D181" s="497"/>
      <c r="J181" s="6314"/>
      <c r="K181" s="6314"/>
      <c r="L181" s="6314"/>
      <c r="M181" s="6314"/>
      <c r="N181" s="6314"/>
      <c r="P181" s="1306"/>
      <c r="Q181" s="1782"/>
      <c r="R181" s="1782"/>
      <c r="S181" s="1306"/>
      <c r="T181" s="1306"/>
      <c r="U181" s="1306"/>
      <c r="V181" s="1306"/>
      <c r="W181" s="1782"/>
      <c r="X181" s="1306"/>
      <c r="Y181" s="1306"/>
      <c r="Z181" s="690"/>
      <c r="AA181" s="1306"/>
      <c r="AB181" s="1306"/>
      <c r="AC181" s="1306"/>
      <c r="AD181" s="1306"/>
      <c r="AE181" s="1306"/>
      <c r="AF181" s="1778"/>
      <c r="AG181" s="712"/>
      <c r="AH181" s="712"/>
      <c r="AI181" s="712"/>
      <c r="AJ181" s="712"/>
      <c r="AK181" s="1787">
        <v>11</v>
      </c>
    </row>
    <row s="6314" customFormat="1" customHeight="1" ht="11.549999999999999">
      <c r="A182" s="1133"/>
      <c r="B182" s="1782"/>
      <c r="C182" s="1782"/>
      <c r="D182" s="497"/>
      <c r="J182" s="6314"/>
      <c r="K182" s="6314"/>
      <c r="L182" s="6314"/>
      <c r="M182" s="6314"/>
      <c r="N182" s="6314"/>
      <c r="P182" s="1306"/>
      <c r="Q182" s="1782"/>
      <c r="R182" s="1782"/>
      <c r="S182" s="1306"/>
      <c r="T182" s="1306"/>
      <c r="U182" s="1306"/>
      <c r="V182" s="1306"/>
      <c r="W182" s="1782"/>
      <c r="X182" s="1306"/>
      <c r="Y182" s="1306"/>
      <c r="Z182" s="690"/>
      <c r="AA182" s="1306"/>
      <c r="AB182" s="1306"/>
      <c r="AC182" s="1306"/>
      <c r="AD182" s="1306"/>
      <c r="AE182" s="1306"/>
      <c r="AF182" s="1778"/>
      <c r="AG182" s="712"/>
      <c r="AH182" s="712"/>
      <c r="AI182" s="712"/>
      <c r="AJ182" s="712"/>
      <c r="AK182" s="1787">
        <v>11</v>
      </c>
    </row>
    <row s="6314" customFormat="1" customHeight="1" ht="11.549999999999999">
      <c r="A183" s="1133"/>
      <c r="B183" s="1782"/>
      <c r="C183" s="1782"/>
      <c r="D183" s="497"/>
      <c r="J183" s="6314"/>
      <c r="K183" s="6314"/>
      <c r="L183" s="6314"/>
      <c r="M183" s="6314"/>
      <c r="N183" s="6314"/>
      <c r="P183" s="1306"/>
      <c r="Q183" s="1782"/>
      <c r="R183" s="1782"/>
      <c r="S183" s="1306"/>
      <c r="T183" s="1306"/>
      <c r="U183" s="1306"/>
      <c r="V183" s="1306"/>
      <c r="W183" s="1782"/>
      <c r="X183" s="1306"/>
      <c r="Y183" s="1306"/>
      <c r="Z183" s="690"/>
      <c r="AA183" s="1306"/>
      <c r="AB183" s="1306"/>
      <c r="AC183" s="1306"/>
      <c r="AD183" s="1306"/>
      <c r="AE183" s="1306"/>
      <c r="AF183" s="1778"/>
      <c r="AG183" s="712"/>
      <c r="AH183" s="712"/>
      <c r="AI183" s="712"/>
      <c r="AJ183" s="712"/>
      <c r="AK183" s="1787">
        <v>11</v>
      </c>
    </row>
    <row s="6314" customFormat="1" customHeight="1" ht="11.549999999999999">
      <c r="A184" s="1133"/>
      <c r="B184" s="1782"/>
      <c r="C184" s="1782"/>
      <c r="D184" s="497"/>
      <c r="J184" s="6314"/>
      <c r="K184" s="6314"/>
      <c r="L184" s="6314"/>
      <c r="M184" s="6314"/>
      <c r="N184" s="6314"/>
      <c r="P184" s="1306"/>
      <c r="Q184" s="1782"/>
      <c r="R184" s="1782"/>
      <c r="S184" s="1306"/>
      <c r="T184" s="1306"/>
      <c r="U184" s="1306"/>
      <c r="V184" s="1306"/>
      <c r="W184" s="1782"/>
      <c r="X184" s="1306"/>
      <c r="Y184" s="1306"/>
      <c r="Z184" s="690"/>
      <c r="AA184" s="1306"/>
      <c r="AB184" s="1306"/>
      <c r="AC184" s="1306"/>
      <c r="AD184" s="1306"/>
      <c r="AE184" s="1306"/>
      <c r="AF184" s="1778"/>
      <c r="AG184" s="712"/>
      <c r="AH184" s="712"/>
      <c r="AI184" s="712"/>
      <c r="AJ184" s="712"/>
      <c r="AK184" s="1787">
        <v>11</v>
      </c>
    </row>
    <row s="6314" customFormat="1" customHeight="1" ht="11.549999999999999">
      <c r="A185" s="1133"/>
      <c r="B185" s="1782"/>
      <c r="C185" s="1782"/>
      <c r="D185" s="497"/>
      <c r="J185" s="6314"/>
      <c r="K185" s="6314"/>
      <c r="L185" s="6314"/>
      <c r="M185" s="6314"/>
      <c r="N185" s="6314"/>
      <c r="P185" s="1306"/>
      <c r="Q185" s="1782"/>
      <c r="R185" s="1782"/>
      <c r="S185" s="1306"/>
      <c r="T185" s="1306"/>
      <c r="U185" s="1306"/>
      <c r="V185" s="1306"/>
      <c r="W185" s="1782"/>
      <c r="X185" s="1306"/>
      <c r="Y185" s="1306"/>
      <c r="Z185" s="690"/>
      <c r="AA185" s="1306"/>
      <c r="AB185" s="1306"/>
      <c r="AC185" s="1306"/>
      <c r="AD185" s="1306"/>
      <c r="AE185" s="1306"/>
      <c r="AF185" s="1778"/>
      <c r="AG185" s="712"/>
      <c r="AH185" s="712"/>
      <c r="AI185" s="712"/>
      <c r="AJ185" s="712"/>
      <c r="AK185" s="1787">
        <v>11</v>
      </c>
    </row>
    <row s="6314" customFormat="1" customHeight="1" ht="11.549999999999999">
      <c r="A186" s="1133"/>
      <c r="B186" s="1782"/>
      <c r="C186" s="1782"/>
      <c r="D186" s="497"/>
      <c r="J186" s="6314"/>
      <c r="K186" s="6314"/>
      <c r="L186" s="6314"/>
      <c r="M186" s="6314"/>
      <c r="N186" s="6314"/>
      <c r="P186" s="1306"/>
      <c r="Q186" s="1782"/>
      <c r="R186" s="1782"/>
      <c r="S186" s="1306"/>
      <c r="T186" s="1306"/>
      <c r="U186" s="1306"/>
      <c r="V186" s="1306"/>
      <c r="W186" s="1782"/>
      <c r="X186" s="1306"/>
      <c r="Y186" s="1306"/>
      <c r="Z186" s="690"/>
      <c r="AA186" s="1306"/>
      <c r="AB186" s="1306"/>
      <c r="AC186" s="1306"/>
      <c r="AD186" s="1306"/>
      <c r="AE186" s="1306"/>
      <c r="AF186" s="1778"/>
      <c r="AG186" s="712"/>
      <c r="AH186" s="712"/>
      <c r="AI186" s="712"/>
      <c r="AJ186" s="712"/>
      <c r="AK186" s="1787">
        <v>11</v>
      </c>
    </row>
    <row s="6314" customFormat="1" customHeight="1" ht="11.549999999999999">
      <c r="A187" s="1133"/>
      <c r="B187" s="1782"/>
      <c r="C187" s="1782"/>
      <c r="D187" s="497"/>
      <c r="J187" s="6314"/>
      <c r="K187" s="6314"/>
      <c r="L187" s="6314"/>
      <c r="M187" s="6314"/>
      <c r="N187" s="6314"/>
      <c r="P187" s="1306"/>
      <c r="Q187" s="1782"/>
      <c r="R187" s="1782"/>
      <c r="S187" s="1306"/>
      <c r="T187" s="1306"/>
      <c r="U187" s="1306"/>
      <c r="V187" s="1306"/>
      <c r="W187" s="1782"/>
      <c r="X187" s="1306"/>
      <c r="Y187" s="1306"/>
      <c r="Z187" s="690"/>
      <c r="AA187" s="1306"/>
      <c r="AB187" s="1306"/>
      <c r="AC187" s="1306"/>
      <c r="AD187" s="1306"/>
      <c r="AE187" s="1306"/>
      <c r="AF187" s="1778"/>
      <c r="AG187" s="712"/>
      <c r="AH187" s="712"/>
      <c r="AI187" s="712"/>
      <c r="AJ187" s="712"/>
      <c r="AK187" s="1787">
        <v>11</v>
      </c>
    </row>
    <row s="6314" customFormat="1" customHeight="1" ht="11.549999999999999">
      <c r="A188" s="1133"/>
      <c r="B188" s="1782"/>
      <c r="C188" s="1782"/>
      <c r="D188" s="497"/>
      <c r="J188" s="6314"/>
      <c r="K188" s="6314"/>
      <c r="L188" s="6314"/>
      <c r="M188" s="6314"/>
      <c r="N188" s="6314"/>
      <c r="P188" s="1306"/>
      <c r="Q188" s="1782"/>
      <c r="R188" s="1782"/>
      <c r="S188" s="1306"/>
      <c r="T188" s="1306"/>
      <c r="U188" s="1306"/>
      <c r="V188" s="1306"/>
      <c r="W188" s="1782"/>
      <c r="X188" s="1306"/>
      <c r="Y188" s="1306"/>
      <c r="Z188" s="690"/>
      <c r="AA188" s="1306"/>
      <c r="AB188" s="1306"/>
      <c r="AC188" s="1306"/>
      <c r="AD188" s="1306"/>
      <c r="AE188" s="1306"/>
      <c r="AF188" s="1778"/>
      <c r="AG188" s="712"/>
      <c r="AH188" s="712"/>
      <c r="AI188" s="712"/>
      <c r="AJ188" s="712"/>
      <c r="AK188" s="1787">
        <v>11</v>
      </c>
    </row>
    <row s="6314" customFormat="1" customHeight="1" ht="11.549999999999999">
      <c r="A189" s="1133"/>
      <c r="B189" s="1782"/>
      <c r="C189" s="1782"/>
      <c r="D189" s="497"/>
      <c r="J189" s="6314"/>
      <c r="K189" s="6314"/>
      <c r="L189" s="6314"/>
      <c r="M189" s="6314"/>
      <c r="N189" s="6314"/>
      <c r="P189" s="1306"/>
      <c r="Q189" s="1782"/>
      <c r="R189" s="1782"/>
      <c r="S189" s="1306"/>
      <c r="T189" s="1306"/>
      <c r="U189" s="1306"/>
      <c r="V189" s="1306"/>
      <c r="W189" s="1782"/>
      <c r="X189" s="1306"/>
      <c r="Y189" s="1306"/>
      <c r="Z189" s="690"/>
      <c r="AA189" s="1306"/>
      <c r="AB189" s="1306"/>
      <c r="AC189" s="1306"/>
      <c r="AD189" s="1306"/>
      <c r="AE189" s="1306"/>
      <c r="AF189" s="1778"/>
      <c r="AG189" s="712"/>
      <c r="AH189" s="712"/>
      <c r="AI189" s="712"/>
      <c r="AJ189" s="712"/>
      <c r="AK189" s="1787">
        <v>11</v>
      </c>
    </row>
    <row s="6314" customFormat="1" customHeight="1" ht="11.549999999999999">
      <c r="A190" s="1133"/>
      <c r="B190" s="1782"/>
      <c r="C190" s="1782"/>
      <c r="D190" s="497"/>
      <c r="J190" s="6314"/>
      <c r="K190" s="6314"/>
      <c r="L190" s="6314"/>
      <c r="M190" s="6314"/>
      <c r="N190" s="6314"/>
      <c r="P190" s="1306"/>
      <c r="Q190" s="1782"/>
      <c r="R190" s="1782"/>
      <c r="S190" s="1306"/>
      <c r="T190" s="1306"/>
      <c r="U190" s="1306"/>
      <c r="V190" s="1306"/>
      <c r="W190" s="1782"/>
      <c r="X190" s="1306"/>
      <c r="Y190" s="1306"/>
      <c r="Z190" s="690"/>
      <c r="AA190" s="1306"/>
      <c r="AB190" s="1306"/>
      <c r="AC190" s="1306"/>
      <c r="AD190" s="1306"/>
      <c r="AE190" s="1306"/>
      <c r="AF190" s="1778"/>
      <c r="AG190" s="712"/>
      <c r="AH190" s="712"/>
      <c r="AI190" s="712"/>
      <c r="AJ190" s="712"/>
      <c r="AK190" s="1787">
        <v>11</v>
      </c>
    </row>
    <row s="6314" customFormat="1" customHeight="1" ht="11.549999999999999">
      <c r="A191" s="1133"/>
      <c r="B191" s="1782"/>
      <c r="C191" s="1782"/>
      <c r="D191" s="497"/>
      <c r="J191" s="6314"/>
      <c r="K191" s="6314"/>
      <c r="L191" s="6314"/>
      <c r="M191" s="6314"/>
      <c r="N191" s="6314"/>
      <c r="P191" s="1306"/>
      <c r="Q191" s="1782"/>
      <c r="R191" s="1782"/>
      <c r="S191" s="1306"/>
      <c r="T191" s="1306"/>
      <c r="U191" s="1306"/>
      <c r="V191" s="1306"/>
      <c r="W191" s="1782"/>
      <c r="X191" s="1306"/>
      <c r="Y191" s="1306"/>
      <c r="Z191" s="690"/>
      <c r="AA191" s="1306"/>
      <c r="AB191" s="1306"/>
      <c r="AC191" s="1306"/>
      <c r="AD191" s="1306"/>
      <c r="AE191" s="1306"/>
      <c r="AF191" s="1778"/>
      <c r="AG191" s="712"/>
      <c r="AH191" s="712"/>
      <c r="AI191" s="712"/>
      <c r="AJ191" s="712"/>
      <c r="AK191" s="1787">
        <v>11</v>
      </c>
    </row>
    <row s="6314" customFormat="1" customHeight="1" ht="11.549999999999999">
      <c r="A192" s="1133"/>
      <c r="B192" s="1782"/>
      <c r="C192" s="1782"/>
      <c r="D192" s="497"/>
      <c r="J192" s="6314"/>
      <c r="K192" s="6314"/>
      <c r="L192" s="6314"/>
      <c r="M192" s="6314"/>
      <c r="N192" s="6314"/>
      <c r="P192" s="1306"/>
      <c r="Q192" s="1782"/>
      <c r="R192" s="1782"/>
      <c r="S192" s="1306"/>
      <c r="T192" s="1306"/>
      <c r="U192" s="1306"/>
      <c r="V192" s="1306"/>
      <c r="W192" s="1782"/>
      <c r="X192" s="1306"/>
      <c r="Y192" s="1306"/>
      <c r="Z192" s="690"/>
      <c r="AA192" s="1306"/>
      <c r="AB192" s="1306"/>
      <c r="AC192" s="1306"/>
      <c r="AD192" s="1306"/>
      <c r="AE192" s="1306"/>
      <c r="AF192" s="1778"/>
      <c r="AG192" s="712"/>
      <c r="AH192" s="712"/>
      <c r="AI192" s="712"/>
      <c r="AJ192" s="712"/>
      <c r="AK192" s="1787">
        <v>11</v>
      </c>
    </row>
    <row s="6314" customFormat="1" customHeight="1" ht="11.549999999999999">
      <c r="A193" s="1133"/>
      <c r="B193" s="1782"/>
      <c r="C193" s="1782"/>
      <c r="D193" s="497"/>
      <c r="J193" s="6314"/>
      <c r="K193" s="6314"/>
      <c r="L193" s="6314"/>
      <c r="M193" s="6314"/>
      <c r="N193" s="6314"/>
      <c r="P193" s="1306"/>
      <c r="Q193" s="1782"/>
      <c r="R193" s="1782"/>
      <c r="S193" s="1306"/>
      <c r="T193" s="1306"/>
      <c r="U193" s="1306"/>
      <c r="V193" s="1306"/>
      <c r="W193" s="1782"/>
      <c r="X193" s="1306"/>
      <c r="Y193" s="1306"/>
      <c r="Z193" s="690"/>
      <c r="AA193" s="1306"/>
      <c r="AB193" s="1306"/>
      <c r="AC193" s="1306"/>
      <c r="AD193" s="1306"/>
      <c r="AE193" s="1306"/>
      <c r="AF193" s="1778"/>
      <c r="AG193" s="712"/>
      <c r="AH193" s="712"/>
      <c r="AI193" s="712"/>
      <c r="AJ193" s="712"/>
      <c r="AK193" s="1787">
        <v>11</v>
      </c>
    </row>
    <row s="6314" customFormat="1" customHeight="1" ht="11.549999999999999">
      <c r="A194" s="1133"/>
      <c r="B194" s="1782"/>
      <c r="C194" s="1782"/>
      <c r="D194" s="497"/>
      <c r="J194" s="6314"/>
      <c r="K194" s="6314"/>
      <c r="L194" s="6314"/>
      <c r="M194" s="6314"/>
      <c r="N194" s="6314"/>
      <c r="P194" s="1306"/>
      <c r="Q194" s="1782"/>
      <c r="R194" s="1782"/>
      <c r="S194" s="1306"/>
      <c r="T194" s="1306"/>
      <c r="U194" s="1306"/>
      <c r="V194" s="1306"/>
      <c r="W194" s="1782"/>
      <c r="X194" s="1306"/>
      <c r="Y194" s="1306"/>
      <c r="Z194" s="690"/>
      <c r="AA194" s="1306"/>
      <c r="AB194" s="1306"/>
      <c r="AC194" s="1306"/>
      <c r="AD194" s="1306"/>
      <c r="AE194" s="1306"/>
      <c r="AF194" s="1778"/>
      <c r="AG194" s="712"/>
      <c r="AH194" s="712"/>
      <c r="AI194" s="712"/>
      <c r="AJ194" s="712"/>
      <c r="AK194" s="1787">
        <v>11</v>
      </c>
    </row>
    <row s="6314" customFormat="1" customHeight="1" ht="11.549999999999999">
      <c r="A195" s="1133"/>
      <c r="B195" s="1782"/>
      <c r="C195" s="1782"/>
      <c r="D195" s="497"/>
      <c r="J195" s="6314"/>
      <c r="K195" s="6314"/>
      <c r="L195" s="6314"/>
      <c r="M195" s="6314"/>
      <c r="N195" s="6314"/>
      <c r="P195" s="1306"/>
      <c r="Q195" s="1782"/>
      <c r="R195" s="1782"/>
      <c r="S195" s="1306"/>
      <c r="T195" s="1306"/>
      <c r="U195" s="1306"/>
      <c r="V195" s="1306"/>
      <c r="W195" s="1782"/>
      <c r="X195" s="1306"/>
      <c r="Y195" s="1306"/>
      <c r="Z195" s="690"/>
      <c r="AA195" s="1306"/>
      <c r="AB195" s="1306"/>
      <c r="AC195" s="1306"/>
      <c r="AD195" s="1306"/>
      <c r="AE195" s="1306"/>
      <c r="AF195" s="1778"/>
      <c r="AG195" s="712"/>
      <c r="AH195" s="712"/>
      <c r="AI195" s="712"/>
      <c r="AJ195" s="712"/>
      <c r="AK195" s="1787">
        <v>11</v>
      </c>
    </row>
    <row s="6314" customFormat="1" customHeight="1" ht="11.549999999999999">
      <c r="A196" s="1133"/>
      <c r="B196" s="1782"/>
      <c r="C196" s="1782"/>
      <c r="D196" s="497"/>
      <c r="J196" s="6314"/>
      <c r="K196" s="6314"/>
      <c r="L196" s="6314"/>
      <c r="M196" s="6314"/>
      <c r="N196" s="6314"/>
      <c r="P196" s="1306"/>
      <c r="Q196" s="1782"/>
      <c r="R196" s="1782"/>
      <c r="S196" s="1306"/>
      <c r="T196" s="1306"/>
      <c r="U196" s="1306"/>
      <c r="V196" s="1306"/>
      <c r="W196" s="1782"/>
      <c r="X196" s="1306"/>
      <c r="Y196" s="1306"/>
      <c r="Z196" s="690"/>
      <c r="AA196" s="1306"/>
      <c r="AB196" s="1306"/>
      <c r="AC196" s="1306"/>
      <c r="AD196" s="1306"/>
      <c r="AE196" s="1306"/>
      <c r="AF196" s="1778"/>
      <c r="AG196" s="712"/>
      <c r="AH196" s="712"/>
      <c r="AI196" s="712"/>
      <c r="AJ196" s="712"/>
      <c r="AK196" s="1787">
        <v>11</v>
      </c>
    </row>
    <row s="6314" customFormat="1" customHeight="1" ht="11.549999999999999">
      <c r="A197" s="1133"/>
      <c r="B197" s="1782"/>
      <c r="C197" s="1782"/>
      <c r="D197" s="497"/>
      <c r="J197" s="6314"/>
      <c r="K197" s="6314"/>
      <c r="L197" s="6314"/>
      <c r="M197" s="6314"/>
      <c r="N197" s="6314"/>
      <c r="P197" s="1306"/>
      <c r="Q197" s="1782"/>
      <c r="R197" s="1782"/>
      <c r="S197" s="1306"/>
      <c r="T197" s="1306"/>
      <c r="U197" s="1306"/>
      <c r="V197" s="1306"/>
      <c r="W197" s="1782"/>
      <c r="X197" s="1306"/>
      <c r="Y197" s="1306"/>
      <c r="Z197" s="690"/>
      <c r="AA197" s="1306"/>
      <c r="AB197" s="1306"/>
      <c r="AC197" s="1306"/>
      <c r="AD197" s="1306"/>
      <c r="AE197" s="1306"/>
      <c r="AF197" s="1778"/>
      <c r="AG197" s="712"/>
      <c r="AH197" s="712"/>
      <c r="AI197" s="712"/>
      <c r="AJ197" s="712"/>
      <c r="AK197" s="1787">
        <v>11</v>
      </c>
    </row>
    <row s="6314" customFormat="1" customHeight="1" ht="11.549999999999999">
      <c r="A198" s="1133"/>
      <c r="B198" s="1782"/>
      <c r="C198" s="1782"/>
      <c r="D198" s="497"/>
      <c r="J198" s="6314"/>
      <c r="K198" s="6314"/>
      <c r="L198" s="6314"/>
      <c r="M198" s="6314"/>
      <c r="N198" s="6314"/>
      <c r="P198" s="1306"/>
      <c r="Q198" s="1782"/>
      <c r="R198" s="1782"/>
      <c r="S198" s="1306"/>
      <c r="T198" s="1306"/>
      <c r="U198" s="1306"/>
      <c r="V198" s="1306"/>
      <c r="W198" s="1782"/>
      <c r="X198" s="1306"/>
      <c r="Y198" s="1306"/>
      <c r="Z198" s="690"/>
      <c r="AA198" s="1306"/>
      <c r="AB198" s="1306"/>
      <c r="AC198" s="1306"/>
      <c r="AD198" s="1306"/>
      <c r="AE198" s="1306"/>
      <c r="AF198" s="1778"/>
      <c r="AG198" s="712"/>
      <c r="AH198" s="712"/>
      <c r="AI198" s="712"/>
      <c r="AJ198" s="712"/>
      <c r="AK198" s="1787">
        <v>11</v>
      </c>
    </row>
    <row s="6314" customFormat="1" customHeight="1" ht="11.549999999999999">
      <c r="A199" s="1133"/>
      <c r="B199" s="1782"/>
      <c r="C199" s="1782"/>
      <c r="D199" s="497"/>
      <c r="J199" s="6314"/>
      <c r="K199" s="6314"/>
      <c r="L199" s="6314"/>
      <c r="M199" s="6314"/>
      <c r="N199" s="6314"/>
      <c r="P199" s="1306"/>
      <c r="Q199" s="1782"/>
      <c r="R199" s="1782"/>
      <c r="S199" s="1306"/>
      <c r="T199" s="1306"/>
      <c r="U199" s="1306"/>
      <c r="V199" s="1306"/>
      <c r="W199" s="1782"/>
      <c r="X199" s="1306"/>
      <c r="Y199" s="1306"/>
      <c r="Z199" s="690"/>
      <c r="AA199" s="1306"/>
      <c r="AB199" s="1306"/>
      <c r="AC199" s="1306"/>
      <c r="AD199" s="1306"/>
      <c r="AE199" s="1306"/>
      <c r="AF199" s="1778"/>
      <c r="AG199" s="712"/>
      <c r="AH199" s="712"/>
      <c r="AI199" s="712"/>
      <c r="AJ199" s="712"/>
      <c r="AK199" s="1787">
        <v>11</v>
      </c>
    </row>
    <row s="6314" customFormat="1" customHeight="1" ht="11.549999999999999">
      <c r="A200" s="1133"/>
      <c r="B200" s="1782"/>
      <c r="C200" s="1782"/>
      <c r="D200" s="497"/>
      <c r="J200" s="6314"/>
      <c r="K200" s="6314"/>
      <c r="L200" s="6314"/>
      <c r="M200" s="6314"/>
      <c r="N200" s="6314"/>
      <c r="P200" s="1306"/>
      <c r="Q200" s="1782"/>
      <c r="R200" s="1782"/>
      <c r="S200" s="1306"/>
      <c r="T200" s="1306"/>
      <c r="U200" s="1306"/>
      <c r="V200" s="1306"/>
      <c r="W200" s="1782"/>
      <c r="X200" s="1306"/>
      <c r="Y200" s="1306"/>
      <c r="Z200" s="690"/>
      <c r="AA200" s="1306"/>
      <c r="AB200" s="1306"/>
      <c r="AC200" s="1306"/>
      <c r="AD200" s="1306"/>
      <c r="AE200" s="1306"/>
      <c r="AF200" s="1778"/>
      <c r="AG200" s="712"/>
      <c r="AH200" s="712"/>
      <c r="AI200" s="712"/>
      <c r="AJ200" s="712"/>
      <c r="AK200" s="1787">
        <v>11</v>
      </c>
    </row>
    <row customHeight="1" ht="11.549999999999999">
      <c r="J201" s="7235"/>
      <c r="K201" s="7235"/>
      <c r="L201" s="7235"/>
      <c r="M201" s="7235"/>
      <c r="N201" s="7235"/>
      <c r="AK201" s="1777">
        <v>11</v>
      </c>
    </row>
    <row customHeight="1" ht="11.549999999999999">
      <c r="J202" s="7235"/>
      <c r="K202" s="7235"/>
      <c r="L202" s="7235"/>
      <c r="M202" s="7235"/>
      <c r="N202" s="7235"/>
      <c r="AK202" s="1777">
        <v>11</v>
      </c>
    </row>
    <row customHeight="1" ht="11.549999999999999">
      <c r="J203" s="7235"/>
      <c r="K203" s="7235"/>
      <c r="L203" s="7235"/>
      <c r="M203" s="7235"/>
      <c r="N203" s="7235"/>
      <c r="AK203" s="1777">
        <v>11</v>
      </c>
    </row>
    <row customHeight="1" ht="11.549999999999999">
      <c r="A204" s="1136"/>
      <c r="B204" s="1777"/>
      <c r="D204" s="1777"/>
      <c r="J204" s="7235"/>
      <c r="K204" s="7235"/>
      <c r="L204" s="7235"/>
      <c r="M204" s="7235"/>
      <c r="N204" s="7235"/>
      <c r="P204" s="1777"/>
      <c r="S204" s="1777"/>
      <c r="T204" s="1777"/>
      <c r="U204" s="1777"/>
      <c r="V204" s="1777"/>
      <c r="X204" s="1777"/>
      <c r="Y204" s="1777"/>
      <c r="Z204" s="1777"/>
      <c r="AA204" s="1777"/>
      <c r="AB204" s="1777"/>
      <c r="AC204" s="1777"/>
      <c r="AD204" s="1777"/>
      <c r="AE204" s="1777"/>
      <c r="AF204" s="1777"/>
      <c r="AG204" s="1777"/>
      <c r="AH204" s="1777"/>
      <c r="AI204" s="1777"/>
      <c r="AJ204" s="1777"/>
      <c r="AK204" s="1777">
        <v>11</v>
      </c>
    </row>
    <row customHeight="1" ht="11.549999999999999">
      <c r="A205" s="1136"/>
      <c r="B205" s="1777"/>
      <c r="D205" s="1777"/>
      <c r="J205" s="7235"/>
      <c r="K205" s="7235"/>
      <c r="L205" s="7235"/>
      <c r="M205" s="7235"/>
      <c r="N205" s="7235"/>
      <c r="P205" s="1777"/>
      <c r="S205" s="1777"/>
      <c r="T205" s="1777"/>
      <c r="U205" s="1777"/>
      <c r="V205" s="1777"/>
      <c r="X205" s="1777"/>
      <c r="Y205" s="1777"/>
      <c r="Z205" s="1777"/>
      <c r="AA205" s="1777"/>
      <c r="AB205" s="1777"/>
      <c r="AC205" s="1777"/>
      <c r="AD205" s="1777"/>
      <c r="AE205" s="1777"/>
      <c r="AF205" s="1777"/>
      <c r="AG205" s="1777"/>
      <c r="AH205" s="1777"/>
      <c r="AI205" s="1777"/>
      <c r="AJ205" s="1777"/>
      <c r="AK205" s="1777">
        <v>11</v>
      </c>
    </row>
    <row customHeight="1" ht="11.549999999999999">
      <c r="A206" s="1136"/>
      <c r="B206" s="1777"/>
      <c r="D206" s="1777"/>
      <c r="J206" s="7235"/>
      <c r="K206" s="7235"/>
      <c r="L206" s="7235"/>
      <c r="M206" s="7235"/>
      <c r="N206" s="7235"/>
      <c r="P206" s="1777"/>
      <c r="S206" s="1777"/>
      <c r="T206" s="1777"/>
      <c r="U206" s="1777"/>
      <c r="V206" s="1777"/>
      <c r="X206" s="1777"/>
      <c r="Y206" s="1777"/>
      <c r="Z206" s="1777"/>
      <c r="AA206" s="1777"/>
      <c r="AB206" s="1777"/>
      <c r="AC206" s="1777"/>
      <c r="AD206" s="1777"/>
      <c r="AE206" s="1777"/>
      <c r="AF206" s="1777"/>
      <c r="AG206" s="1777"/>
      <c r="AH206" s="1777"/>
      <c r="AI206" s="1777"/>
      <c r="AJ206" s="1777"/>
      <c r="AK206" s="1777">
        <v>11</v>
      </c>
    </row>
    <row customHeight="1" ht="11.549999999999999">
      <c r="A207" s="1136"/>
      <c r="B207" s="1777"/>
      <c r="D207" s="1777"/>
      <c r="J207" s="7235"/>
      <c r="K207" s="7235"/>
      <c r="L207" s="7235"/>
      <c r="M207" s="7235"/>
      <c r="N207" s="7235"/>
      <c r="P207" s="1777"/>
      <c r="S207" s="1777"/>
      <c r="T207" s="1777"/>
      <c r="U207" s="1777"/>
      <c r="V207" s="1777"/>
      <c r="X207" s="1777"/>
      <c r="Y207" s="1777"/>
      <c r="Z207" s="1777"/>
      <c r="AA207" s="1777"/>
      <c r="AB207" s="1777"/>
      <c r="AC207" s="1777"/>
      <c r="AD207" s="1777"/>
      <c r="AE207" s="1777"/>
      <c r="AF207" s="1777"/>
      <c r="AG207" s="1777"/>
      <c r="AH207" s="1777"/>
      <c r="AI207" s="1777"/>
      <c r="AJ207" s="1777"/>
      <c r="AK207" s="1777">
        <v>11</v>
      </c>
    </row>
    <row customHeight="1" ht="11.549999999999999">
      <c r="A208" s="1136"/>
      <c r="B208" s="1777"/>
      <c r="D208" s="1777"/>
      <c r="J208" s="7235"/>
      <c r="K208" s="7235"/>
      <c r="L208" s="7235"/>
      <c r="M208" s="7235"/>
      <c r="N208" s="7235"/>
      <c r="P208" s="1777"/>
      <c r="S208" s="1777"/>
      <c r="T208" s="1777"/>
      <c r="U208" s="1777"/>
      <c r="V208" s="1777"/>
      <c r="X208" s="1777"/>
      <c r="Y208" s="1777"/>
      <c r="Z208" s="1777"/>
      <c r="AA208" s="1777"/>
      <c r="AB208" s="1777"/>
      <c r="AC208" s="1777"/>
      <c r="AD208" s="1777"/>
      <c r="AE208" s="1777"/>
      <c r="AF208" s="1777"/>
      <c r="AG208" s="1777"/>
      <c r="AH208" s="1777"/>
      <c r="AI208" s="1777"/>
      <c r="AJ208" s="1777"/>
      <c r="AK208" s="1777">
        <v>11</v>
      </c>
    </row>
    <row customHeight="1" ht="11.549999999999999">
      <c r="A209" s="1136"/>
      <c r="B209" s="1777"/>
      <c r="D209" s="1777"/>
      <c r="J209" s="7235"/>
      <c r="K209" s="7235"/>
      <c r="L209" s="7235"/>
      <c r="M209" s="7235"/>
      <c r="N209" s="7235"/>
      <c r="P209" s="1777"/>
      <c r="S209" s="1777"/>
      <c r="T209" s="1777"/>
      <c r="U209" s="1777"/>
      <c r="V209" s="1777"/>
      <c r="X209" s="1777"/>
      <c r="Y209" s="1777"/>
      <c r="Z209" s="1777"/>
      <c r="AA209" s="1777"/>
      <c r="AB209" s="1777"/>
      <c r="AC209" s="1777"/>
      <c r="AD209" s="1777"/>
      <c r="AE209" s="1777"/>
      <c r="AF209" s="1777"/>
      <c r="AG209" s="1777"/>
      <c r="AH209" s="1777"/>
      <c r="AI209" s="1777"/>
      <c r="AJ209" s="1777"/>
      <c r="AK209" s="1777">
        <v>11</v>
      </c>
    </row>
    <row customHeight="1" ht="11.549999999999999">
      <c r="A210" s="1136"/>
      <c r="B210" s="1777"/>
      <c r="D210" s="1777"/>
      <c r="J210" s="7235"/>
      <c r="K210" s="7235"/>
      <c r="L210" s="7235"/>
      <c r="M210" s="7235"/>
      <c r="N210" s="7235"/>
      <c r="P210" s="1777"/>
      <c r="S210" s="1777"/>
      <c r="T210" s="1777"/>
      <c r="U210" s="1777"/>
      <c r="V210" s="1777"/>
      <c r="X210" s="1777"/>
      <c r="Y210" s="1777"/>
      <c r="Z210" s="1777"/>
      <c r="AA210" s="1777"/>
      <c r="AB210" s="1777"/>
      <c r="AC210" s="1777"/>
      <c r="AD210" s="1777"/>
      <c r="AE210" s="1777"/>
      <c r="AF210" s="1777"/>
      <c r="AG210" s="1777"/>
      <c r="AH210" s="1777"/>
      <c r="AI210" s="1777"/>
      <c r="AJ210" s="1777"/>
      <c r="AK210" s="1777">
        <v>11</v>
      </c>
    </row>
    <row customHeight="1" ht="11.549999999999999">
      <c r="A211" s="1136"/>
      <c r="B211" s="1777"/>
      <c r="D211" s="1777"/>
      <c r="J211" s="7235"/>
      <c r="K211" s="7235"/>
      <c r="L211" s="7235"/>
      <c r="M211" s="7235"/>
      <c r="N211" s="7235"/>
      <c r="P211" s="1777"/>
      <c r="S211" s="1777"/>
      <c r="T211" s="1777"/>
      <c r="U211" s="1777"/>
      <c r="V211" s="1777"/>
      <c r="X211" s="1777"/>
      <c r="Y211" s="1777"/>
      <c r="Z211" s="1777"/>
      <c r="AA211" s="1777"/>
      <c r="AB211" s="1777"/>
      <c r="AC211" s="1777"/>
      <c r="AD211" s="1777"/>
      <c r="AE211" s="1777"/>
      <c r="AF211" s="1777"/>
      <c r="AG211" s="1777"/>
      <c r="AH211" s="1777"/>
      <c r="AI211" s="1777"/>
      <c r="AJ211" s="1777"/>
      <c r="AK211" s="1777">
        <v>11</v>
      </c>
    </row>
    <row customHeight="1" ht="11.549999999999999">
      <c r="A212" s="1136"/>
      <c r="B212" s="1777"/>
      <c r="D212" s="1777"/>
      <c r="J212" s="7235"/>
      <c r="K212" s="7235"/>
      <c r="L212" s="7235"/>
      <c r="M212" s="7235"/>
      <c r="N212" s="7235"/>
      <c r="P212" s="1777"/>
      <c r="S212" s="1777"/>
      <c r="T212" s="1777"/>
      <c r="U212" s="1777"/>
      <c r="V212" s="1777"/>
      <c r="X212" s="1777"/>
      <c r="Y212" s="1777"/>
      <c r="Z212" s="1777"/>
      <c r="AA212" s="1777"/>
      <c r="AB212" s="1777"/>
      <c r="AC212" s="1777"/>
      <c r="AD212" s="1777"/>
      <c r="AE212" s="1777"/>
      <c r="AF212" s="1777"/>
      <c r="AG212" s="1777"/>
      <c r="AH212" s="1777"/>
      <c r="AI212" s="1777"/>
      <c r="AJ212" s="1777"/>
      <c r="AK212" s="1777">
        <v>11</v>
      </c>
    </row>
    <row customHeight="1" ht="11.549999999999999">
      <c r="A213" s="1136"/>
      <c r="B213" s="1777"/>
      <c r="D213" s="1777"/>
      <c r="J213" s="7235"/>
      <c r="K213" s="7235"/>
      <c r="L213" s="7235"/>
      <c r="M213" s="7235"/>
      <c r="N213" s="7235"/>
      <c r="P213" s="1777"/>
      <c r="S213" s="1777"/>
      <c r="T213" s="1777"/>
      <c r="U213" s="1777"/>
      <c r="V213" s="1777"/>
      <c r="X213" s="1777"/>
      <c r="Y213" s="1777"/>
      <c r="Z213" s="1777"/>
      <c r="AA213" s="1777"/>
      <c r="AB213" s="1777"/>
      <c r="AC213" s="1777"/>
      <c r="AD213" s="1777"/>
      <c r="AE213" s="1777"/>
      <c r="AF213" s="1777"/>
      <c r="AG213" s="1777"/>
      <c r="AH213" s="1777"/>
      <c r="AI213" s="1777"/>
      <c r="AJ213" s="1777"/>
      <c r="AK213" s="1777">
        <v>11</v>
      </c>
    </row>
    <row customHeight="1" ht="11.549999999999999">
      <c r="A214" s="1136"/>
      <c r="B214" s="1777"/>
      <c r="D214" s="1777"/>
      <c r="J214" s="7235"/>
      <c r="K214" s="7235"/>
      <c r="L214" s="7235"/>
      <c r="M214" s="7235"/>
      <c r="N214" s="7235"/>
      <c r="P214" s="1777"/>
      <c r="S214" s="1777"/>
      <c r="T214" s="1777"/>
      <c r="U214" s="1777"/>
      <c r="V214" s="1777"/>
      <c r="X214" s="1777"/>
      <c r="Y214" s="1777"/>
      <c r="Z214" s="1777"/>
      <c r="AA214" s="1777"/>
      <c r="AB214" s="1777"/>
      <c r="AC214" s="1777"/>
      <c r="AD214" s="1777"/>
      <c r="AE214" s="1777"/>
      <c r="AF214" s="1777"/>
      <c r="AG214" s="1777"/>
      <c r="AH214" s="1777"/>
      <c r="AI214" s="1777"/>
      <c r="AJ214" s="1777"/>
      <c r="AK214" s="1777">
        <v>11</v>
      </c>
    </row>
    <row customHeight="1" ht="11.25" hidden="1">
      <c r="A215" s="1133" t="s">
        <v>83</v>
      </c>
      <c r="B215" s="1306">
        <v>0</v>
      </c>
      <c r="C215" s="1782">
        <v>0</v>
      </c>
      <c r="D215" s="1781">
        <v>3</v>
      </c>
      <c r="E215" s="1777">
        <v>7</v>
      </c>
      <c r="F215" s="1777">
        <v>54</v>
      </c>
      <c r="G215" s="1777">
        <v>10</v>
      </c>
      <c r="H215" s="1777">
        <v>0</v>
      </c>
      <c r="I215" s="1777">
        <v>40</v>
      </c>
      <c r="J215" s="7235">
        <v>0</v>
      </c>
      <c r="K215" s="7235">
        <v>0</v>
      </c>
      <c r="L215" s="7235">
        <v>0</v>
      </c>
      <c r="M215" s="7235">
        <v>0</v>
      </c>
      <c r="N215" s="7235">
        <v>0</v>
      </c>
      <c r="O215" s="1777">
        <v>102</v>
      </c>
      <c r="P215" s="1306">
        <v>9</v>
      </c>
      <c r="Q215" s="1782">
        <v>5</v>
      </c>
      <c r="R215" s="1782">
        <v>3</v>
      </c>
      <c r="S215" s="1306">
        <v>3</v>
      </c>
      <c r="T215" s="1306">
        <v>3</v>
      </c>
      <c r="U215" s="1306">
        <v>3</v>
      </c>
      <c r="V215" s="1306">
        <v>3</v>
      </c>
      <c r="W215" s="1782">
        <v>10</v>
      </c>
      <c r="X215" s="1306">
        <v>34</v>
      </c>
      <c r="Y215" s="1306">
        <v>9</v>
      </c>
      <c r="Z215" s="690">
        <v>8</v>
      </c>
      <c r="AA215" s="1306">
        <v>8</v>
      </c>
      <c r="AB215" s="1306">
        <v>8</v>
      </c>
      <c r="AC215" s="1306">
        <v>8</v>
      </c>
      <c r="AD215" s="1306">
        <v>8</v>
      </c>
      <c r="AE215" s="1306">
        <v>8</v>
      </c>
      <c r="AF215" s="1778">
        <v>8</v>
      </c>
      <c r="AG215" s="1778">
        <v>8</v>
      </c>
      <c r="AH215" s="1778">
        <v>8</v>
      </c>
      <c r="AI215" s="1778">
        <v>8</v>
      </c>
      <c r="AJ215" s="1778">
        <v>8</v>
      </c>
      <c r="AK215" s="1777">
        <v>11</v>
      </c>
    </row>
  </sheetData>
  <sheetProtection formatColumns="0" formatRows="0" autoFilter="0" sort="0" insertRows="0" insertColumns="1" deleteRows="0" deleteColumns="0"/>
  <mergeCells count="9">
    <mergeCell ref="F45:G45"/>
    <mergeCell ref="E6:I6"/>
    <mergeCell ref="E7:I7"/>
    <mergeCell ref="F10:G10"/>
    <mergeCell ref="O10:O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formula1>900</formula1>
    </dataValidation>
    <dataValidation type="decimal" allowBlank="1" showErrorMessage="1" errorTitle="Ошибка" error="Допускается ввод только неотрицательных чисел!" sqref="H32:N32 H2:N2 H15:N15 H17:N27 H30:N30 H41:N42 H38:N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N36">
      <formula1>900</formula1>
    </dataValidation>
    <dataValidation type="decimal" allowBlank="1" showErrorMessage="1" errorTitle="Ошибка" error="Допускается ввод только действительных чисел!" sqref="H31:N31">
      <formula1>-9.99999999999999E+23</formula1>
      <formula2>9.99999999999999E+23</formula2>
    </dataValidation>
    <dataValidation type="decimal" allowBlank="1" showErrorMessage="1" errorTitle="Ошибка" error="Допускается ввод только действительных чисел!" sqref="H33:N35">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6ED136-40CF-580F-B0A2-0.9EA55BCF}" mc:Ignorable="x14ac xr xr2 xr3">
  <sheetPr>
    <tabColor theme="9" tint="-0.25"/>
  </sheetPr>
  <dimension ref="A1:AH102"/>
  <sheetViews>
    <sheetView topLeftCell="A1" showGridLines="0" zoomScale="75" workbookViewId="0">
      <selection activeCell="S14" sqref="S14"/>
    </sheetView>
  </sheetViews>
  <sheetFormatPr defaultColWidth="10.57421875" customHeight="1" defaultRowHeight="11.25"/>
  <cols>
    <col min="1" max="1" style="6966" width="9.140625" hidden="1" customWidth="1"/>
    <col min="2" max="2" style="6720" width="3.57421875" hidden="1" customWidth="1"/>
    <col min="3" max="3" style="7235" width="3.00390625" customWidth="1"/>
    <col min="4" max="4" style="7235" width="7.00390625" customWidth="1"/>
    <col min="5" max="5" style="7235" width="69.00390625" customWidth="1"/>
    <col min="6" max="6" style="7235" width="10.00390625" customWidth="1"/>
    <col min="7" max="8" style="7235" width="44.00390625" hidden="1" customWidth="1"/>
    <col min="9" max="9" style="7235" width="44.00390625" customWidth="1"/>
    <col min="10" max="10" style="7235" width="43.00390625" customWidth="1"/>
    <col min="11" max="20" style="7235" width="44.00390625" customWidth="1"/>
    <col min="21" max="21" style="7235" width="73.00390625" customWidth="1"/>
    <col min="22" max="22" style="7235" width="3.00390625" customWidth="1"/>
    <col min="23" max="33" style="7235" width="10.00390625" customWidth="1"/>
    <col min="34" max="34" style="7235" width="10.57421875" hidden="1"/>
  </cols>
  <sheetData>
    <row s="7180" customFormat="1" customHeight="1" ht="22.5" hidden="1">
      <c r="A1" s="682"/>
      <c r="B1" s="657"/>
      <c r="G1" s="563">
        <v>4</v>
      </c>
      <c r="I1" s="563">
        <v>4</v>
      </c>
      <c r="K1" s="7180">
        <v>4</v>
      </c>
      <c r="L1" s="7180"/>
      <c r="M1" s="7180">
        <v>4</v>
      </c>
      <c r="N1" s="7180"/>
      <c r="O1" s="7180">
        <v>4</v>
      </c>
      <c r="P1" s="7180"/>
      <c r="Q1" s="7180">
        <v>4</v>
      </c>
      <c r="R1" s="7180"/>
      <c r="S1" s="7180">
        <v>4</v>
      </c>
      <c r="T1" s="7180"/>
      <c r="U1" s="563">
        <v>5</v>
      </c>
      <c r="AH1" s="563" t="s">
        <v>14</v>
      </c>
    </row>
    <row customHeight="1" ht="3">
      <c r="K2" s="7235"/>
      <c r="L2" s="7235"/>
      <c r="M2" s="7235"/>
      <c r="N2" s="7235"/>
      <c r="O2" s="7235"/>
      <c r="P2" s="7235"/>
      <c r="Q2" s="7235"/>
      <c r="R2" s="7235"/>
      <c r="S2" s="7235"/>
      <c r="T2" s="7235"/>
      <c r="AH2" s="651">
        <v>3</v>
      </c>
    </row>
    <row customHeight="1" ht="78.75">
      <c r="D3" s="239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98"/>
      <c r="F3" s="2399"/>
      <c r="K3" s="7235"/>
      <c r="L3" s="7235"/>
      <c r="M3" s="7235"/>
      <c r="N3" s="7235"/>
      <c r="O3" s="7235"/>
      <c r="P3" s="7235"/>
      <c r="Q3" s="7235"/>
      <c r="R3" s="7235"/>
      <c r="S3" s="7235"/>
      <c r="T3" s="7235"/>
      <c r="AH3" s="651">
        <v>75</v>
      </c>
    </row>
    <row s="7235" customFormat="1" customHeight="1" ht="21">
      <c r="A4" s="1097"/>
      <c r="B4" s="657"/>
      <c r="D4" s="2373" t="str">
        <f>IF(org=0,"Не определено",org)</f>
        <v>ПАО "ТГК-14"</v>
      </c>
      <c r="E4" s="2374"/>
      <c r="F4" s="2375"/>
      <c r="K4" s="7235"/>
      <c r="L4" s="7235"/>
      <c r="M4" s="7235"/>
      <c r="N4" s="7235"/>
      <c r="O4" s="7235"/>
      <c r="P4" s="7235"/>
      <c r="Q4" s="7235"/>
      <c r="R4" s="7235"/>
      <c r="S4" s="7235"/>
      <c r="T4" s="7235"/>
      <c r="AH4" s="904">
        <v>20</v>
      </c>
    </row>
    <row customHeight="1" ht="11.549999999999999">
      <c r="C5" s="655"/>
      <c r="D5" s="734"/>
      <c r="E5" s="734"/>
      <c r="F5" s="734"/>
      <c r="G5" s="734"/>
      <c r="H5" s="898"/>
      <c r="I5" s="734"/>
      <c r="J5" s="898"/>
      <c r="K5" s="7235"/>
      <c r="L5" s="5907"/>
      <c r="M5" s="7235"/>
      <c r="N5" s="5907"/>
      <c r="O5" s="7235"/>
      <c r="P5" s="5907"/>
      <c r="Q5" s="7235"/>
      <c r="R5" s="5907"/>
      <c r="S5" s="7235"/>
      <c r="T5" s="5907"/>
      <c r="U5" s="734"/>
      <c r="AH5" s="651">
        <v>11</v>
      </c>
    </row>
    <row customHeight="1" ht="1.05">
      <c r="C6" s="655"/>
      <c r="D6" s="655"/>
      <c r="E6" s="668"/>
      <c r="F6" s="760"/>
      <c r="G6" s="1168"/>
      <c r="H6" s="1168"/>
      <c r="I6" s="1168" t="s">
        <v>129</v>
      </c>
      <c r="J6" s="1168"/>
      <c r="K6" s="6868" t="s">
        <v>137</v>
      </c>
      <c r="L6" s="6868"/>
      <c r="M6" s="6868" t="s">
        <v>139</v>
      </c>
      <c r="N6" s="6868"/>
      <c r="O6" s="6868" t="s">
        <v>143</v>
      </c>
      <c r="P6" s="6868"/>
      <c r="Q6" s="6868" t="s">
        <v>134</v>
      </c>
      <c r="R6" s="6868"/>
      <c r="S6" s="6868" t="s">
        <v>141</v>
      </c>
      <c r="T6" s="6868"/>
      <c r="AH6" s="651">
        <v>1</v>
      </c>
    </row>
    <row customHeight="1" ht="11.549999999999999">
      <c r="D7" s="857"/>
      <c r="E7" s="2526" t="s">
        <v>117</v>
      </c>
      <c r="F7" s="2527"/>
      <c r="G7" s="2552" t="str">
        <f>IF(G6="","",INDEX(DIFFERENTIATION_UNMERGE_VD,MATCH(G6,DIFFERENTIATION_ID_DIFF,0)))</f>
        <v/>
      </c>
      <c r="H7" s="2553"/>
      <c r="I7" s="2552"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7" s="2553"/>
      <c r="K7" s="6869" t="str">
        <f>IF(K6="","",INDEX(DIFFERENTIATION_UNMERGE_VD,MATCH(K6,DIFFERENTIATION_ID_DIFF,0)))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7" s="6870"/>
      <c r="M7" s="6869" t="str">
        <f>IF(M6="","",INDEX(DIFFERENTIATION_UNMERGE_VD,MATCH(M6,DIFFERENTIATION_ID_DIFF,0)))</f>
        <v>Производство. Теплоноситель</v>
      </c>
      <c r="N7" s="6870"/>
      <c r="O7" s="6869" t="str">
        <f>IF(O6="","",INDEX(DIFFERENTIATION_UNMERGE_VD,MATCH(O6,DIFFERENTIATION_ID_DIFF,0)))</f>
        <v>Производство тепловой энергии. Некомбинированная выработка; Передача. Тепловая энергия; Сбыт. Тепловая энергия</v>
      </c>
      <c r="P7" s="6870"/>
      <c r="Q7" s="6869" t="str">
        <f>IF(Q6="","",INDEX(DIFFERENTIATION_UNMERGE_VD,MATCH(Q6,DIFFERENTIATION_ID_DIFF,0)))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7" s="6870"/>
      <c r="S7" s="6869" t="str">
        <f>IF(S6="","",INDEX(DIFFERENTIATION_UNMERGE_VD,MATCH(S6,DIFFERENTIATION_ID_DIFF,0)))</f>
        <v>Производство. Теплоноситель</v>
      </c>
      <c r="T7" s="6870"/>
      <c r="U7" s="2334"/>
      <c r="V7" s="655"/>
      <c r="AH7" s="651">
        <v>11</v>
      </c>
    </row>
    <row customHeight="1" ht="11.549999999999999">
      <c r="A8" s="850"/>
      <c r="D8" s="857"/>
      <c r="E8" s="2526" t="s">
        <v>586</v>
      </c>
      <c r="F8" s="2527"/>
      <c r="G8" s="2552" t="str">
        <f>IF(G6="","",INDEX(DIFFERENTIATION_UNMERGE_AREA,MATCH(G6,DIFFERENTIATION_ID_DIFF,0)))</f>
        <v/>
      </c>
      <c r="H8" s="2553"/>
      <c r="I8" s="2552" t="str">
        <f>IF(I6="","",INDEX(DIFFERENTIATION_UNMERGE_AREA,MATCH(I6,DIFFERENTIATION_ID_DIFF,0)))</f>
        <v>Территория 1</v>
      </c>
      <c r="J8" s="2553"/>
      <c r="K8" s="6869" t="str">
        <f>IF(K6="","",INDEX(DIFFERENTIATION_UNMERGE_AREA,MATCH(K6,DIFFERENTIATION_ID_DIFF,0)))</f>
        <v>Территория 3</v>
      </c>
      <c r="L8" s="6870"/>
      <c r="M8" s="6869" t="str">
        <f>IF(M6="","",INDEX(DIFFERENTIATION_UNMERGE_AREA,MATCH(M6,DIFFERENTIATION_ID_DIFF,0)))</f>
        <v>Территория 1</v>
      </c>
      <c r="N8" s="6870"/>
      <c r="O8" s="6869" t="str">
        <f>IF(O6="","",INDEX(DIFFERENTIATION_UNMERGE_AREA,MATCH(O6,DIFFERENTIATION_ID_DIFF,0)))</f>
        <v>Территория 3</v>
      </c>
      <c r="P8" s="6870"/>
      <c r="Q8" s="6869" t="str">
        <f>IF(Q6="","",INDEX(DIFFERENTIATION_UNMERGE_AREA,MATCH(Q6,DIFFERENTIATION_ID_DIFF,0)))</f>
        <v>Территория 2</v>
      </c>
      <c r="R8" s="6870"/>
      <c r="S8" s="6869" t="str">
        <f>IF(S6="","",INDEX(DIFFERENTIATION_UNMERGE_AREA,MATCH(S6,DIFFERENTIATION_ID_DIFF,0)))</f>
        <v>Территория 2</v>
      </c>
      <c r="T8" s="6870"/>
      <c r="U8" s="2358"/>
      <c r="V8" s="655"/>
      <c r="AH8" s="651">
        <v>11</v>
      </c>
    </row>
    <row customHeight="1" ht="11.549999999999999">
      <c r="A9" s="850"/>
      <c r="D9" s="857"/>
      <c r="E9" s="2526" t="s">
        <v>587</v>
      </c>
      <c r="F9" s="2527"/>
      <c r="G9" s="2552" t="str">
        <f>IF(G6="","",INDEX(DIFFERENTIATION_UNMERGE_SYSTEM,MATCH(G6,DIFFERENTIATION_ID_DIFF,0)))</f>
        <v/>
      </c>
      <c r="H9" s="2553"/>
      <c r="I9" s="2552" t="str">
        <f>IF(I6="","",INDEX(DIFFERENTIATION_UNMERGE_SYSTEM,MATCH(I6,DIFFERENTIATION_ID_DIFF,0)))</f>
        <v>Шерловогорская ТЭЦ</v>
      </c>
      <c r="J9" s="2553"/>
      <c r="K9" s="6869" t="str">
        <f>IF(K6="","",INDEX(DIFFERENTIATION_UNMERGE_SYSTEM,MATCH(K6,DIFFERENTIATION_ID_DIFF,0)))</f>
        <v>ЦТС г. Чита (ЧТЭЦ-1, ЧТЭЦ-2)</v>
      </c>
      <c r="L9" s="6870"/>
      <c r="M9" s="6869" t="str">
        <f>IF(M6="","",INDEX(DIFFERENTIATION_UNMERGE_SYSTEM,MATCH(M6,DIFFERENTIATION_ID_DIFF,0)))</f>
        <v>Шерловогорская ТЭЦ</v>
      </c>
      <c r="N9" s="6870"/>
      <c r="O9" s="6869" t="str">
        <f>IF(O6="","",INDEX(DIFFERENTIATION_UNMERGE_SYSTEM,MATCH(O6,DIFFERENTIATION_ID_DIFF,0)))</f>
        <v>Котельные г. Чита</v>
      </c>
      <c r="P9" s="6870"/>
      <c r="Q9" s="6869" t="str">
        <f>IF(Q6="","",INDEX(DIFFERENTIATION_UNMERGE_SYSTEM,MATCH(Q6,DIFFERENTIATION_ID_DIFF,0)))</f>
        <v>Приаргунская ТЭЦ</v>
      </c>
      <c r="R9" s="6870"/>
      <c r="S9" s="6869" t="str">
        <f>IF(S6="","",INDEX(DIFFERENTIATION_UNMERGE_SYSTEM,MATCH(S6,DIFFERENTIATION_ID_DIFF,0)))</f>
        <v>Приаргунская ТЭЦ</v>
      </c>
      <c r="T9" s="6870"/>
      <c r="U9" s="2358"/>
      <c r="V9" s="655"/>
      <c r="AH9" s="651">
        <v>11</v>
      </c>
    </row>
    <row s="7235" customFormat="1" customHeight="1" ht="11.549999999999999">
      <c r="A10" s="1167"/>
      <c r="B10" s="657"/>
      <c r="D10" s="2260" t="s">
        <v>322</v>
      </c>
      <c r="E10" s="2261"/>
      <c r="F10" s="2261"/>
      <c r="G10" s="2261"/>
      <c r="H10" s="2261"/>
      <c r="I10" s="2261"/>
      <c r="J10" s="2262"/>
      <c r="K10" s="7464"/>
      <c r="L10" s="7464"/>
      <c r="M10" s="7464"/>
      <c r="N10" s="7464"/>
      <c r="O10" s="7464"/>
      <c r="P10" s="7464"/>
      <c r="Q10" s="7464"/>
      <c r="R10" s="7464"/>
      <c r="S10" s="7464"/>
      <c r="T10" s="7464"/>
      <c r="U10" s="2358"/>
      <c r="V10" s="655"/>
      <c r="AH10" s="904">
        <v>11</v>
      </c>
    </row>
    <row s="7235" customFormat="1" customHeight="1" ht="24">
      <c r="A11" s="2544"/>
      <c r="B11" s="2544"/>
      <c r="C11" s="803"/>
      <c r="D11" s="849" t="s">
        <v>89</v>
      </c>
      <c r="E11" s="851" t="s">
        <v>868</v>
      </c>
      <c r="F11" s="851" t="s">
        <v>588</v>
      </c>
      <c r="G11" s="611" t="s">
        <v>325</v>
      </c>
      <c r="H11" s="611" t="s">
        <v>412</v>
      </c>
      <c r="I11" s="953" t="s">
        <v>325</v>
      </c>
      <c r="J11" s="954" t="s">
        <v>412</v>
      </c>
      <c r="K11" s="7599" t="s">
        <v>325</v>
      </c>
      <c r="L11" s="7599" t="s">
        <v>412</v>
      </c>
      <c r="M11" s="7599" t="s">
        <v>325</v>
      </c>
      <c r="N11" s="7599" t="s">
        <v>412</v>
      </c>
      <c r="O11" s="7599" t="s">
        <v>325</v>
      </c>
      <c r="P11" s="7599" t="s">
        <v>412</v>
      </c>
      <c r="Q11" s="7599" t="s">
        <v>325</v>
      </c>
      <c r="R11" s="7599" t="s">
        <v>412</v>
      </c>
      <c r="S11" s="7599" t="s">
        <v>325</v>
      </c>
      <c r="T11" s="7599" t="s">
        <v>412</v>
      </c>
      <c r="U11" s="2391"/>
      <c r="V11" s="804"/>
      <c r="AH11" s="655">
        <v>23</v>
      </c>
    </row>
    <row s="6720" customFormat="1" customHeight="1" ht="10.5">
      <c r="A12" s="1098"/>
      <c r="D12" s="1171" t="s">
        <v>121</v>
      </c>
      <c r="E12" s="1171" t="s">
        <v>105</v>
      </c>
      <c r="F12" s="1171" t="s">
        <v>91</v>
      </c>
      <c r="G12" s="1172" t="str">
        <f>G1&amp;".1"</f>
        <v>4.1</v>
      </c>
      <c r="H12" s="1172" t="str">
        <f>G1&amp;".2"</f>
        <v>4.2</v>
      </c>
      <c r="I12" s="1172" t="str">
        <f>I1&amp;".1"</f>
        <v>4.1</v>
      </c>
      <c r="J12" s="1172" t="str">
        <f>I1&amp;".2"</f>
        <v>4.2</v>
      </c>
      <c r="K12" s="7919" t="str">
        <f>K1&amp;".1"</f>
        <v>4.1</v>
      </c>
      <c r="L12" s="7919" t="str">
        <f>K1&amp;".2"</f>
        <v>4.2</v>
      </c>
      <c r="M12" s="7919" t="str">
        <f>M1&amp;".1"</f>
        <v>4.1</v>
      </c>
      <c r="N12" s="7919" t="str">
        <f>M1&amp;".2"</f>
        <v>4.2</v>
      </c>
      <c r="O12" s="7919" t="str">
        <f>O1&amp;".1"</f>
        <v>4.1</v>
      </c>
      <c r="P12" s="7919" t="str">
        <f>O1&amp;".2"</f>
        <v>4.2</v>
      </c>
      <c r="Q12" s="7919" t="str">
        <f>Q1&amp;".1"</f>
        <v>4.1</v>
      </c>
      <c r="R12" s="7919" t="str">
        <f>Q1&amp;".2"</f>
        <v>4.2</v>
      </c>
      <c r="S12" s="7919" t="str">
        <f>S1&amp;".1"</f>
        <v>4.1</v>
      </c>
      <c r="T12" s="7919" t="str">
        <f>S1&amp;".2"</f>
        <v>4.2</v>
      </c>
      <c r="U12" s="1172"/>
      <c r="AH12" s="657">
        <v>10</v>
      </c>
    </row>
    <row customHeight="1" ht="22.5">
      <c r="A13" s="2551" t="s">
        <v>869</v>
      </c>
      <c r="D13" s="1099" t="s">
        <v>121</v>
      </c>
      <c r="E13" s="425" t="s">
        <v>870</v>
      </c>
      <c r="F13" s="806" t="s">
        <v>871</v>
      </c>
      <c r="G13" s="703"/>
      <c r="H13" s="807"/>
      <c r="I13" s="703">
        <v>0</v>
      </c>
      <c r="J13" s="807"/>
      <c r="K13" s="6612">
        <v>0</v>
      </c>
      <c r="L13" s="6885"/>
      <c r="M13" s="6612">
        <v>0</v>
      </c>
      <c r="N13" s="6885"/>
      <c r="O13" s="6612">
        <v>0</v>
      </c>
      <c r="P13" s="6885"/>
      <c r="Q13" s="6612">
        <v>0</v>
      </c>
      <c r="R13" s="6885"/>
      <c r="S13" s="6612">
        <v>0</v>
      </c>
      <c r="T13" s="6885"/>
      <c r="U13" s="435" t="s">
        <v>872</v>
      </c>
      <c r="V13" s="866"/>
      <c r="AH13" s="651">
        <v>0</v>
      </c>
    </row>
    <row customHeight="1" ht="22.5">
      <c r="A14" s="2551"/>
      <c r="D14" s="685" t="s">
        <v>105</v>
      </c>
      <c r="E14" s="425" t="s">
        <v>873</v>
      </c>
      <c r="F14" s="806" t="s">
        <v>874</v>
      </c>
      <c r="G14" s="703"/>
      <c r="H14" s="808"/>
      <c r="I14" s="703">
        <v>0</v>
      </c>
      <c r="J14" s="808"/>
      <c r="K14" s="6612">
        <v>0</v>
      </c>
      <c r="L14" s="6885"/>
      <c r="M14" s="6612">
        <v>0</v>
      </c>
      <c r="N14" s="6885"/>
      <c r="O14" s="6612">
        <v>0</v>
      </c>
      <c r="P14" s="6885"/>
      <c r="Q14" s="6612">
        <v>0</v>
      </c>
      <c r="R14" s="6885"/>
      <c r="S14" s="6612">
        <v>0</v>
      </c>
      <c r="T14" s="6885"/>
      <c r="U14" s="435" t="s">
        <v>875</v>
      </c>
      <c r="V14" s="866"/>
      <c r="AH14" s="651">
        <v>0</v>
      </c>
    </row>
    <row s="7235" customFormat="1" customHeight="1" ht="78.75">
      <c r="A15" s="2551"/>
      <c r="B15" s="657"/>
      <c r="D15" s="1099" t="s">
        <v>91</v>
      </c>
      <c r="E15" s="853" t="s">
        <v>876</v>
      </c>
      <c r="F15" s="1096" t="s">
        <v>328</v>
      </c>
      <c r="G15" s="1096" t="s">
        <v>328</v>
      </c>
      <c r="H15" s="252"/>
      <c r="I15" s="1096" t="s">
        <v>328</v>
      </c>
      <c r="J15" s="252"/>
      <c r="K15" s="7599" t="s">
        <v>328</v>
      </c>
      <c r="L15" s="7766"/>
      <c r="M15" s="7599" t="s">
        <v>328</v>
      </c>
      <c r="N15" s="7766"/>
      <c r="O15" s="7599" t="s">
        <v>328</v>
      </c>
      <c r="P15" s="7766"/>
      <c r="Q15" s="7599" t="s">
        <v>328</v>
      </c>
      <c r="R15" s="7766"/>
      <c r="S15" s="7599" t="s">
        <v>328</v>
      </c>
      <c r="T15" s="7766"/>
      <c r="U15" s="435" t="s">
        <v>877</v>
      </c>
      <c r="V15" s="866"/>
      <c r="AH15" s="904">
        <v>0</v>
      </c>
    </row>
    <row s="7235" customFormat="1" customHeight="1" ht="22.5">
      <c r="A16" s="2551"/>
      <c r="B16" s="657"/>
      <c r="D16" s="1099" t="s">
        <v>346</v>
      </c>
      <c r="E16" s="1100" t="s">
        <v>878</v>
      </c>
      <c r="F16" s="1096" t="s">
        <v>879</v>
      </c>
      <c r="G16" s="963"/>
      <c r="H16" s="252"/>
      <c r="I16" s="963"/>
      <c r="J16" s="252"/>
      <c r="K16" s="6890"/>
      <c r="L16" s="7766"/>
      <c r="M16" s="6890"/>
      <c r="N16" s="7766"/>
      <c r="O16" s="6890"/>
      <c r="P16" s="7766"/>
      <c r="Q16" s="6890"/>
      <c r="R16" s="7766"/>
      <c r="S16" s="6890"/>
      <c r="T16" s="7766"/>
      <c r="U16" s="435"/>
      <c r="V16" s="866"/>
      <c r="AH16" s="904">
        <v>0</v>
      </c>
    </row>
    <row s="7235" customFormat="1" customHeight="1" ht="22.5">
      <c r="A17" s="2551"/>
      <c r="B17" s="657"/>
      <c r="D17" s="1099" t="s">
        <v>354</v>
      </c>
      <c r="E17" s="1100" t="s">
        <v>880</v>
      </c>
      <c r="F17" s="1096" t="s">
        <v>881</v>
      </c>
      <c r="G17" s="963"/>
      <c r="H17" s="252"/>
      <c r="I17" s="963"/>
      <c r="J17" s="252"/>
      <c r="K17" s="6890"/>
      <c r="L17" s="7766"/>
      <c r="M17" s="6890"/>
      <c r="N17" s="7766"/>
      <c r="O17" s="6890"/>
      <c r="P17" s="7766"/>
      <c r="Q17" s="6890"/>
      <c r="R17" s="7766"/>
      <c r="S17" s="6890"/>
      <c r="T17" s="7766"/>
      <c r="U17" s="435"/>
      <c r="V17" s="866"/>
      <c r="AH17" s="904">
        <v>0</v>
      </c>
    </row>
    <row s="7235" customFormat="1" customHeight="1" ht="33.75">
      <c r="A18" s="2551"/>
      <c r="B18" s="657"/>
      <c r="D18" s="1099" t="s">
        <v>356</v>
      </c>
      <c r="E18" s="1100" t="s">
        <v>882</v>
      </c>
      <c r="F18" s="1096" t="s">
        <v>598</v>
      </c>
      <c r="G18" s="826"/>
      <c r="H18" s="252"/>
      <c r="I18" s="826"/>
      <c r="J18" s="252"/>
      <c r="K18" s="6891"/>
      <c r="L18" s="7766"/>
      <c r="M18" s="6891"/>
      <c r="N18" s="7766"/>
      <c r="O18" s="6891"/>
      <c r="P18" s="7766"/>
      <c r="Q18" s="6891"/>
      <c r="R18" s="7766"/>
      <c r="S18" s="6891"/>
      <c r="T18" s="7766"/>
      <c r="U18" s="435"/>
      <c r="V18" s="866"/>
      <c r="AH18" s="904">
        <v>0</v>
      </c>
    </row>
    <row customHeight="1" ht="101.25">
      <c r="A19" s="2551"/>
      <c r="D19" s="1099" t="s">
        <v>92</v>
      </c>
      <c r="E19" s="425" t="s">
        <v>883</v>
      </c>
      <c r="F19" s="806" t="s">
        <v>568</v>
      </c>
      <c r="G19" s="809"/>
      <c r="H19" s="808"/>
      <c r="I19" s="7684" t="s">
        <v>884</v>
      </c>
      <c r="J19" s="8662" t="s">
        <v>885</v>
      </c>
      <c r="K19" s="7684" t="s">
        <v>884</v>
      </c>
      <c r="L19" s="8662" t="s">
        <v>885</v>
      </c>
      <c r="M19" s="7684" t="s">
        <v>884</v>
      </c>
      <c r="N19" s="8662" t="s">
        <v>885</v>
      </c>
      <c r="O19" s="7684" t="s">
        <v>884</v>
      </c>
      <c r="P19" s="8662" t="s">
        <v>886</v>
      </c>
      <c r="Q19" s="7684" t="s">
        <v>884</v>
      </c>
      <c r="R19" s="8662" t="s">
        <v>885</v>
      </c>
      <c r="S19" s="7684" t="s">
        <v>884</v>
      </c>
      <c r="T19" s="8662" t="s">
        <v>885</v>
      </c>
      <c r="U19" s="435" t="s">
        <v>887</v>
      </c>
      <c r="V19" s="866"/>
      <c r="AH19" s="651">
        <v>0</v>
      </c>
    </row>
    <row s="7235" customFormat="1" customHeight="1" ht="18.75">
      <c r="A20" s="2551"/>
      <c r="C20" s="1102"/>
      <c r="D20" s="1099" t="s">
        <v>803</v>
      </c>
      <c r="E20" s="1100" t="s">
        <v>888</v>
      </c>
      <c r="F20" s="1096" t="s">
        <v>328</v>
      </c>
      <c r="G20" s="1096" t="s">
        <v>328</v>
      </c>
      <c r="H20" s="1095" t="s">
        <v>328</v>
      </c>
      <c r="I20" s="1096" t="s">
        <v>328</v>
      </c>
      <c r="J20" s="1095" t="s">
        <v>328</v>
      </c>
      <c r="K20" s="7599" t="s">
        <v>328</v>
      </c>
      <c r="L20" s="7277" t="s">
        <v>328</v>
      </c>
      <c r="M20" s="7599" t="s">
        <v>328</v>
      </c>
      <c r="N20" s="7277" t="s">
        <v>328</v>
      </c>
      <c r="O20" s="7599" t="s">
        <v>328</v>
      </c>
      <c r="P20" s="7277" t="s">
        <v>328</v>
      </c>
      <c r="Q20" s="7599" t="s">
        <v>328</v>
      </c>
      <c r="R20" s="7277" t="s">
        <v>328</v>
      </c>
      <c r="S20" s="7599" t="s">
        <v>328</v>
      </c>
      <c r="T20" s="7277" t="s">
        <v>328</v>
      </c>
      <c r="U20" s="1094"/>
      <c r="V20" s="866"/>
      <c r="AG20" s="821"/>
      <c r="AH20" s="904">
        <v>0</v>
      </c>
    </row>
    <row s="7235" customFormat="1" customHeight="1" ht="33.75">
      <c r="A21" s="2551"/>
      <c r="C21" s="1102"/>
      <c r="D21" s="1099" t="s">
        <v>806</v>
      </c>
      <c r="E21" s="722" t="s">
        <v>889</v>
      </c>
      <c r="F21" s="1096" t="s">
        <v>890</v>
      </c>
      <c r="G21" s="826"/>
      <c r="H21" s="252"/>
      <c r="I21" s="826">
        <v>0.07</v>
      </c>
      <c r="J21" s="252"/>
      <c r="K21" s="6891">
        <v>0.76</v>
      </c>
      <c r="L21" s="7766"/>
      <c r="M21" s="6891"/>
      <c r="N21" s="7766"/>
      <c r="O21" s="6891">
        <v>0.51</v>
      </c>
      <c r="P21" s="7766"/>
      <c r="Q21" s="6891">
        <v>0.18</v>
      </c>
      <c r="R21" s="7766"/>
      <c r="S21" s="6891"/>
      <c r="T21" s="7766"/>
      <c r="U21" s="1094"/>
      <c r="V21" s="866"/>
      <c r="AG21" s="821"/>
      <c r="AH21" s="904">
        <v>0</v>
      </c>
    </row>
    <row s="7235" customFormat="1" customHeight="1" ht="33.75">
      <c r="A22" s="2551"/>
      <c r="C22" s="1102"/>
      <c r="D22" s="1099" t="s">
        <v>809</v>
      </c>
      <c r="E22" s="722" t="s">
        <v>891</v>
      </c>
      <c r="F22" s="1096" t="s">
        <v>892</v>
      </c>
      <c r="G22" s="826"/>
      <c r="H22" s="252"/>
      <c r="I22" s="826">
        <v>0</v>
      </c>
      <c r="J22" s="252"/>
      <c r="K22" s="6891">
        <v>0</v>
      </c>
      <c r="L22" s="7766"/>
      <c r="M22" s="6891"/>
      <c r="N22" s="7766"/>
      <c r="O22" s="6891">
        <v>0.16</v>
      </c>
      <c r="P22" s="7766"/>
      <c r="Q22" s="6891">
        <v>0</v>
      </c>
      <c r="R22" s="7766"/>
      <c r="S22" s="6891"/>
      <c r="T22" s="7766"/>
      <c r="U22" s="1094"/>
      <c r="V22" s="866"/>
      <c r="AG22" s="821"/>
      <c r="AH22" s="904">
        <v>0</v>
      </c>
    </row>
    <row s="7235" customFormat="1" customHeight="1" ht="22.5">
      <c r="A23" s="2551"/>
      <c r="C23" s="1102"/>
      <c r="D23" s="1099" t="s">
        <v>847</v>
      </c>
      <c r="E23" s="1100" t="s">
        <v>893</v>
      </c>
      <c r="F23" s="1096" t="s">
        <v>328</v>
      </c>
      <c r="G23" s="1096" t="s">
        <v>328</v>
      </c>
      <c r="H23" s="1095" t="s">
        <v>328</v>
      </c>
      <c r="I23" s="1096" t="s">
        <v>328</v>
      </c>
      <c r="J23" s="1095" t="s">
        <v>328</v>
      </c>
      <c r="K23" s="7599" t="s">
        <v>328</v>
      </c>
      <c r="L23" s="7277" t="s">
        <v>328</v>
      </c>
      <c r="M23" s="7599" t="s">
        <v>328</v>
      </c>
      <c r="N23" s="7277" t="s">
        <v>328</v>
      </c>
      <c r="O23" s="7599" t="s">
        <v>328</v>
      </c>
      <c r="P23" s="7277" t="s">
        <v>328</v>
      </c>
      <c r="Q23" s="7599" t="s">
        <v>328</v>
      </c>
      <c r="R23" s="7277" t="s">
        <v>328</v>
      </c>
      <c r="S23" s="7599" t="s">
        <v>328</v>
      </c>
      <c r="T23" s="7277" t="s">
        <v>328</v>
      </c>
      <c r="U23" s="1094"/>
      <c r="V23" s="866"/>
      <c r="AG23" s="821"/>
      <c r="AH23" s="904">
        <v>0</v>
      </c>
    </row>
    <row s="7235" customFormat="1" customHeight="1" ht="22.5">
      <c r="A24" s="2551"/>
      <c r="C24" s="1102"/>
      <c r="D24" s="1099" t="s">
        <v>894</v>
      </c>
      <c r="E24" s="722" t="s">
        <v>895</v>
      </c>
      <c r="F24" s="1096" t="s">
        <v>896</v>
      </c>
      <c r="G24" s="826"/>
      <c r="H24" s="832"/>
      <c r="I24" s="826">
        <v>157.43</v>
      </c>
      <c r="J24" s="832"/>
      <c r="K24" s="6891"/>
      <c r="L24" s="6899"/>
      <c r="M24" s="6891"/>
      <c r="N24" s="6899"/>
      <c r="O24" s="6891">
        <v>222.3</v>
      </c>
      <c r="P24" s="6899"/>
      <c r="Q24" s="6891">
        <v>171.45</v>
      </c>
      <c r="R24" s="6899"/>
      <c r="S24" s="6891"/>
      <c r="T24" s="6899"/>
      <c r="U24" s="1094"/>
      <c r="V24" s="866"/>
      <c r="AG24" s="821"/>
      <c r="AH24" s="904">
        <v>0</v>
      </c>
    </row>
    <row s="7235" customFormat="1" customHeight="1" ht="22.5">
      <c r="A25" s="2551"/>
      <c r="C25" s="1102"/>
      <c r="D25" s="1099" t="s">
        <v>897</v>
      </c>
      <c r="E25" s="722" t="s">
        <v>898</v>
      </c>
      <c r="F25" s="1096" t="s">
        <v>328</v>
      </c>
      <c r="G25" s="1096" t="s">
        <v>328</v>
      </c>
      <c r="H25" s="1095" t="s">
        <v>328</v>
      </c>
      <c r="I25" s="1096" t="s">
        <v>328</v>
      </c>
      <c r="J25" s="1095" t="s">
        <v>328</v>
      </c>
      <c r="K25" s="7599" t="s">
        <v>328</v>
      </c>
      <c r="L25" s="7277" t="s">
        <v>328</v>
      </c>
      <c r="M25" s="7599" t="s">
        <v>328</v>
      </c>
      <c r="N25" s="7277" t="s">
        <v>328</v>
      </c>
      <c r="O25" s="7599" t="s">
        <v>328</v>
      </c>
      <c r="P25" s="7277" t="s">
        <v>328</v>
      </c>
      <c r="Q25" s="7599" t="s">
        <v>328</v>
      </c>
      <c r="R25" s="7277" t="s">
        <v>328</v>
      </c>
      <c r="S25" s="7599" t="s">
        <v>328</v>
      </c>
      <c r="T25" s="7277" t="s">
        <v>328</v>
      </c>
      <c r="U25" s="1094"/>
      <c r="V25" s="866"/>
      <c r="AG25" s="821"/>
      <c r="AH25" s="904">
        <v>0</v>
      </c>
    </row>
    <row s="7235" customFormat="1" customHeight="1" ht="18.75">
      <c r="A26" s="2551"/>
      <c r="C26" s="1102"/>
      <c r="D26" s="1099" t="s">
        <v>899</v>
      </c>
      <c r="E26" s="699" t="s">
        <v>900</v>
      </c>
      <c r="F26" s="1096" t="s">
        <v>901</v>
      </c>
      <c r="G26" s="826"/>
      <c r="H26" s="832"/>
      <c r="I26" s="826">
        <v>2.29</v>
      </c>
      <c r="J26" s="832"/>
      <c r="K26" s="6891">
        <v>1.99</v>
      </c>
      <c r="L26" s="6899"/>
      <c r="M26" s="6891"/>
      <c r="N26" s="6899"/>
      <c r="O26" s="6891">
        <v>2.16</v>
      </c>
      <c r="P26" s="6899"/>
      <c r="Q26" s="6891">
        <v>2.22</v>
      </c>
      <c r="R26" s="6899"/>
      <c r="S26" s="6891"/>
      <c r="T26" s="6899"/>
      <c r="U26" s="1094"/>
      <c r="V26" s="866"/>
      <c r="AG26" s="821"/>
      <c r="AH26" s="904">
        <v>0</v>
      </c>
    </row>
    <row s="7235" customFormat="1" customHeight="1" ht="18.75">
      <c r="A27" s="2551"/>
      <c r="C27" s="1102"/>
      <c r="D27" s="1099" t="s">
        <v>902</v>
      </c>
      <c r="E27" s="699" t="s">
        <v>903</v>
      </c>
      <c r="F27" s="1096" t="s">
        <v>904</v>
      </c>
      <c r="G27" s="826"/>
      <c r="H27" s="832"/>
      <c r="I27" s="826">
        <v>2.37</v>
      </c>
      <c r="J27" s="832"/>
      <c r="K27" s="6891">
        <v>8.85</v>
      </c>
      <c r="L27" s="6899"/>
      <c r="M27" s="6891"/>
      <c r="N27" s="6899"/>
      <c r="O27" s="6891">
        <v>5.58</v>
      </c>
      <c r="P27" s="6899"/>
      <c r="Q27" s="6891">
        <v>2.65</v>
      </c>
      <c r="R27" s="6899"/>
      <c r="S27" s="6891"/>
      <c r="T27" s="6899"/>
      <c r="U27" s="1094"/>
      <c r="V27" s="866"/>
      <c r="AG27" s="821"/>
      <c r="AH27" s="904">
        <v>0</v>
      </c>
    </row>
    <row s="7235" customFormat="1" customHeight="1" ht="18.75">
      <c r="A28" s="2551"/>
      <c r="C28" s="1102"/>
      <c r="D28" s="1099" t="s">
        <v>905</v>
      </c>
      <c r="E28" s="722" t="s">
        <v>906</v>
      </c>
      <c r="F28" s="1096" t="s">
        <v>328</v>
      </c>
      <c r="G28" s="1096" t="s">
        <v>328</v>
      </c>
      <c r="H28" s="1095" t="s">
        <v>328</v>
      </c>
      <c r="I28" s="1096" t="s">
        <v>328</v>
      </c>
      <c r="J28" s="1095" t="s">
        <v>328</v>
      </c>
      <c r="K28" s="7599" t="s">
        <v>328</v>
      </c>
      <c r="L28" s="7277" t="s">
        <v>328</v>
      </c>
      <c r="M28" s="7599" t="s">
        <v>328</v>
      </c>
      <c r="N28" s="7277" t="s">
        <v>328</v>
      </c>
      <c r="O28" s="7599" t="s">
        <v>328</v>
      </c>
      <c r="P28" s="7277" t="s">
        <v>328</v>
      </c>
      <c r="Q28" s="7599" t="s">
        <v>328</v>
      </c>
      <c r="R28" s="7277" t="s">
        <v>328</v>
      </c>
      <c r="S28" s="7599" t="s">
        <v>328</v>
      </c>
      <c r="T28" s="7277" t="s">
        <v>328</v>
      </c>
      <c r="U28" s="1094"/>
      <c r="V28" s="866"/>
      <c r="AG28" s="821"/>
      <c r="AH28" s="904">
        <v>0</v>
      </c>
    </row>
    <row s="7235" customFormat="1" customHeight="1" ht="18.75">
      <c r="A29" s="2551"/>
      <c r="C29" s="1102"/>
      <c r="D29" s="1099" t="s">
        <v>907</v>
      </c>
      <c r="E29" s="699" t="s">
        <v>900</v>
      </c>
      <c r="F29" s="1096" t="s">
        <v>908</v>
      </c>
      <c r="G29" s="826"/>
      <c r="H29" s="832"/>
      <c r="I29" s="826">
        <v>29710</v>
      </c>
      <c r="J29" s="832"/>
      <c r="K29" s="6891">
        <v>385255</v>
      </c>
      <c r="L29" s="6899"/>
      <c r="M29" s="6891"/>
      <c r="N29" s="6899"/>
      <c r="O29" s="6891">
        <v>37135</v>
      </c>
      <c r="P29" s="6899"/>
      <c r="Q29" s="6891">
        <v>24279</v>
      </c>
      <c r="R29" s="6899"/>
      <c r="S29" s="6891"/>
      <c r="T29" s="6899"/>
      <c r="U29" s="1094"/>
      <c r="V29" s="866"/>
      <c r="AG29" s="821"/>
      <c r="AH29" s="904">
        <v>0</v>
      </c>
    </row>
    <row s="7235" customFormat="1" customHeight="1" ht="18.75">
      <c r="A30" s="2551"/>
      <c r="C30" s="1102"/>
      <c r="D30" s="1099" t="s">
        <v>909</v>
      </c>
      <c r="E30" s="699" t="s">
        <v>910</v>
      </c>
      <c r="F30" s="1096" t="s">
        <v>911</v>
      </c>
      <c r="G30" s="826"/>
      <c r="H30" s="832"/>
      <c r="I30" s="826">
        <v>30767</v>
      </c>
      <c r="J30" s="832"/>
      <c r="K30" s="6891">
        <v>1712941</v>
      </c>
      <c r="L30" s="6899"/>
      <c r="M30" s="6891"/>
      <c r="N30" s="6899"/>
      <c r="O30" s="6891">
        <v>96115</v>
      </c>
      <c r="P30" s="6899"/>
      <c r="Q30" s="6891">
        <v>28938</v>
      </c>
      <c r="R30" s="6899"/>
      <c r="S30" s="6891"/>
      <c r="T30" s="6899"/>
      <c r="U30" s="1094"/>
      <c r="V30" s="866"/>
      <c r="AG30" s="821"/>
      <c r="AH30" s="904">
        <v>0</v>
      </c>
    </row>
    <row customHeight="1" ht="126.75">
      <c r="A31" s="2551"/>
      <c r="D31" s="1099" t="s">
        <v>122</v>
      </c>
      <c r="E31" s="425" t="s">
        <v>912</v>
      </c>
      <c r="F31" s="806" t="s">
        <v>580</v>
      </c>
      <c r="G31" s="703"/>
      <c r="H31" s="808"/>
      <c r="I31" s="703">
        <v>100</v>
      </c>
      <c r="J31" s="808"/>
      <c r="K31" s="6612">
        <v>100</v>
      </c>
      <c r="L31" s="6885"/>
      <c r="M31" s="6612">
        <v>0</v>
      </c>
      <c r="N31" s="6885"/>
      <c r="O31" s="6612">
        <v>100</v>
      </c>
      <c r="P31" s="6885"/>
      <c r="Q31" s="6612">
        <v>100</v>
      </c>
      <c r="R31" s="6885"/>
      <c r="S31" s="6612">
        <v>0</v>
      </c>
      <c r="T31" s="6885"/>
      <c r="U31" s="435" t="s">
        <v>913</v>
      </c>
      <c r="V31" s="866"/>
      <c r="AH31" s="651">
        <v>0</v>
      </c>
    </row>
    <row customHeight="1" ht="56.25">
      <c r="A32" s="2551"/>
      <c r="D32" s="1099" t="s">
        <v>93</v>
      </c>
      <c r="E32" s="425" t="s">
        <v>914</v>
      </c>
      <c r="F32" s="685" t="s">
        <v>881</v>
      </c>
      <c r="G32" s="703"/>
      <c r="H32" s="808"/>
      <c r="I32" s="703">
        <v>30</v>
      </c>
      <c r="J32" s="808"/>
      <c r="K32" s="6612">
        <v>30</v>
      </c>
      <c r="L32" s="6885"/>
      <c r="M32" s="6612">
        <v>0</v>
      </c>
      <c r="N32" s="6885"/>
      <c r="O32" s="6612">
        <v>30</v>
      </c>
      <c r="P32" s="6885"/>
      <c r="Q32" s="6612">
        <v>30</v>
      </c>
      <c r="R32" s="6885"/>
      <c r="S32" s="6612">
        <v>0</v>
      </c>
      <c r="T32" s="6885"/>
      <c r="U32" s="435" t="s">
        <v>915</v>
      </c>
      <c r="V32" s="866"/>
      <c r="AH32" s="651">
        <v>0</v>
      </c>
    </row>
    <row customHeight="1" ht="11.25">
      <c r="A33" s="2551"/>
      <c r="E33" s="810"/>
      <c r="F33" s="327"/>
      <c r="G33" s="327"/>
      <c r="H33" s="327"/>
      <c r="I33" s="327"/>
      <c r="J33" s="327"/>
      <c r="K33" s="7138"/>
      <c r="L33" s="7138"/>
      <c r="M33" s="7138"/>
      <c r="N33" s="7138"/>
      <c r="O33" s="7138"/>
      <c r="P33" s="7138"/>
      <c r="Q33" s="7138"/>
      <c r="R33" s="7138"/>
      <c r="S33" s="7138"/>
      <c r="T33" s="7138"/>
      <c r="U33" s="327"/>
      <c r="AH33" s="651">
        <v>0</v>
      </c>
    </row>
    <row customHeight="1" ht="12.75">
      <c r="A34" s="2551"/>
      <c r="D34" s="211">
        <v>1</v>
      </c>
      <c r="E34" s="481" t="s">
        <v>916</v>
      </c>
      <c r="K34" s="7235"/>
      <c r="L34" s="7235"/>
      <c r="M34" s="7235"/>
      <c r="N34" s="7235"/>
      <c r="O34" s="7235"/>
      <c r="P34" s="7235"/>
      <c r="Q34" s="7235"/>
      <c r="R34" s="7235"/>
      <c r="S34" s="7235"/>
      <c r="T34" s="7235"/>
      <c r="AH34" s="651">
        <v>0</v>
      </c>
    </row>
    <row customHeight="1" ht="11.25">
      <c r="A35" s="2551"/>
      <c r="D35" s="515"/>
      <c r="E35" s="481" t="s">
        <v>917</v>
      </c>
      <c r="K35" s="7235"/>
      <c r="L35" s="7235"/>
      <c r="M35" s="7235"/>
      <c r="N35" s="7235"/>
      <c r="O35" s="7235"/>
      <c r="P35" s="7235"/>
      <c r="Q35" s="7235"/>
      <c r="R35" s="7235"/>
      <c r="S35" s="7235"/>
      <c r="T35" s="7235"/>
      <c r="AH35" s="651">
        <v>0</v>
      </c>
    </row>
    <row s="7235" customFormat="1" customHeight="1" ht="11.549999999999999">
      <c r="A36" s="1179"/>
      <c r="B36" s="664"/>
      <c r="D36" s="1180"/>
      <c r="E36" s="1181"/>
      <c r="K36" s="7235"/>
      <c r="L36" s="7235"/>
      <c r="M36" s="7235"/>
      <c r="N36" s="7235"/>
      <c r="O36" s="7235"/>
      <c r="P36" s="7235"/>
      <c r="Q36" s="7235"/>
      <c r="R36" s="7235"/>
      <c r="S36" s="7235"/>
      <c r="T36" s="7235"/>
      <c r="AH36" s="655">
        <v>11</v>
      </c>
    </row>
    <row s="7235" customFormat="1" customHeight="1" ht="22.5" hidden="1">
      <c r="A37" s="2551" t="s">
        <v>918</v>
      </c>
      <c r="B37" s="657"/>
      <c r="D37" s="1099">
        <v>1</v>
      </c>
      <c r="E37" s="853" t="s">
        <v>919</v>
      </c>
      <c r="F37" s="806" t="s">
        <v>871</v>
      </c>
      <c r="G37" s="703"/>
      <c r="H37" s="665"/>
      <c r="I37" s="703"/>
      <c r="J37" s="665"/>
      <c r="K37" s="6612"/>
      <c r="L37" s="6904"/>
      <c r="M37" s="6612"/>
      <c r="N37" s="6904"/>
      <c r="O37" s="6612"/>
      <c r="P37" s="6904"/>
      <c r="Q37" s="6612"/>
      <c r="R37" s="6904"/>
      <c r="S37" s="6612"/>
      <c r="T37" s="6904"/>
      <c r="U37" s="435" t="s">
        <v>920</v>
      </c>
      <c r="AH37" s="904">
        <v>0</v>
      </c>
    </row>
    <row s="7235" customFormat="1" customHeight="1" ht="22.5" hidden="1">
      <c r="A38" s="2551"/>
      <c r="B38" s="657"/>
      <c r="D38" s="815" t="s">
        <v>105</v>
      </c>
      <c r="E38" s="1178" t="s">
        <v>921</v>
      </c>
      <c r="F38" s="1182" t="s">
        <v>568</v>
      </c>
      <c r="G38" s="1182" t="s">
        <v>568</v>
      </c>
      <c r="H38" s="1176"/>
      <c r="I38" s="1182" t="s">
        <v>568</v>
      </c>
      <c r="J38" s="1176"/>
      <c r="K38" s="6907" t="s">
        <v>568</v>
      </c>
      <c r="L38" s="6908"/>
      <c r="M38" s="6907" t="s">
        <v>568</v>
      </c>
      <c r="N38" s="6908"/>
      <c r="O38" s="6907" t="s">
        <v>568</v>
      </c>
      <c r="P38" s="6908"/>
      <c r="Q38" s="6907" t="s">
        <v>568</v>
      </c>
      <c r="R38" s="6908"/>
      <c r="S38" s="6907" t="s">
        <v>568</v>
      </c>
      <c r="T38" s="6908"/>
      <c r="U38" s="1177"/>
      <c r="AH38" s="904">
        <v>0</v>
      </c>
    </row>
    <row s="7235" customFormat="1" customHeight="1" ht="33.75" hidden="1">
      <c r="A39" s="2551"/>
      <c r="B39" s="657"/>
      <c r="D39" s="811" t="s">
        <v>755</v>
      </c>
      <c r="E39" s="869" t="s">
        <v>922</v>
      </c>
      <c r="F39" s="806" t="s">
        <v>923</v>
      </c>
      <c r="G39" s="814"/>
      <c r="H39" s="1169"/>
      <c r="I39" s="814"/>
      <c r="J39" s="1169"/>
      <c r="K39" s="7674"/>
      <c r="L39" s="6912"/>
      <c r="M39" s="7674"/>
      <c r="N39" s="6912"/>
      <c r="O39" s="7674"/>
      <c r="P39" s="6912"/>
      <c r="Q39" s="7674"/>
      <c r="R39" s="6912"/>
      <c r="S39" s="7674"/>
      <c r="T39" s="6912"/>
      <c r="U39" s="435" t="s">
        <v>924</v>
      </c>
      <c r="AH39" s="904">
        <v>0</v>
      </c>
    </row>
    <row s="7235" customFormat="1" customHeight="1" ht="33.75" hidden="1">
      <c r="A40" s="2551"/>
      <c r="B40" s="657"/>
      <c r="D40" s="811" t="s">
        <v>758</v>
      </c>
      <c r="E40" s="869" t="s">
        <v>925</v>
      </c>
      <c r="F40" s="1173" t="s">
        <v>926</v>
      </c>
      <c r="G40" s="887"/>
      <c r="H40" s="1169"/>
      <c r="I40" s="887"/>
      <c r="J40" s="1169"/>
      <c r="K40" s="6914"/>
      <c r="L40" s="6912"/>
      <c r="M40" s="6914"/>
      <c r="N40" s="6912"/>
      <c r="O40" s="6914"/>
      <c r="P40" s="6912"/>
      <c r="Q40" s="6914"/>
      <c r="R40" s="6912"/>
      <c r="S40" s="6914"/>
      <c r="T40" s="6912"/>
      <c r="U40" s="435" t="s">
        <v>927</v>
      </c>
      <c r="AH40" s="904">
        <v>0</v>
      </c>
    </row>
    <row s="7235" customFormat="1" customHeight="1" ht="22.5" hidden="1">
      <c r="A41" s="2551"/>
      <c r="B41" s="657"/>
      <c r="D41" s="811" t="s">
        <v>91</v>
      </c>
      <c r="E41" s="868" t="s">
        <v>928</v>
      </c>
      <c r="F41" s="806" t="s">
        <v>568</v>
      </c>
      <c r="G41" s="806" t="s">
        <v>568</v>
      </c>
      <c r="H41" s="1170"/>
      <c r="I41" s="806" t="s">
        <v>568</v>
      </c>
      <c r="J41" s="1170"/>
      <c r="K41" s="6884" t="s">
        <v>568</v>
      </c>
      <c r="L41" s="6916"/>
      <c r="M41" s="6884" t="s">
        <v>568</v>
      </c>
      <c r="N41" s="6916"/>
      <c r="O41" s="6884" t="s">
        <v>568</v>
      </c>
      <c r="P41" s="6916"/>
      <c r="Q41" s="6884" t="s">
        <v>568</v>
      </c>
      <c r="R41" s="6916"/>
      <c r="S41" s="6884" t="s">
        <v>568</v>
      </c>
      <c r="T41" s="6916"/>
      <c r="U41" s="448"/>
      <c r="AH41" s="904">
        <v>0</v>
      </c>
    </row>
    <row s="7235" customFormat="1" customHeight="1" ht="45" hidden="1">
      <c r="A42" s="2551"/>
      <c r="B42" s="657"/>
      <c r="D42" s="811" t="s">
        <v>346</v>
      </c>
      <c r="E42" s="869" t="s">
        <v>929</v>
      </c>
      <c r="F42" s="806" t="s">
        <v>580</v>
      </c>
      <c r="G42" s="703"/>
      <c r="H42" s="1170"/>
      <c r="I42" s="703"/>
      <c r="J42" s="1170"/>
      <c r="K42" s="6612"/>
      <c r="L42" s="6916"/>
      <c r="M42" s="6612"/>
      <c r="N42" s="6916"/>
      <c r="O42" s="6612"/>
      <c r="P42" s="6916"/>
      <c r="Q42" s="6612"/>
      <c r="R42" s="6916"/>
      <c r="S42" s="6612"/>
      <c r="T42" s="6916"/>
      <c r="U42" s="448" t="s">
        <v>930</v>
      </c>
      <c r="AH42" s="904">
        <v>0</v>
      </c>
    </row>
    <row s="7235" customFormat="1" customHeight="1" ht="45" hidden="1">
      <c r="A43" s="2551"/>
      <c r="B43" s="657"/>
      <c r="D43" s="811" t="s">
        <v>354</v>
      </c>
      <c r="E43" s="813" t="s">
        <v>931</v>
      </c>
      <c r="F43" s="1174" t="s">
        <v>580</v>
      </c>
      <c r="G43" s="888"/>
      <c r="H43" s="1169"/>
      <c r="I43" s="888"/>
      <c r="J43" s="1169"/>
      <c r="K43" s="6672"/>
      <c r="L43" s="6912"/>
      <c r="M43" s="6672"/>
      <c r="N43" s="6912"/>
      <c r="O43" s="6672"/>
      <c r="P43" s="6912"/>
      <c r="Q43" s="6672"/>
      <c r="R43" s="6912"/>
      <c r="S43" s="6672"/>
      <c r="T43" s="6912"/>
      <c r="U43" s="448" t="s">
        <v>932</v>
      </c>
      <c r="AH43" s="904">
        <v>0</v>
      </c>
    </row>
    <row s="7235" customFormat="1" customHeight="1" ht="22.5" hidden="1">
      <c r="A44" s="2551"/>
      <c r="B44" s="657"/>
      <c r="D44" s="811" t="s">
        <v>92</v>
      </c>
      <c r="E44" s="812" t="s">
        <v>933</v>
      </c>
      <c r="F44" s="806" t="s">
        <v>923</v>
      </c>
      <c r="G44" s="814"/>
      <c r="H44" s="1169"/>
      <c r="I44" s="814"/>
      <c r="J44" s="1169"/>
      <c r="K44" s="7674"/>
      <c r="L44" s="6912"/>
      <c r="M44" s="7674"/>
      <c r="N44" s="6912"/>
      <c r="O44" s="7674"/>
      <c r="P44" s="6912"/>
      <c r="Q44" s="7674"/>
      <c r="R44" s="6912"/>
      <c r="S44" s="7674"/>
      <c r="T44" s="6912"/>
      <c r="U44" s="435"/>
      <c r="AH44" s="904">
        <v>0</v>
      </c>
    </row>
    <row s="7235" customFormat="1" customHeight="1" ht="11.25" hidden="1">
      <c r="A45" s="2551"/>
      <c r="B45" s="657"/>
      <c r="D45" s="811" t="s">
        <v>803</v>
      </c>
      <c r="E45" s="813" t="s">
        <v>934</v>
      </c>
      <c r="F45" s="806" t="s">
        <v>923</v>
      </c>
      <c r="G45" s="814"/>
      <c r="H45" s="1169"/>
      <c r="I45" s="814"/>
      <c r="J45" s="1169"/>
      <c r="K45" s="7674"/>
      <c r="L45" s="6912"/>
      <c r="M45" s="7674"/>
      <c r="N45" s="6912"/>
      <c r="O45" s="7674"/>
      <c r="P45" s="6912"/>
      <c r="Q45" s="7674"/>
      <c r="R45" s="6912"/>
      <c r="S45" s="7674"/>
      <c r="T45" s="6912"/>
      <c r="U45" s="435"/>
      <c r="AH45" s="904">
        <v>0</v>
      </c>
    </row>
    <row s="7235" customFormat="1" customHeight="1" ht="11.25" hidden="1">
      <c r="A46" s="2551"/>
      <c r="B46" s="657"/>
      <c r="D46" s="811" t="s">
        <v>847</v>
      </c>
      <c r="E46" s="813" t="s">
        <v>935</v>
      </c>
      <c r="F46" s="806" t="s">
        <v>923</v>
      </c>
      <c r="G46" s="814"/>
      <c r="H46" s="1169"/>
      <c r="I46" s="814"/>
      <c r="J46" s="1169"/>
      <c r="K46" s="7674"/>
      <c r="L46" s="6912"/>
      <c r="M46" s="7674"/>
      <c r="N46" s="6912"/>
      <c r="O46" s="7674"/>
      <c r="P46" s="6912"/>
      <c r="Q46" s="7674"/>
      <c r="R46" s="6912"/>
      <c r="S46" s="7674"/>
      <c r="T46" s="6912"/>
      <c r="U46" s="435"/>
      <c r="AH46" s="904">
        <v>0</v>
      </c>
    </row>
    <row s="7235" customFormat="1" customHeight="1" ht="11.25" hidden="1">
      <c r="A47" s="2551"/>
      <c r="B47" s="657"/>
      <c r="D47" s="811" t="s">
        <v>850</v>
      </c>
      <c r="E47" s="813" t="s">
        <v>936</v>
      </c>
      <c r="F47" s="806" t="s">
        <v>923</v>
      </c>
      <c r="G47" s="814"/>
      <c r="H47" s="1169"/>
      <c r="I47" s="814"/>
      <c r="J47" s="1169"/>
      <c r="K47" s="7674"/>
      <c r="L47" s="6912"/>
      <c r="M47" s="7674"/>
      <c r="N47" s="6912"/>
      <c r="O47" s="7674"/>
      <c r="P47" s="6912"/>
      <c r="Q47" s="7674"/>
      <c r="R47" s="6912"/>
      <c r="S47" s="7674"/>
      <c r="T47" s="6912"/>
      <c r="U47" s="435"/>
      <c r="AH47" s="904">
        <v>0</v>
      </c>
    </row>
    <row s="7235" customFormat="1" customHeight="1" ht="11.25" hidden="1">
      <c r="A48" s="2551"/>
      <c r="B48" s="657"/>
      <c r="D48" s="811" t="s">
        <v>937</v>
      </c>
      <c r="E48" s="817" t="s">
        <v>938</v>
      </c>
      <c r="F48" s="806" t="s">
        <v>923</v>
      </c>
      <c r="G48" s="814"/>
      <c r="H48" s="1169"/>
      <c r="I48" s="814"/>
      <c r="J48" s="1169"/>
      <c r="K48" s="7674"/>
      <c r="L48" s="6912"/>
      <c r="M48" s="7674"/>
      <c r="N48" s="6912"/>
      <c r="O48" s="7674"/>
      <c r="P48" s="6912"/>
      <c r="Q48" s="7674"/>
      <c r="R48" s="6912"/>
      <c r="S48" s="7674"/>
      <c r="T48" s="6912"/>
      <c r="U48" s="435"/>
      <c r="AH48" s="904">
        <v>0</v>
      </c>
    </row>
    <row s="7235" customFormat="1" customHeight="1" ht="11.25" hidden="1">
      <c r="A49" s="2551"/>
      <c r="B49" s="657"/>
      <c r="D49" s="811" t="s">
        <v>939</v>
      </c>
      <c r="E49" s="817" t="s">
        <v>940</v>
      </c>
      <c r="F49" s="806" t="s">
        <v>923</v>
      </c>
      <c r="G49" s="814"/>
      <c r="H49" s="1169"/>
      <c r="I49" s="814"/>
      <c r="J49" s="1169"/>
      <c r="K49" s="7674"/>
      <c r="L49" s="6912"/>
      <c r="M49" s="7674"/>
      <c r="N49" s="6912"/>
      <c r="O49" s="7674"/>
      <c r="P49" s="6912"/>
      <c r="Q49" s="7674"/>
      <c r="R49" s="6912"/>
      <c r="S49" s="7674"/>
      <c r="T49" s="6912"/>
      <c r="U49" s="435"/>
      <c r="AH49" s="904">
        <v>0</v>
      </c>
    </row>
    <row s="7235" customFormat="1" customHeight="1" ht="11.25" hidden="1">
      <c r="A50" s="2551"/>
      <c r="B50" s="657"/>
      <c r="D50" s="811" t="s">
        <v>941</v>
      </c>
      <c r="E50" s="813" t="s">
        <v>942</v>
      </c>
      <c r="F50" s="806" t="s">
        <v>923</v>
      </c>
      <c r="G50" s="814"/>
      <c r="H50" s="1169"/>
      <c r="I50" s="814"/>
      <c r="J50" s="1169"/>
      <c r="K50" s="7674"/>
      <c r="L50" s="6912"/>
      <c r="M50" s="7674"/>
      <c r="N50" s="6912"/>
      <c r="O50" s="7674"/>
      <c r="P50" s="6912"/>
      <c r="Q50" s="7674"/>
      <c r="R50" s="6912"/>
      <c r="S50" s="7674"/>
      <c r="T50" s="6912"/>
      <c r="U50" s="435"/>
      <c r="AH50" s="904">
        <v>0</v>
      </c>
    </row>
    <row s="7235" customFormat="1" customHeight="1" ht="11.25" hidden="1">
      <c r="A51" s="2551"/>
      <c r="B51" s="657"/>
      <c r="D51" s="811" t="s">
        <v>943</v>
      </c>
      <c r="E51" s="813" t="s">
        <v>944</v>
      </c>
      <c r="F51" s="806" t="s">
        <v>923</v>
      </c>
      <c r="G51" s="814"/>
      <c r="H51" s="1169"/>
      <c r="I51" s="814"/>
      <c r="J51" s="1169"/>
      <c r="K51" s="7674"/>
      <c r="L51" s="6912"/>
      <c r="M51" s="7674"/>
      <c r="N51" s="6912"/>
      <c r="O51" s="7674"/>
      <c r="P51" s="6912"/>
      <c r="Q51" s="7674"/>
      <c r="R51" s="6912"/>
      <c r="S51" s="7674"/>
      <c r="T51" s="6912"/>
      <c r="U51" s="435"/>
      <c r="AH51" s="904">
        <v>0</v>
      </c>
    </row>
    <row s="7235" customFormat="1" customHeight="1" ht="45" hidden="1">
      <c r="A52" s="2551"/>
      <c r="B52" s="657"/>
      <c r="D52" s="811" t="s">
        <v>122</v>
      </c>
      <c r="E52" s="812" t="s">
        <v>945</v>
      </c>
      <c r="F52" s="806" t="s">
        <v>923</v>
      </c>
      <c r="G52" s="814"/>
      <c r="H52" s="1169"/>
      <c r="I52" s="814"/>
      <c r="J52" s="1169"/>
      <c r="K52" s="7674"/>
      <c r="L52" s="6912"/>
      <c r="M52" s="7674"/>
      <c r="N52" s="6912"/>
      <c r="O52" s="7674"/>
      <c r="P52" s="6912"/>
      <c r="Q52" s="7674"/>
      <c r="R52" s="6912"/>
      <c r="S52" s="7674"/>
      <c r="T52" s="6912"/>
      <c r="U52" s="435"/>
      <c r="AH52" s="904">
        <v>0</v>
      </c>
    </row>
    <row s="7235" customFormat="1" customHeight="1" ht="11.25" hidden="1">
      <c r="A53" s="2551"/>
      <c r="B53" s="657"/>
      <c r="D53" s="811" t="s">
        <v>335</v>
      </c>
      <c r="E53" s="813" t="s">
        <v>934</v>
      </c>
      <c r="F53" s="806" t="s">
        <v>923</v>
      </c>
      <c r="G53" s="814"/>
      <c r="H53" s="1169"/>
      <c r="I53" s="814"/>
      <c r="J53" s="1169"/>
      <c r="K53" s="7674"/>
      <c r="L53" s="6912"/>
      <c r="M53" s="7674"/>
      <c r="N53" s="6912"/>
      <c r="O53" s="7674"/>
      <c r="P53" s="6912"/>
      <c r="Q53" s="7674"/>
      <c r="R53" s="6912"/>
      <c r="S53" s="7674"/>
      <c r="T53" s="6912"/>
      <c r="U53" s="435"/>
      <c r="AH53" s="904">
        <v>0</v>
      </c>
    </row>
    <row s="7235" customFormat="1" customHeight="1" ht="11.25" hidden="1">
      <c r="A54" s="2551"/>
      <c r="B54" s="657"/>
      <c r="D54" s="811" t="s">
        <v>946</v>
      </c>
      <c r="E54" s="813" t="s">
        <v>935</v>
      </c>
      <c r="F54" s="806" t="s">
        <v>923</v>
      </c>
      <c r="G54" s="814"/>
      <c r="H54" s="1169"/>
      <c r="I54" s="814"/>
      <c r="J54" s="1169"/>
      <c r="K54" s="7674"/>
      <c r="L54" s="6912"/>
      <c r="M54" s="7674"/>
      <c r="N54" s="6912"/>
      <c r="O54" s="7674"/>
      <c r="P54" s="6912"/>
      <c r="Q54" s="7674"/>
      <c r="R54" s="6912"/>
      <c r="S54" s="7674"/>
      <c r="T54" s="6912"/>
      <c r="U54" s="435"/>
      <c r="AH54" s="904">
        <v>0</v>
      </c>
    </row>
    <row s="7235" customFormat="1" customHeight="1" ht="11.25" hidden="1">
      <c r="A55" s="2551"/>
      <c r="B55" s="657"/>
      <c r="D55" s="811" t="s">
        <v>947</v>
      </c>
      <c r="E55" s="813" t="s">
        <v>936</v>
      </c>
      <c r="F55" s="806" t="s">
        <v>923</v>
      </c>
      <c r="G55" s="814"/>
      <c r="H55" s="1169"/>
      <c r="I55" s="814"/>
      <c r="J55" s="1169"/>
      <c r="K55" s="7674"/>
      <c r="L55" s="6912"/>
      <c r="M55" s="7674"/>
      <c r="N55" s="6912"/>
      <c r="O55" s="7674"/>
      <c r="P55" s="6912"/>
      <c r="Q55" s="7674"/>
      <c r="R55" s="6912"/>
      <c r="S55" s="7674"/>
      <c r="T55" s="6912"/>
      <c r="U55" s="435"/>
      <c r="AH55" s="904">
        <v>0</v>
      </c>
    </row>
    <row s="7235" customFormat="1" customHeight="1" ht="11.25" hidden="1">
      <c r="A56" s="2551"/>
      <c r="B56" s="657"/>
      <c r="D56" s="811" t="s">
        <v>948</v>
      </c>
      <c r="E56" s="817" t="s">
        <v>938</v>
      </c>
      <c r="F56" s="806" t="s">
        <v>923</v>
      </c>
      <c r="G56" s="814"/>
      <c r="H56" s="1169"/>
      <c r="I56" s="814"/>
      <c r="J56" s="1169"/>
      <c r="K56" s="7674"/>
      <c r="L56" s="6912"/>
      <c r="M56" s="7674"/>
      <c r="N56" s="6912"/>
      <c r="O56" s="7674"/>
      <c r="P56" s="6912"/>
      <c r="Q56" s="7674"/>
      <c r="R56" s="6912"/>
      <c r="S56" s="7674"/>
      <c r="T56" s="6912"/>
      <c r="U56" s="435"/>
      <c r="AH56" s="904">
        <v>0</v>
      </c>
    </row>
    <row s="7235" customFormat="1" customHeight="1" ht="11.25" hidden="1">
      <c r="A57" s="2551"/>
      <c r="B57" s="657"/>
      <c r="D57" s="811" t="s">
        <v>949</v>
      </c>
      <c r="E57" s="817" t="s">
        <v>940</v>
      </c>
      <c r="F57" s="806" t="s">
        <v>923</v>
      </c>
      <c r="G57" s="814"/>
      <c r="H57" s="1169"/>
      <c r="I57" s="814"/>
      <c r="J57" s="1169"/>
      <c r="K57" s="7674"/>
      <c r="L57" s="6912"/>
      <c r="M57" s="7674"/>
      <c r="N57" s="6912"/>
      <c r="O57" s="7674"/>
      <c r="P57" s="6912"/>
      <c r="Q57" s="7674"/>
      <c r="R57" s="6912"/>
      <c r="S57" s="7674"/>
      <c r="T57" s="6912"/>
      <c r="U57" s="435"/>
      <c r="AH57" s="904">
        <v>0</v>
      </c>
    </row>
    <row s="7235" customFormat="1" customHeight="1" ht="11.25" hidden="1">
      <c r="A58" s="2551"/>
      <c r="B58" s="657"/>
      <c r="D58" s="811" t="s">
        <v>950</v>
      </c>
      <c r="E58" s="813" t="s">
        <v>942</v>
      </c>
      <c r="F58" s="806" t="s">
        <v>923</v>
      </c>
      <c r="G58" s="814"/>
      <c r="H58" s="1169"/>
      <c r="I58" s="814"/>
      <c r="J58" s="1169"/>
      <c r="K58" s="7674"/>
      <c r="L58" s="6912"/>
      <c r="M58" s="7674"/>
      <c r="N58" s="6912"/>
      <c r="O58" s="7674"/>
      <c r="P58" s="6912"/>
      <c r="Q58" s="7674"/>
      <c r="R58" s="6912"/>
      <c r="S58" s="7674"/>
      <c r="T58" s="6912"/>
      <c r="U58" s="435"/>
      <c r="AH58" s="904">
        <v>0</v>
      </c>
    </row>
    <row s="7235" customFormat="1" customHeight="1" ht="11.25" hidden="1">
      <c r="A59" s="2551"/>
      <c r="B59" s="657"/>
      <c r="D59" s="811" t="s">
        <v>951</v>
      </c>
      <c r="E59" s="813" t="s">
        <v>944</v>
      </c>
      <c r="F59" s="806" t="s">
        <v>923</v>
      </c>
      <c r="G59" s="814"/>
      <c r="H59" s="1169"/>
      <c r="I59" s="814"/>
      <c r="J59" s="1169"/>
      <c r="K59" s="7674"/>
      <c r="L59" s="6912"/>
      <c r="M59" s="7674"/>
      <c r="N59" s="6912"/>
      <c r="O59" s="7674"/>
      <c r="P59" s="6912"/>
      <c r="Q59" s="7674"/>
      <c r="R59" s="6912"/>
      <c r="S59" s="7674"/>
      <c r="T59" s="6912"/>
      <c r="U59" s="435"/>
      <c r="AH59" s="904">
        <v>0</v>
      </c>
    </row>
    <row s="7235" customFormat="1" customHeight="1" ht="33.75" hidden="1">
      <c r="A60" s="2551"/>
      <c r="B60" s="657"/>
      <c r="D60" s="811" t="s">
        <v>93</v>
      </c>
      <c r="E60" s="812" t="s">
        <v>952</v>
      </c>
      <c r="F60" s="867" t="s">
        <v>580</v>
      </c>
      <c r="G60" s="888"/>
      <c r="H60" s="1169"/>
      <c r="I60" s="888"/>
      <c r="J60" s="1169"/>
      <c r="K60" s="6672"/>
      <c r="L60" s="6912"/>
      <c r="M60" s="6672"/>
      <c r="N60" s="6912"/>
      <c r="O60" s="6672"/>
      <c r="P60" s="6912"/>
      <c r="Q60" s="6672"/>
      <c r="R60" s="6912"/>
      <c r="S60" s="6672"/>
      <c r="T60" s="6912"/>
      <c r="U60" s="448" t="s">
        <v>953</v>
      </c>
      <c r="AH60" s="904">
        <v>0</v>
      </c>
    </row>
    <row s="7235" customFormat="1" customHeight="1" ht="33.75" hidden="1">
      <c r="A61" s="2551"/>
      <c r="B61" s="657"/>
      <c r="D61" s="811" t="s">
        <v>94</v>
      </c>
      <c r="E61" s="812" t="s">
        <v>954</v>
      </c>
      <c r="F61" s="872" t="s">
        <v>881</v>
      </c>
      <c r="G61" s="814"/>
      <c r="H61" s="1169"/>
      <c r="I61" s="814"/>
      <c r="J61" s="1169"/>
      <c r="K61" s="7674"/>
      <c r="L61" s="6912"/>
      <c r="M61" s="7674"/>
      <c r="N61" s="6912"/>
      <c r="O61" s="7674"/>
      <c r="P61" s="6912"/>
      <c r="Q61" s="7674"/>
      <c r="R61" s="6912"/>
      <c r="S61" s="7674"/>
      <c r="T61" s="6912"/>
      <c r="U61" s="435"/>
      <c r="AH61" s="904">
        <v>0</v>
      </c>
    </row>
    <row s="7235" customFormat="1" customHeight="1" ht="22.5" hidden="1">
      <c r="A62" s="2551"/>
      <c r="B62" s="657" t="s">
        <v>616</v>
      </c>
      <c r="D62" s="811" t="s">
        <v>123</v>
      </c>
      <c r="E62" s="812" t="s">
        <v>955</v>
      </c>
      <c r="F62" s="872" t="s">
        <v>328</v>
      </c>
      <c r="G62" s="528"/>
      <c r="H62" s="1169"/>
      <c r="I62" s="528"/>
      <c r="J62" s="1169"/>
      <c r="K62" s="7208"/>
      <c r="L62" s="6912"/>
      <c r="M62" s="7208"/>
      <c r="N62" s="6912"/>
      <c r="O62" s="7208"/>
      <c r="P62" s="6912"/>
      <c r="Q62" s="7208"/>
      <c r="R62" s="6912"/>
      <c r="S62" s="7208"/>
      <c r="T62" s="6912"/>
      <c r="U62" s="435" t="s">
        <v>675</v>
      </c>
      <c r="AH62" s="904">
        <v>0</v>
      </c>
    </row>
    <row s="7235" customFormat="1" customHeight="1" ht="45" hidden="1">
      <c r="A63" s="2551"/>
      <c r="B63" s="657" t="s">
        <v>616</v>
      </c>
      <c r="D63" s="811" t="s">
        <v>956</v>
      </c>
      <c r="E63" s="813" t="s">
        <v>957</v>
      </c>
      <c r="F63" s="867" t="s">
        <v>328</v>
      </c>
      <c r="G63" s="528"/>
      <c r="H63" s="1169"/>
      <c r="I63" s="528"/>
      <c r="J63" s="1169"/>
      <c r="K63" s="7208"/>
      <c r="L63" s="6912"/>
      <c r="M63" s="7208"/>
      <c r="N63" s="6912"/>
      <c r="O63" s="7208"/>
      <c r="P63" s="6912"/>
      <c r="Q63" s="7208"/>
      <c r="R63" s="6912"/>
      <c r="S63" s="7208"/>
      <c r="T63" s="6912"/>
      <c r="U63" s="435" t="s">
        <v>675</v>
      </c>
      <c r="AH63" s="904">
        <v>0</v>
      </c>
    </row>
    <row s="7235" customFormat="1" customHeight="1" ht="11.549999999999999">
      <c r="A64" s="1179"/>
      <c r="B64" s="664"/>
      <c r="D64" s="1180"/>
      <c r="E64" s="1181"/>
      <c r="K64" s="7235"/>
      <c r="L64" s="7235"/>
      <c r="M64" s="7235"/>
      <c r="N64" s="7235"/>
      <c r="O64" s="7235"/>
      <c r="P64" s="7235"/>
      <c r="Q64" s="7235"/>
      <c r="R64" s="7235"/>
      <c r="S64" s="7235"/>
      <c r="T64" s="7235"/>
      <c r="AH64" s="655">
        <v>11</v>
      </c>
    </row>
    <row s="7235" customFormat="1" customHeight="1" ht="22.5" hidden="1">
      <c r="A65" s="2551" t="s">
        <v>958</v>
      </c>
      <c r="B65" s="657"/>
      <c r="D65" s="811">
        <v>1</v>
      </c>
      <c r="E65" s="890" t="s">
        <v>959</v>
      </c>
      <c r="F65" s="886" t="s">
        <v>871</v>
      </c>
      <c r="G65" s="887"/>
      <c r="H65" s="1175"/>
      <c r="I65" s="887"/>
      <c r="J65" s="1175"/>
      <c r="K65" s="6914"/>
      <c r="L65" s="6926"/>
      <c r="M65" s="6914"/>
      <c r="N65" s="6926"/>
      <c r="O65" s="6914"/>
      <c r="P65" s="6926"/>
      <c r="Q65" s="6914"/>
      <c r="R65" s="6926"/>
      <c r="S65" s="6914"/>
      <c r="T65" s="6926"/>
      <c r="U65" s="447" t="s">
        <v>960</v>
      </c>
      <c r="AH65" s="904">
        <v>0</v>
      </c>
    </row>
    <row s="7235" customFormat="1" customHeight="1" ht="56.25" hidden="1">
      <c r="A66" s="2551"/>
      <c r="B66" s="657"/>
      <c r="D66" s="889" t="s">
        <v>105</v>
      </c>
      <c r="E66" s="853" t="s">
        <v>961</v>
      </c>
      <c r="F66" s="806" t="s">
        <v>568</v>
      </c>
      <c r="G66" s="806" t="s">
        <v>568</v>
      </c>
      <c r="H66" s="665"/>
      <c r="I66" s="806" t="s">
        <v>568</v>
      </c>
      <c r="J66" s="665"/>
      <c r="K66" s="6884" t="s">
        <v>568</v>
      </c>
      <c r="L66" s="6904"/>
      <c r="M66" s="6884" t="s">
        <v>568</v>
      </c>
      <c r="N66" s="6904"/>
      <c r="O66" s="6884" t="s">
        <v>568</v>
      </c>
      <c r="P66" s="6904"/>
      <c r="Q66" s="6884" t="s">
        <v>568</v>
      </c>
      <c r="R66" s="6904"/>
      <c r="S66" s="6884" t="s">
        <v>568</v>
      </c>
      <c r="T66" s="6904"/>
      <c r="U66" s="435"/>
      <c r="AH66" s="904">
        <v>0</v>
      </c>
    </row>
    <row s="7235" customFormat="1" customHeight="1" ht="33.75" hidden="1">
      <c r="A67" s="2551"/>
      <c r="B67" s="657"/>
      <c r="D67" s="889" t="s">
        <v>752</v>
      </c>
      <c r="E67" s="1100" t="s">
        <v>962</v>
      </c>
      <c r="F67" s="806" t="s">
        <v>926</v>
      </c>
      <c r="G67" s="873"/>
      <c r="H67" s="665"/>
      <c r="I67" s="873"/>
      <c r="J67" s="665"/>
      <c r="K67" s="6795"/>
      <c r="L67" s="6904"/>
      <c r="M67" s="6795"/>
      <c r="N67" s="6904"/>
      <c r="O67" s="6795"/>
      <c r="P67" s="6904"/>
      <c r="Q67" s="6795"/>
      <c r="R67" s="6904"/>
      <c r="S67" s="6795"/>
      <c r="T67" s="6904"/>
      <c r="U67" s="435"/>
      <c r="AH67" s="904">
        <v>0</v>
      </c>
    </row>
    <row s="7235" customFormat="1" customHeight="1" ht="22.5" hidden="1">
      <c r="A68" s="2551"/>
      <c r="B68" s="657"/>
      <c r="D68" s="889" t="s">
        <v>329</v>
      </c>
      <c r="E68" s="1100" t="s">
        <v>963</v>
      </c>
      <c r="F68" s="806" t="s">
        <v>926</v>
      </c>
      <c r="G68" s="873"/>
      <c r="H68" s="665"/>
      <c r="I68" s="873"/>
      <c r="J68" s="665"/>
      <c r="K68" s="6795"/>
      <c r="L68" s="6904"/>
      <c r="M68" s="6795"/>
      <c r="N68" s="6904"/>
      <c r="O68" s="6795"/>
      <c r="P68" s="6904"/>
      <c r="Q68" s="6795"/>
      <c r="R68" s="6904"/>
      <c r="S68" s="6795"/>
      <c r="T68" s="6904"/>
      <c r="U68" s="435"/>
      <c r="AH68" s="904">
        <v>0</v>
      </c>
    </row>
    <row s="7235" customFormat="1" customHeight="1" ht="22.5" hidden="1">
      <c r="A69" s="2551"/>
      <c r="B69" s="657"/>
      <c r="D69" s="889" t="s">
        <v>332</v>
      </c>
      <c r="E69" s="1100" t="s">
        <v>964</v>
      </c>
      <c r="F69" s="867" t="s">
        <v>580</v>
      </c>
      <c r="G69" s="888"/>
      <c r="H69" s="665"/>
      <c r="I69" s="888"/>
      <c r="J69" s="665"/>
      <c r="K69" s="6672"/>
      <c r="L69" s="6904"/>
      <c r="M69" s="6672"/>
      <c r="N69" s="6904"/>
      <c r="O69" s="6672"/>
      <c r="P69" s="6904"/>
      <c r="Q69" s="6672"/>
      <c r="R69" s="6904"/>
      <c r="S69" s="6672"/>
      <c r="T69" s="6904"/>
      <c r="U69" s="435"/>
      <c r="AH69" s="904">
        <v>0</v>
      </c>
    </row>
    <row s="7235" customFormat="1" customHeight="1" ht="22.5" hidden="1">
      <c r="A70" s="2551"/>
      <c r="B70" s="657"/>
      <c r="D70" s="889" t="s">
        <v>772</v>
      </c>
      <c r="E70" s="1100" t="s">
        <v>965</v>
      </c>
      <c r="F70" s="867" t="s">
        <v>580</v>
      </c>
      <c r="G70" s="888"/>
      <c r="H70" s="665"/>
      <c r="I70" s="888"/>
      <c r="J70" s="665"/>
      <c r="K70" s="6672"/>
      <c r="L70" s="6904"/>
      <c r="M70" s="6672"/>
      <c r="N70" s="6904"/>
      <c r="O70" s="6672"/>
      <c r="P70" s="6904"/>
      <c r="Q70" s="6672"/>
      <c r="R70" s="6904"/>
      <c r="S70" s="6672"/>
      <c r="T70" s="6904"/>
      <c r="U70" s="435"/>
      <c r="AH70" s="904">
        <v>0</v>
      </c>
    </row>
    <row s="7235" customFormat="1" customHeight="1" ht="22.5" hidden="1">
      <c r="A71" s="2551"/>
      <c r="B71" s="657"/>
      <c r="D71" s="811" t="s">
        <v>91</v>
      </c>
      <c r="E71" s="812" t="s">
        <v>966</v>
      </c>
      <c r="F71" s="806" t="s">
        <v>926</v>
      </c>
      <c r="G71" s="703"/>
      <c r="H71" s="1176"/>
      <c r="I71" s="703"/>
      <c r="J71" s="1176"/>
      <c r="K71" s="6612"/>
      <c r="L71" s="6908"/>
      <c r="M71" s="6612"/>
      <c r="N71" s="6908"/>
      <c r="O71" s="6612"/>
      <c r="P71" s="6908"/>
      <c r="Q71" s="6612"/>
      <c r="R71" s="6908"/>
      <c r="S71" s="6612"/>
      <c r="T71" s="6908"/>
      <c r="U71" s="448"/>
      <c r="AH71" s="904">
        <v>0</v>
      </c>
    </row>
    <row s="7235" customFormat="1" customHeight="1" ht="56.25" hidden="1">
      <c r="A72" s="2551"/>
      <c r="B72" s="657"/>
      <c r="D72" s="811" t="s">
        <v>92</v>
      </c>
      <c r="E72" s="812" t="s">
        <v>967</v>
      </c>
      <c r="F72" s="867" t="s">
        <v>580</v>
      </c>
      <c r="G72" s="888"/>
      <c r="H72" s="1169"/>
      <c r="I72" s="888"/>
      <c r="J72" s="1169"/>
      <c r="K72" s="6672"/>
      <c r="L72" s="6912"/>
      <c r="M72" s="6672"/>
      <c r="N72" s="6912"/>
      <c r="O72" s="6672"/>
      <c r="P72" s="6912"/>
      <c r="Q72" s="6672"/>
      <c r="R72" s="6912"/>
      <c r="S72" s="6672"/>
      <c r="T72" s="6912"/>
      <c r="U72" s="448"/>
      <c r="AH72" s="904">
        <v>0</v>
      </c>
    </row>
    <row s="7235" customFormat="1" customHeight="1" ht="33.75" hidden="1">
      <c r="A73" s="2551"/>
      <c r="B73" s="657"/>
      <c r="D73" s="811" t="s">
        <v>122</v>
      </c>
      <c r="E73" s="812" t="s">
        <v>968</v>
      </c>
      <c r="F73" s="872" t="s">
        <v>881</v>
      </c>
      <c r="G73" s="814"/>
      <c r="H73" s="1169"/>
      <c r="I73" s="814"/>
      <c r="J73" s="1169"/>
      <c r="K73" s="7674"/>
      <c r="L73" s="6912"/>
      <c r="M73" s="7674"/>
      <c r="N73" s="6912"/>
      <c r="O73" s="7674"/>
      <c r="P73" s="6912"/>
      <c r="Q73" s="7674"/>
      <c r="R73" s="6912"/>
      <c r="S73" s="7674"/>
      <c r="T73" s="6912"/>
      <c r="U73" s="435"/>
      <c r="AH73" s="904">
        <v>0</v>
      </c>
    </row>
    <row s="7235" customFormat="1" customHeight="1" ht="22.5" hidden="1">
      <c r="A74" s="2551"/>
      <c r="B74" s="657" t="s">
        <v>616</v>
      </c>
      <c r="D74" s="811" t="s">
        <v>93</v>
      </c>
      <c r="E74" s="812" t="s">
        <v>969</v>
      </c>
      <c r="F74" s="872" t="s">
        <v>328</v>
      </c>
      <c r="G74" s="528"/>
      <c r="H74" s="1169"/>
      <c r="I74" s="528"/>
      <c r="J74" s="1169"/>
      <c r="K74" s="7208"/>
      <c r="L74" s="6912"/>
      <c r="M74" s="7208"/>
      <c r="N74" s="6912"/>
      <c r="O74" s="7208"/>
      <c r="P74" s="6912"/>
      <c r="Q74" s="7208"/>
      <c r="R74" s="6912"/>
      <c r="S74" s="7208"/>
      <c r="T74" s="6912"/>
      <c r="U74" s="435" t="s">
        <v>675</v>
      </c>
      <c r="AH74" s="904">
        <v>0</v>
      </c>
    </row>
    <row s="7235" customFormat="1" customHeight="1" ht="45" hidden="1">
      <c r="A75" s="2551"/>
      <c r="B75" s="657" t="s">
        <v>616</v>
      </c>
      <c r="D75" s="811" t="s">
        <v>696</v>
      </c>
      <c r="E75" s="813" t="s">
        <v>970</v>
      </c>
      <c r="F75" s="867" t="s">
        <v>328</v>
      </c>
      <c r="G75" s="528"/>
      <c r="H75" s="1169"/>
      <c r="I75" s="528"/>
      <c r="J75" s="1169"/>
      <c r="K75" s="7208"/>
      <c r="L75" s="6912"/>
      <c r="M75" s="7208"/>
      <c r="N75" s="6912"/>
      <c r="O75" s="7208"/>
      <c r="P75" s="6912"/>
      <c r="Q75" s="7208"/>
      <c r="R75" s="6912"/>
      <c r="S75" s="7208"/>
      <c r="T75" s="6912"/>
      <c r="U75" s="435" t="s">
        <v>675</v>
      </c>
      <c r="AH75" s="904">
        <v>0</v>
      </c>
    </row>
    <row s="7235" customFormat="1" customHeight="1" ht="11.549999999999999">
      <c r="A76" s="1179"/>
      <c r="B76" s="664"/>
      <c r="D76" s="1180"/>
      <c r="E76" s="1181"/>
      <c r="K76" s="7235"/>
      <c r="L76" s="7235"/>
      <c r="M76" s="7235"/>
      <c r="N76" s="7235"/>
      <c r="O76" s="7235"/>
      <c r="P76" s="7235"/>
      <c r="Q76" s="7235"/>
      <c r="R76" s="7235"/>
      <c r="S76" s="7235"/>
      <c r="T76" s="7235"/>
      <c r="AH76" s="655">
        <v>11</v>
      </c>
    </row>
    <row s="7235" customFormat="1" customHeight="1" ht="11.25" hidden="1">
      <c r="A77" s="2551" t="s">
        <v>971</v>
      </c>
      <c r="B77" s="657"/>
      <c r="D77" s="811">
        <v>1</v>
      </c>
      <c r="E77" s="812" t="s">
        <v>972</v>
      </c>
      <c r="F77" s="867" t="s">
        <v>871</v>
      </c>
      <c r="G77" s="870"/>
      <c r="H77" s="1169"/>
      <c r="I77" s="870"/>
      <c r="J77" s="1169"/>
      <c r="K77" s="6928"/>
      <c r="L77" s="6912"/>
      <c r="M77" s="6928"/>
      <c r="N77" s="6912"/>
      <c r="O77" s="6928"/>
      <c r="P77" s="6912"/>
      <c r="Q77" s="6928"/>
      <c r="R77" s="6912"/>
      <c r="S77" s="6928"/>
      <c r="T77" s="6912"/>
      <c r="U77" s="435" t="s">
        <v>973</v>
      </c>
      <c r="AH77" s="904">
        <v>0</v>
      </c>
    </row>
    <row s="7235" customFormat="1" customHeight="1" ht="11.25" hidden="1">
      <c r="A78" s="2551"/>
      <c r="B78" s="657"/>
      <c r="D78" s="811" t="s">
        <v>105</v>
      </c>
      <c r="E78" s="812" t="s">
        <v>974</v>
      </c>
      <c r="F78" s="867" t="s">
        <v>871</v>
      </c>
      <c r="G78" s="870"/>
      <c r="H78" s="1169"/>
      <c r="I78" s="870"/>
      <c r="J78" s="1169"/>
      <c r="K78" s="6928"/>
      <c r="L78" s="6912"/>
      <c r="M78" s="6928"/>
      <c r="N78" s="6912"/>
      <c r="O78" s="6928"/>
      <c r="P78" s="6912"/>
      <c r="Q78" s="6928"/>
      <c r="R78" s="6912"/>
      <c r="S78" s="6928"/>
      <c r="T78" s="6912"/>
      <c r="U78" s="435" t="s">
        <v>975</v>
      </c>
      <c r="AH78" s="904">
        <v>0</v>
      </c>
    </row>
    <row s="7235" customFormat="1" customHeight="1" ht="22.5" hidden="1">
      <c r="A79" s="2551"/>
      <c r="B79" s="657"/>
      <c r="D79" s="811" t="s">
        <v>91</v>
      </c>
      <c r="E79" s="868" t="s">
        <v>976</v>
      </c>
      <c r="F79" s="806" t="s">
        <v>923</v>
      </c>
      <c r="G79" s="870"/>
      <c r="H79" s="1169"/>
      <c r="I79" s="870"/>
      <c r="J79" s="1169"/>
      <c r="K79" s="6928"/>
      <c r="L79" s="6912"/>
      <c r="M79" s="6928"/>
      <c r="N79" s="6912"/>
      <c r="O79" s="6928"/>
      <c r="P79" s="6912"/>
      <c r="Q79" s="6928"/>
      <c r="R79" s="6912"/>
      <c r="S79" s="6928"/>
      <c r="T79" s="6912"/>
      <c r="U79" s="435" t="s">
        <v>977</v>
      </c>
      <c r="AH79" s="904">
        <v>0</v>
      </c>
    </row>
    <row s="7235" customFormat="1" customHeight="1" ht="11.25" hidden="1">
      <c r="A80" s="2551"/>
      <c r="B80" s="657"/>
      <c r="D80" s="811" t="s">
        <v>346</v>
      </c>
      <c r="E80" s="869" t="s">
        <v>978</v>
      </c>
      <c r="F80" s="806" t="s">
        <v>923</v>
      </c>
      <c r="G80" s="870"/>
      <c r="H80" s="1169"/>
      <c r="I80" s="870"/>
      <c r="J80" s="1169"/>
      <c r="K80" s="6928"/>
      <c r="L80" s="6912"/>
      <c r="M80" s="6928"/>
      <c r="N80" s="6912"/>
      <c r="O80" s="6928"/>
      <c r="P80" s="6912"/>
      <c r="Q80" s="6928"/>
      <c r="R80" s="6912"/>
      <c r="S80" s="6928"/>
      <c r="T80" s="6912"/>
      <c r="U80" s="435"/>
      <c r="AH80" s="904">
        <v>0</v>
      </c>
    </row>
    <row s="7235" customFormat="1" customHeight="1" ht="11.25" hidden="1">
      <c r="A81" s="2551"/>
      <c r="B81" s="657"/>
      <c r="D81" s="811" t="s">
        <v>354</v>
      </c>
      <c r="E81" s="869" t="s">
        <v>979</v>
      </c>
      <c r="F81" s="806" t="s">
        <v>923</v>
      </c>
      <c r="G81" s="870"/>
      <c r="H81" s="1169"/>
      <c r="I81" s="870"/>
      <c r="J81" s="1169"/>
      <c r="K81" s="6928"/>
      <c r="L81" s="6912"/>
      <c r="M81" s="6928"/>
      <c r="N81" s="6912"/>
      <c r="O81" s="6928"/>
      <c r="P81" s="6912"/>
      <c r="Q81" s="6928"/>
      <c r="R81" s="6912"/>
      <c r="S81" s="6928"/>
      <c r="T81" s="6912"/>
      <c r="U81" s="435"/>
      <c r="AH81" s="904">
        <v>0</v>
      </c>
    </row>
    <row s="7235" customFormat="1" customHeight="1" ht="11.25" hidden="1">
      <c r="A82" s="2551"/>
      <c r="B82" s="657"/>
      <c r="D82" s="811" t="s">
        <v>356</v>
      </c>
      <c r="E82" s="869" t="s">
        <v>980</v>
      </c>
      <c r="F82" s="806" t="s">
        <v>923</v>
      </c>
      <c r="G82" s="870"/>
      <c r="H82" s="1169"/>
      <c r="I82" s="870"/>
      <c r="J82" s="1169"/>
      <c r="K82" s="6928"/>
      <c r="L82" s="6912"/>
      <c r="M82" s="6928"/>
      <c r="N82" s="6912"/>
      <c r="O82" s="6928"/>
      <c r="P82" s="6912"/>
      <c r="Q82" s="6928"/>
      <c r="R82" s="6912"/>
      <c r="S82" s="6928"/>
      <c r="T82" s="6912"/>
      <c r="U82" s="435"/>
      <c r="AH82" s="904">
        <v>0</v>
      </c>
    </row>
    <row s="7235" customFormat="1" customHeight="1" ht="11.25" hidden="1">
      <c r="A83" s="2551"/>
      <c r="B83" s="657"/>
      <c r="D83" s="811" t="s">
        <v>358</v>
      </c>
      <c r="E83" s="869" t="s">
        <v>981</v>
      </c>
      <c r="F83" s="806" t="s">
        <v>923</v>
      </c>
      <c r="G83" s="870"/>
      <c r="H83" s="1169"/>
      <c r="I83" s="870"/>
      <c r="J83" s="1169"/>
      <c r="K83" s="6928"/>
      <c r="L83" s="6912"/>
      <c r="M83" s="6928"/>
      <c r="N83" s="6912"/>
      <c r="O83" s="6928"/>
      <c r="P83" s="6912"/>
      <c r="Q83" s="6928"/>
      <c r="R83" s="6912"/>
      <c r="S83" s="6928"/>
      <c r="T83" s="6912"/>
      <c r="U83" s="435"/>
      <c r="AH83" s="904">
        <v>0</v>
      </c>
    </row>
    <row s="7235" customFormat="1" customHeight="1" ht="11.25" hidden="1">
      <c r="A84" s="2551"/>
      <c r="B84" s="657"/>
      <c r="D84" s="811" t="s">
        <v>982</v>
      </c>
      <c r="E84" s="869" t="s">
        <v>983</v>
      </c>
      <c r="F84" s="806" t="s">
        <v>923</v>
      </c>
      <c r="G84" s="870"/>
      <c r="H84" s="1169"/>
      <c r="I84" s="870"/>
      <c r="J84" s="1169"/>
      <c r="K84" s="6928"/>
      <c r="L84" s="6912"/>
      <c r="M84" s="6928"/>
      <c r="N84" s="6912"/>
      <c r="O84" s="6928"/>
      <c r="P84" s="6912"/>
      <c r="Q84" s="6928"/>
      <c r="R84" s="6912"/>
      <c r="S84" s="6928"/>
      <c r="T84" s="6912"/>
      <c r="U84" s="435"/>
      <c r="AH84" s="904">
        <v>0</v>
      </c>
    </row>
    <row s="7235" customFormat="1" customHeight="1" ht="11.25" hidden="1">
      <c r="A85" s="2551"/>
      <c r="B85" s="657"/>
      <c r="D85" s="811" t="s">
        <v>984</v>
      </c>
      <c r="E85" s="869" t="s">
        <v>985</v>
      </c>
      <c r="F85" s="806" t="s">
        <v>923</v>
      </c>
      <c r="G85" s="870"/>
      <c r="H85" s="1169"/>
      <c r="I85" s="870"/>
      <c r="J85" s="1169"/>
      <c r="K85" s="6928"/>
      <c r="L85" s="6912"/>
      <c r="M85" s="6928"/>
      <c r="N85" s="6912"/>
      <c r="O85" s="6928"/>
      <c r="P85" s="6912"/>
      <c r="Q85" s="6928"/>
      <c r="R85" s="6912"/>
      <c r="S85" s="6928"/>
      <c r="T85" s="6912"/>
      <c r="U85" s="435"/>
      <c r="AH85" s="904">
        <v>0</v>
      </c>
    </row>
    <row s="7235" customFormat="1" customHeight="1" ht="11.25" hidden="1">
      <c r="A86" s="2551"/>
      <c r="B86" s="657"/>
      <c r="D86" s="811" t="s">
        <v>986</v>
      </c>
      <c r="E86" s="869" t="s">
        <v>987</v>
      </c>
      <c r="F86" s="806" t="s">
        <v>923</v>
      </c>
      <c r="G86" s="870"/>
      <c r="H86" s="1169"/>
      <c r="I86" s="870"/>
      <c r="J86" s="1169"/>
      <c r="K86" s="6928"/>
      <c r="L86" s="6912"/>
      <c r="M86" s="6928"/>
      <c r="N86" s="6912"/>
      <c r="O86" s="6928"/>
      <c r="P86" s="6912"/>
      <c r="Q86" s="6928"/>
      <c r="R86" s="6912"/>
      <c r="S86" s="6928"/>
      <c r="T86" s="6912"/>
      <c r="U86" s="435"/>
      <c r="AH86" s="904">
        <v>0</v>
      </c>
    </row>
    <row s="7235" customFormat="1" customHeight="1" ht="45" hidden="1">
      <c r="A87" s="2551"/>
      <c r="B87" s="657"/>
      <c r="D87" s="811" t="s">
        <v>92</v>
      </c>
      <c r="E87" s="812" t="s">
        <v>988</v>
      </c>
      <c r="F87" s="806" t="s">
        <v>923</v>
      </c>
      <c r="G87" s="870"/>
      <c r="H87" s="1169"/>
      <c r="I87" s="870"/>
      <c r="J87" s="1169"/>
      <c r="K87" s="6928"/>
      <c r="L87" s="6912"/>
      <c r="M87" s="6928"/>
      <c r="N87" s="6912"/>
      <c r="O87" s="6928"/>
      <c r="P87" s="6912"/>
      <c r="Q87" s="6928"/>
      <c r="R87" s="6912"/>
      <c r="S87" s="6928"/>
      <c r="T87" s="6912"/>
      <c r="U87" s="435" t="s">
        <v>989</v>
      </c>
      <c r="AH87" s="904">
        <v>0</v>
      </c>
    </row>
    <row s="7235" customFormat="1" customHeight="1" ht="11.25" hidden="1">
      <c r="A88" s="2551"/>
      <c r="B88" s="657"/>
      <c r="D88" s="811" t="s">
        <v>803</v>
      </c>
      <c r="E88" s="869" t="s">
        <v>978</v>
      </c>
      <c r="F88" s="806" t="s">
        <v>923</v>
      </c>
      <c r="G88" s="870"/>
      <c r="H88" s="1169"/>
      <c r="I88" s="870"/>
      <c r="J88" s="1169"/>
      <c r="K88" s="6928"/>
      <c r="L88" s="6912"/>
      <c r="M88" s="6928"/>
      <c r="N88" s="6912"/>
      <c r="O88" s="6928"/>
      <c r="P88" s="6912"/>
      <c r="Q88" s="6928"/>
      <c r="R88" s="6912"/>
      <c r="S88" s="6928"/>
      <c r="T88" s="6912"/>
      <c r="U88" s="435"/>
      <c r="AH88" s="904">
        <v>0</v>
      </c>
    </row>
    <row s="7235" customFormat="1" customHeight="1" ht="11.25" hidden="1">
      <c r="A89" s="2551"/>
      <c r="B89" s="657"/>
      <c r="D89" s="811" t="s">
        <v>847</v>
      </c>
      <c r="E89" s="869" t="s">
        <v>979</v>
      </c>
      <c r="F89" s="806" t="s">
        <v>923</v>
      </c>
      <c r="G89" s="870"/>
      <c r="H89" s="1169"/>
      <c r="I89" s="870"/>
      <c r="J89" s="1169"/>
      <c r="K89" s="6928"/>
      <c r="L89" s="6912"/>
      <c r="M89" s="6928"/>
      <c r="N89" s="6912"/>
      <c r="O89" s="6928"/>
      <c r="P89" s="6912"/>
      <c r="Q89" s="6928"/>
      <c r="R89" s="6912"/>
      <c r="S89" s="6928"/>
      <c r="T89" s="6912"/>
      <c r="U89" s="435"/>
      <c r="AH89" s="904">
        <v>0</v>
      </c>
    </row>
    <row s="7235" customFormat="1" customHeight="1" ht="11.25" hidden="1">
      <c r="A90" s="2551"/>
      <c r="B90" s="657"/>
      <c r="D90" s="811" t="s">
        <v>850</v>
      </c>
      <c r="E90" s="869" t="s">
        <v>980</v>
      </c>
      <c r="F90" s="806" t="s">
        <v>923</v>
      </c>
      <c r="G90" s="870"/>
      <c r="H90" s="1169"/>
      <c r="I90" s="870"/>
      <c r="J90" s="1169"/>
      <c r="K90" s="6928"/>
      <c r="L90" s="6912"/>
      <c r="M90" s="6928"/>
      <c r="N90" s="6912"/>
      <c r="O90" s="6928"/>
      <c r="P90" s="6912"/>
      <c r="Q90" s="6928"/>
      <c r="R90" s="6912"/>
      <c r="S90" s="6928"/>
      <c r="T90" s="6912"/>
      <c r="U90" s="435"/>
      <c r="AH90" s="904">
        <v>0</v>
      </c>
    </row>
    <row s="7235" customFormat="1" customHeight="1" ht="11.25" hidden="1">
      <c r="A91" s="2551"/>
      <c r="B91" s="657"/>
      <c r="D91" s="811" t="s">
        <v>941</v>
      </c>
      <c r="E91" s="869" t="s">
        <v>981</v>
      </c>
      <c r="F91" s="806" t="s">
        <v>923</v>
      </c>
      <c r="G91" s="870"/>
      <c r="H91" s="1169"/>
      <c r="I91" s="870"/>
      <c r="J91" s="1169"/>
      <c r="K91" s="6928"/>
      <c r="L91" s="6912"/>
      <c r="M91" s="6928"/>
      <c r="N91" s="6912"/>
      <c r="O91" s="6928"/>
      <c r="P91" s="6912"/>
      <c r="Q91" s="6928"/>
      <c r="R91" s="6912"/>
      <c r="S91" s="6928"/>
      <c r="T91" s="6912"/>
      <c r="U91" s="435"/>
      <c r="AH91" s="904">
        <v>0</v>
      </c>
    </row>
    <row s="7235" customFormat="1" customHeight="1" ht="11.25" hidden="1">
      <c r="A92" s="2551"/>
      <c r="B92" s="657"/>
      <c r="D92" s="811" t="s">
        <v>943</v>
      </c>
      <c r="E92" s="869" t="s">
        <v>983</v>
      </c>
      <c r="F92" s="806" t="s">
        <v>923</v>
      </c>
      <c r="G92" s="870"/>
      <c r="H92" s="1169"/>
      <c r="I92" s="870"/>
      <c r="J92" s="1169"/>
      <c r="K92" s="6928"/>
      <c r="L92" s="6912"/>
      <c r="M92" s="6928"/>
      <c r="N92" s="6912"/>
      <c r="O92" s="6928"/>
      <c r="P92" s="6912"/>
      <c r="Q92" s="6928"/>
      <c r="R92" s="6912"/>
      <c r="S92" s="6928"/>
      <c r="T92" s="6912"/>
      <c r="U92" s="435"/>
      <c r="AH92" s="904">
        <v>0</v>
      </c>
    </row>
    <row s="7235" customFormat="1" customHeight="1" ht="11.25" hidden="1">
      <c r="A93" s="2551"/>
      <c r="B93" s="657"/>
      <c r="D93" s="811" t="s">
        <v>990</v>
      </c>
      <c r="E93" s="869" t="s">
        <v>985</v>
      </c>
      <c r="F93" s="806" t="s">
        <v>923</v>
      </c>
      <c r="G93" s="870"/>
      <c r="H93" s="1169"/>
      <c r="I93" s="870"/>
      <c r="J93" s="1169"/>
      <c r="K93" s="6928"/>
      <c r="L93" s="6912"/>
      <c r="M93" s="6928"/>
      <c r="N93" s="6912"/>
      <c r="O93" s="6928"/>
      <c r="P93" s="6912"/>
      <c r="Q93" s="6928"/>
      <c r="R93" s="6912"/>
      <c r="S93" s="6928"/>
      <c r="T93" s="6912"/>
      <c r="U93" s="435"/>
      <c r="AH93" s="904">
        <v>0</v>
      </c>
    </row>
    <row s="7235" customFormat="1" customHeight="1" ht="11.25" hidden="1">
      <c r="A94" s="2551"/>
      <c r="B94" s="657"/>
      <c r="D94" s="811" t="s">
        <v>991</v>
      </c>
      <c r="E94" s="869" t="s">
        <v>987</v>
      </c>
      <c r="F94" s="806" t="s">
        <v>923</v>
      </c>
      <c r="G94" s="870"/>
      <c r="H94" s="1169"/>
      <c r="I94" s="870"/>
      <c r="J94" s="1169"/>
      <c r="K94" s="6928"/>
      <c r="L94" s="6912"/>
      <c r="M94" s="6928"/>
      <c r="N94" s="6912"/>
      <c r="O94" s="6928"/>
      <c r="P94" s="6912"/>
      <c r="Q94" s="6928"/>
      <c r="R94" s="6912"/>
      <c r="S94" s="6928"/>
      <c r="T94" s="6912"/>
      <c r="U94" s="435"/>
      <c r="AH94" s="904">
        <v>0</v>
      </c>
    </row>
    <row s="7235" customFormat="1" customHeight="1" ht="24.75" hidden="1">
      <c r="A95" s="2551"/>
      <c r="B95" s="657"/>
      <c r="D95" s="811" t="s">
        <v>122</v>
      </c>
      <c r="E95" s="812" t="s">
        <v>992</v>
      </c>
      <c r="F95" s="871" t="s">
        <v>580</v>
      </c>
      <c r="G95" s="873"/>
      <c r="H95" s="1169"/>
      <c r="I95" s="873"/>
      <c r="J95" s="1169"/>
      <c r="K95" s="6795"/>
      <c r="L95" s="6912"/>
      <c r="M95" s="6795"/>
      <c r="N95" s="6912"/>
      <c r="O95" s="6795"/>
      <c r="P95" s="6912"/>
      <c r="Q95" s="6795"/>
      <c r="R95" s="6912"/>
      <c r="S95" s="6795"/>
      <c r="T95" s="6912"/>
      <c r="U95" s="435" t="s">
        <v>993</v>
      </c>
      <c r="AH95" s="904">
        <v>0</v>
      </c>
    </row>
    <row s="7235" customFormat="1" customHeight="1" ht="33.75" hidden="1">
      <c r="A96" s="2551"/>
      <c r="B96" s="657"/>
      <c r="D96" s="811" t="s">
        <v>93</v>
      </c>
      <c r="E96" s="812" t="s">
        <v>994</v>
      </c>
      <c r="F96" s="872" t="s">
        <v>881</v>
      </c>
      <c r="G96" s="874"/>
      <c r="H96" s="1169"/>
      <c r="I96" s="874"/>
      <c r="J96" s="1169"/>
      <c r="K96" s="6930"/>
      <c r="L96" s="6912"/>
      <c r="M96" s="6930"/>
      <c r="N96" s="6912"/>
      <c r="O96" s="6930"/>
      <c r="P96" s="6912"/>
      <c r="Q96" s="6930"/>
      <c r="R96" s="6912"/>
      <c r="S96" s="6930"/>
      <c r="T96" s="6912"/>
      <c r="U96" s="435"/>
      <c r="AH96" s="904">
        <v>0</v>
      </c>
    </row>
    <row s="7235" customFormat="1" customHeight="1" ht="22.5" hidden="1">
      <c r="A97" s="2551"/>
      <c r="B97" s="657" t="s">
        <v>616</v>
      </c>
      <c r="D97" s="811" t="s">
        <v>94</v>
      </c>
      <c r="E97" s="812" t="s">
        <v>995</v>
      </c>
      <c r="F97" s="872" t="s">
        <v>328</v>
      </c>
      <c r="G97" s="531"/>
      <c r="H97" s="1169"/>
      <c r="I97" s="531"/>
      <c r="J97" s="1169"/>
      <c r="K97" s="6802"/>
      <c r="L97" s="6912"/>
      <c r="M97" s="6802"/>
      <c r="N97" s="6912"/>
      <c r="O97" s="6802"/>
      <c r="P97" s="6912"/>
      <c r="Q97" s="6802"/>
      <c r="R97" s="6912"/>
      <c r="S97" s="6802"/>
      <c r="T97" s="6912"/>
      <c r="U97" s="435" t="s">
        <v>675</v>
      </c>
      <c r="AH97" s="904">
        <v>0</v>
      </c>
    </row>
    <row s="7235" customFormat="1" customHeight="1" ht="45" hidden="1">
      <c r="A98" s="2551"/>
      <c r="B98" s="657" t="s">
        <v>616</v>
      </c>
      <c r="D98" s="811" t="s">
        <v>859</v>
      </c>
      <c r="E98" s="813" t="s">
        <v>996</v>
      </c>
      <c r="F98" s="867" t="s">
        <v>328</v>
      </c>
      <c r="G98" s="531"/>
      <c r="H98" s="1169"/>
      <c r="I98" s="531"/>
      <c r="J98" s="1169"/>
      <c r="K98" s="6802"/>
      <c r="L98" s="6912"/>
      <c r="M98" s="6802"/>
      <c r="N98" s="6912"/>
      <c r="O98" s="6802"/>
      <c r="P98" s="6912"/>
      <c r="Q98" s="6802"/>
      <c r="R98" s="6912"/>
      <c r="S98" s="6802"/>
      <c r="T98" s="6912"/>
      <c r="U98" s="435" t="s">
        <v>675</v>
      </c>
      <c r="AH98" s="904">
        <v>0</v>
      </c>
    </row>
    <row s="7235" customFormat="1" customHeight="1" ht="95.25" hidden="1">
      <c r="A99" s="2551"/>
      <c r="B99" s="657" t="s">
        <v>616</v>
      </c>
      <c r="D99" s="811" t="s">
        <v>123</v>
      </c>
      <c r="E99" s="812" t="s">
        <v>997</v>
      </c>
      <c r="F99" s="867" t="s">
        <v>328</v>
      </c>
      <c r="G99" s="531"/>
      <c r="H99" s="1169"/>
      <c r="I99" s="531"/>
      <c r="J99" s="1169"/>
      <c r="K99" s="6802"/>
      <c r="L99" s="6912"/>
      <c r="M99" s="6802"/>
      <c r="N99" s="6912"/>
      <c r="O99" s="6802"/>
      <c r="P99" s="6912"/>
      <c r="Q99" s="6802"/>
      <c r="R99" s="6912"/>
      <c r="S99" s="6802"/>
      <c r="T99" s="6912"/>
      <c r="U99" s="435" t="s">
        <v>675</v>
      </c>
      <c r="AH99" s="904">
        <v>0</v>
      </c>
    </row>
    <row s="7235" customFormat="1" customHeight="1" ht="22.5" hidden="1">
      <c r="A100" s="2551"/>
      <c r="B100" s="657" t="s">
        <v>616</v>
      </c>
      <c r="D100" s="811" t="s">
        <v>172</v>
      </c>
      <c r="E100" s="812" t="s">
        <v>998</v>
      </c>
      <c r="F100" s="867" t="s">
        <v>328</v>
      </c>
      <c r="G100" s="531"/>
      <c r="H100" s="1169"/>
      <c r="I100" s="531"/>
      <c r="J100" s="1169"/>
      <c r="K100" s="6802"/>
      <c r="L100" s="6912"/>
      <c r="M100" s="6802"/>
      <c r="N100" s="6912"/>
      <c r="O100" s="6802"/>
      <c r="P100" s="6912"/>
      <c r="Q100" s="6802"/>
      <c r="R100" s="6912"/>
      <c r="S100" s="6802"/>
      <c r="T100" s="6912"/>
      <c r="U100" s="435" t="s">
        <v>675</v>
      </c>
      <c r="AH100" s="904">
        <v>0</v>
      </c>
    </row>
    <row s="7235" customFormat="1" customHeight="1" ht="11.549999999999999">
      <c r="A101" s="1179"/>
      <c r="B101" s="664"/>
      <c r="D101" s="1180"/>
      <c r="E101" s="1181"/>
      <c r="K101" s="7235"/>
      <c r="L101" s="7235"/>
      <c r="M101" s="7235"/>
      <c r="N101" s="7235"/>
      <c r="O101" s="7235"/>
      <c r="P101" s="7235"/>
      <c r="Q101" s="7235"/>
      <c r="R101" s="7235"/>
      <c r="S101" s="7235"/>
      <c r="T101" s="7235"/>
      <c r="AH101" s="655">
        <v>11</v>
      </c>
    </row>
    <row customHeight="1" ht="22.5" hidden="1">
      <c r="A102" s="682" t="s">
        <v>83</v>
      </c>
      <c r="B102" s="657">
        <v>0</v>
      </c>
      <c r="C102" s="651">
        <v>3</v>
      </c>
      <c r="D102" s="651">
        <v>7</v>
      </c>
      <c r="E102" s="651">
        <v>69</v>
      </c>
      <c r="F102" s="651">
        <v>10</v>
      </c>
      <c r="G102" s="651">
        <v>0</v>
      </c>
      <c r="H102" s="651">
        <v>0</v>
      </c>
      <c r="I102" s="904">
        <v>43</v>
      </c>
      <c r="J102" s="904">
        <v>43</v>
      </c>
      <c r="K102" s="7235">
        <v>0</v>
      </c>
      <c r="L102" s="7235">
        <v>0</v>
      </c>
      <c r="M102" s="7235">
        <v>0</v>
      </c>
      <c r="N102" s="7235">
        <v>0</v>
      </c>
      <c r="O102" s="7235">
        <v>0</v>
      </c>
      <c r="P102" s="7235">
        <v>0</v>
      </c>
      <c r="Q102" s="7235">
        <v>0</v>
      </c>
      <c r="R102" s="7235">
        <v>0</v>
      </c>
      <c r="S102" s="7235">
        <v>0</v>
      </c>
      <c r="T102" s="7235">
        <v>0</v>
      </c>
      <c r="U102" s="651">
        <v>73</v>
      </c>
      <c r="V102" s="651">
        <v>3</v>
      </c>
      <c r="W102" s="651">
        <v>10</v>
      </c>
      <c r="X102" s="651">
        <v>10</v>
      </c>
      <c r="Y102" s="651">
        <v>10</v>
      </c>
      <c r="Z102" s="651">
        <v>10</v>
      </c>
      <c r="AA102" s="651">
        <v>10</v>
      </c>
      <c r="AB102" s="651">
        <v>10</v>
      </c>
      <c r="AC102" s="651">
        <v>10</v>
      </c>
      <c r="AD102" s="651">
        <v>10</v>
      </c>
      <c r="AE102" s="651">
        <v>10</v>
      </c>
      <c r="AF102" s="651">
        <v>10</v>
      </c>
      <c r="AG102" s="651">
        <v>10</v>
      </c>
      <c r="AH102" s="651">
        <v>23</v>
      </c>
    </row>
  </sheetData>
  <sheetProtection formatColumns="0" formatRows="0" autoFilter="0" sort="0" insertRows="0" insertColumns="1" deleteRows="0" deleteColumns="0"/>
  <mergeCells count="33">
    <mergeCell ref="D3:F3"/>
    <mergeCell ref="U7:U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formula1>900</formula1>
    </dataValidation>
  </dataValidations>
  <hyperlinks>
    <hyperlink ref="J19" r:id="rId1" xr:uid="{.CCF4482-1189-EBAD-808D-0.8AC5296A}"/>
    <hyperlink ref="L19" r:id="rId2" tooltip="Кликните по гиперссылке, чтобы перейти по ней или отредактировать её" xr:uid="{CA96BEA6-53BD-496F-43E5-0.9E1EF697}"/>
    <hyperlink ref="N19" r:id="rId3" tooltip="Кликните по гиперссылке, чтобы перейти по ней или отредактировать её" xr:uid="{BC640301-35FE-0803-56B4-0.00699AA}"/>
    <hyperlink ref="P19" r:id="rId4" xr:uid="{CCBCBC69-165D-BE6E-C8B1-0.DB7C9F77}"/>
    <hyperlink ref="R19" r:id="rId5" tooltip="Кликните по гиперссылке, чтобы перейти по ней или отредактировать её" xr:uid="{83D65797-AB96-1861-63CE-0.52749638}"/>
    <hyperlink ref="T19" r:id="rId6" tooltip="Кликните по гиперссылке, чтобы перейти по ней или отредактировать её" xr:uid="{E51A0F9B-2F97-D46B-56D7-0.64F73E79}"/>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850DBD-6ACF-C526-F56D-0.616B9E01}" mc:Ignorable="x14ac xr xr2 xr3">
  <sheetPr>
    <tabColor rgb="FFCCCCFF"/>
  </sheetPr>
  <dimension ref="A1:AM30"/>
  <sheetViews>
    <sheetView topLeftCell="A1" showGridLines="0" zoomScale="90" workbookViewId="0">
      <selection activeCell="M18" sqref="M18"/>
    </sheetView>
  </sheetViews>
  <sheetFormatPr defaultColWidth="9.140625" customHeight="1" defaultRowHeight="11.25"/>
  <cols>
    <col min="1" max="1" style="7809" width="6.421875" hidden="1" customWidth="1"/>
    <col min="2" max="2" style="7809" width="2.00390625" hidden="1" customWidth="1"/>
    <col min="3" max="3" style="7809" width="3.00390625" customWidth="1"/>
    <col min="4" max="4" style="7809" width="4.00390625" customWidth="1"/>
    <col min="5" max="5" style="7809" width="44.00390625" customWidth="1"/>
    <col min="6" max="6" style="7809" width="6.421875" customWidth="1"/>
    <col min="7" max="7" style="7809" width="4.00390625" customWidth="1"/>
    <col min="8" max="8" style="7809" width="5.00390625" customWidth="1"/>
    <col min="9" max="9" style="7809" width="52.00390625" customWidth="1"/>
    <col min="10" max="10" style="7809" width="7.00390625" customWidth="1"/>
    <col min="11" max="11" style="7809" width="3.00390625" customWidth="1"/>
    <col min="12" max="12" style="7809" width="6.00390625" customWidth="1"/>
    <col min="13" max="13" style="7809" width="56.00390625" customWidth="1"/>
    <col min="14" max="14" style="6237" width="8.00390625" customWidth="1"/>
    <col min="15" max="20" style="7183" width="9.140625" hidden="1"/>
    <col min="21" max="24" style="7315" width="9.140625" hidden="1"/>
    <col min="25" max="37" style="6237" width="9.140625" hidden="1"/>
    <col min="38" max="38" style="6237" width="8.00390625" customWidth="1"/>
    <col min="39" max="39" style="7809" width="9.140625" hidden="1"/>
  </cols>
  <sheetData>
    <row customHeight="1" ht="11.25" hidden="1">
      <c r="AM1" s="729" t="s">
        <v>14</v>
      </c>
    </row>
    <row customHeight="1" ht="11.25" hidden="1">
      <c r="AM2" s="729">
        <v>0</v>
      </c>
    </row>
    <row customHeight="1" ht="11.549999999999999">
      <c r="AM3" s="729">
        <v>11</v>
      </c>
    </row>
    <row customHeight="1" ht="35.699999999999996">
      <c r="A4" s="731"/>
      <c r="B4" s="731"/>
      <c r="D4" s="2278"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79"/>
      <c r="F4" s="2279"/>
      <c r="G4" s="2279"/>
      <c r="H4" s="2279"/>
      <c r="I4" s="2280"/>
      <c r="J4" s="730"/>
      <c r="K4" s="730"/>
      <c r="L4" s="730"/>
      <c r="M4" s="730"/>
      <c r="AM4" s="729">
        <v>34</v>
      </c>
    </row>
    <row s="5715" customFormat="1" customHeight="1" ht="14.699999999999998">
      <c r="A5" s="731"/>
      <c r="B5" s="731"/>
      <c r="C5" s="731"/>
      <c r="D5" s="2281" t="str">
        <f>IF(org=0,"Не определено",org)</f>
        <v>ПАО "ТГК-14"</v>
      </c>
      <c r="E5" s="2282"/>
      <c r="F5" s="2282"/>
      <c r="G5" s="2282"/>
      <c r="H5" s="2282"/>
      <c r="I5" s="2283"/>
      <c r="J5" s="732"/>
      <c r="K5" s="732"/>
      <c r="L5" s="732"/>
      <c r="M5" s="732"/>
      <c r="N5" s="732"/>
      <c r="O5" s="1016"/>
      <c r="P5" s="1016"/>
      <c r="Q5" s="1016"/>
      <c r="R5" s="1016"/>
      <c r="S5" s="1016"/>
      <c r="T5" s="1016"/>
      <c r="U5" s="1407"/>
      <c r="V5" s="1407"/>
      <c r="W5" s="1407"/>
      <c r="X5" s="1407"/>
      <c r="Y5" s="732"/>
      <c r="Z5" s="732"/>
      <c r="AA5" s="732"/>
      <c r="AB5" s="732"/>
      <c r="AC5" s="732"/>
      <c r="AD5" s="732"/>
      <c r="AE5" s="732"/>
      <c r="AF5" s="732"/>
      <c r="AG5" s="732"/>
      <c r="AH5" s="732"/>
      <c r="AI5" s="732"/>
      <c r="AJ5" s="732"/>
      <c r="AK5" s="732"/>
      <c r="AL5" s="732"/>
      <c r="AM5" s="733">
        <v>14</v>
      </c>
    </row>
    <row s="5715" customFormat="1" customHeight="1" ht="6.3">
      <c r="A6" s="2284"/>
      <c r="B6" s="2284"/>
      <c r="C6" s="2284"/>
      <c r="D6" s="2284"/>
      <c r="E6" s="2284"/>
      <c r="F6" s="2284"/>
      <c r="G6" s="734"/>
      <c r="H6" s="734"/>
      <c r="I6" s="734"/>
      <c r="J6" s="734"/>
      <c r="K6" s="734"/>
      <c r="N6" s="736"/>
      <c r="O6" s="1560"/>
      <c r="P6" s="1560"/>
      <c r="Q6" s="1560"/>
      <c r="R6" s="1560"/>
      <c r="S6" s="1560"/>
      <c r="T6" s="1560"/>
      <c r="U6" s="1410"/>
      <c r="V6" s="1410"/>
      <c r="W6" s="1410"/>
      <c r="X6" s="1410"/>
      <c r="Y6" s="736"/>
      <c r="Z6" s="736"/>
      <c r="AA6" s="736"/>
      <c r="AB6" s="736"/>
      <c r="AC6" s="736"/>
      <c r="AD6" s="736"/>
      <c r="AE6" s="736"/>
      <c r="AF6" s="736"/>
      <c r="AG6" s="736"/>
      <c r="AH6" s="736"/>
      <c r="AI6" s="736"/>
      <c r="AJ6" s="736"/>
      <c r="AK6" s="736"/>
      <c r="AL6" s="736"/>
      <c r="AM6" s="735">
        <v>6</v>
      </c>
    </row>
    <row customHeight="1" ht="45.75" hidden="1">
      <c r="E7" s="228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90"/>
      <c r="G7" s="2290"/>
      <c r="H7" s="2290"/>
      <c r="I7" s="2290"/>
      <c r="J7" s="2290"/>
      <c r="K7" s="2290"/>
      <c r="L7" s="2290"/>
      <c r="M7" s="2290"/>
      <c r="AM7" s="729">
        <v>0</v>
      </c>
    </row>
    <row s="5715" customFormat="1" customHeight="1" ht="6.3">
      <c r="A8" s="737"/>
      <c r="B8" s="737"/>
      <c r="C8" s="737"/>
      <c r="D8" s="737"/>
      <c r="E8" s="737"/>
      <c r="F8" s="737"/>
      <c r="G8" s="737"/>
      <c r="H8" s="737"/>
      <c r="I8" s="737"/>
      <c r="J8" s="737"/>
      <c r="K8" s="737"/>
      <c r="L8" s="737"/>
      <c r="M8" s="735"/>
      <c r="N8" s="732"/>
      <c r="O8" s="1016"/>
      <c r="P8" s="1016"/>
      <c r="Q8" s="1016"/>
      <c r="R8" s="1016"/>
      <c r="S8" s="1016"/>
      <c r="T8" s="1016"/>
      <c r="U8" s="1407"/>
      <c r="V8" s="1407"/>
      <c r="W8" s="1407"/>
      <c r="X8" s="1407"/>
      <c r="Y8" s="732"/>
      <c r="Z8" s="732"/>
      <c r="AA8" s="732"/>
      <c r="AB8" s="732"/>
      <c r="AC8" s="732"/>
      <c r="AD8" s="732"/>
      <c r="AE8" s="732"/>
      <c r="AF8" s="732"/>
      <c r="AG8" s="732"/>
      <c r="AH8" s="732"/>
      <c r="AI8" s="732"/>
      <c r="AJ8" s="732"/>
      <c r="AK8" s="732"/>
      <c r="AL8" s="732"/>
      <c r="AM8" s="733">
        <v>6</v>
      </c>
    </row>
    <row customHeight="1" ht="18.75">
      <c r="A9" s="2285"/>
      <c r="B9" s="469"/>
      <c r="C9" s="469"/>
      <c r="D9" s="2286" t="s">
        <v>117</v>
      </c>
      <c r="E9" s="2286"/>
      <c r="F9" s="2287" t="s">
        <v>118</v>
      </c>
      <c r="G9" s="2288"/>
      <c r="H9" s="2288"/>
      <c r="I9" s="2288"/>
      <c r="J9" s="2291" t="s">
        <v>119</v>
      </c>
      <c r="K9" s="2291"/>
      <c r="L9" s="2291"/>
      <c r="M9" s="2291"/>
      <c r="AM9" s="729">
        <v>18</v>
      </c>
    </row>
    <row customHeight="1" ht="24">
      <c r="A10" s="2285"/>
      <c r="B10" s="738"/>
      <c r="C10" s="671"/>
      <c r="D10" s="669" t="s">
        <v>89</v>
      </c>
      <c r="E10" s="669" t="s">
        <v>90</v>
      </c>
      <c r="F10" s="669" t="s">
        <v>120</v>
      </c>
      <c r="G10" s="2292" t="s">
        <v>89</v>
      </c>
      <c r="H10" s="2293"/>
      <c r="I10" s="669" t="s">
        <v>90</v>
      </c>
      <c r="J10" s="669" t="s">
        <v>120</v>
      </c>
      <c r="K10" s="2292" t="s">
        <v>89</v>
      </c>
      <c r="L10" s="2293"/>
      <c r="M10" s="669" t="s">
        <v>90</v>
      </c>
      <c r="N10" s="1773"/>
      <c r="AM10" s="729">
        <v>23</v>
      </c>
    </row>
    <row s="7809" customFormat="1" customHeight="1" ht="11.25" hidden="1">
      <c r="A11" s="739"/>
      <c r="B11" s="739"/>
      <c r="C11" s="739"/>
      <c r="D11" s="740" t="s">
        <v>121</v>
      </c>
      <c r="E11" s="740" t="s">
        <v>105</v>
      </c>
      <c r="F11" s="740" t="s">
        <v>91</v>
      </c>
      <c r="G11" s="2274" t="s">
        <v>92</v>
      </c>
      <c r="H11" s="2275"/>
      <c r="I11" s="740" t="s">
        <v>122</v>
      </c>
      <c r="J11" s="740" t="s">
        <v>93</v>
      </c>
      <c r="K11" s="2276" t="s">
        <v>94</v>
      </c>
      <c r="L11" s="2277"/>
      <c r="M11" s="740" t="s">
        <v>123</v>
      </c>
      <c r="N11" s="1772"/>
      <c r="O11" s="1559"/>
      <c r="P11" s="1561"/>
      <c r="Q11" s="1561"/>
      <c r="R11" s="1561"/>
      <c r="S11" s="1561"/>
      <c r="T11" s="1561"/>
      <c r="U11" s="1411"/>
      <c r="V11" s="1411"/>
      <c r="W11" s="1411"/>
      <c r="X11" s="1411"/>
      <c r="Y11" s="741"/>
      <c r="Z11" s="741"/>
      <c r="AA11" s="741"/>
      <c r="AB11" s="741"/>
      <c r="AC11" s="741"/>
      <c r="AD11" s="741"/>
      <c r="AE11" s="741"/>
      <c r="AF11" s="741"/>
      <c r="AG11" s="741"/>
      <c r="AH11" s="741"/>
      <c r="AI11" s="741"/>
      <c r="AJ11" s="741"/>
      <c r="AK11" s="741"/>
      <c r="AL11" s="741"/>
      <c r="AM11" s="742">
        <v>0</v>
      </c>
    </row>
    <row customHeight="1" ht="1.05">
      <c r="A12" s="743"/>
      <c r="B12" s="744"/>
      <c r="C12" s="744"/>
      <c r="D12" s="745"/>
      <c r="E12" s="513"/>
      <c r="F12" s="746"/>
      <c r="G12" s="1205"/>
      <c r="H12" s="1205"/>
      <c r="I12" s="746"/>
      <c r="J12" s="746"/>
      <c r="K12" s="320"/>
      <c r="L12" s="513"/>
      <c r="M12" s="747"/>
      <c r="N12" s="1773"/>
      <c r="O12" s="1559" t="s">
        <v>124</v>
      </c>
      <c r="P12" s="1559" t="s">
        <v>125</v>
      </c>
      <c r="Q12" s="1559" t="s">
        <v>126</v>
      </c>
      <c r="R12" s="1559" t="s">
        <v>127</v>
      </c>
      <c r="AM12" s="729">
        <v>1</v>
      </c>
    </row>
    <row s="7809" customFormat="1" customHeight="1" ht="15.75">
      <c r="A13" s="439"/>
      <c r="B13" s="439"/>
      <c r="C13" s="672"/>
      <c r="D13" s="2267" t="s">
        <v>121</v>
      </c>
      <c r="E13" s="2268" t="str">
        <f>INDEX(VD_NAME_LIST,MATCH("4190065",VD_ID_LIST,0))&amp;"; "&amp;INDEX(VD_NAME_LIST,MATCH("4190068",VD_ID_LIST,0))&amp;"; "&amp;INDEX(VD_NAME_LIST,MATCH("4190070",VD_ID_LIST,0))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F13" s="2271" t="s">
        <v>63</v>
      </c>
      <c r="G13" s="2272"/>
      <c r="H13" s="2273">
        <v>1</v>
      </c>
      <c r="I13" s="2264" t="str">
        <f>IF(U13="","",INDEX(TERRITORY_MR_LIST,MATCH(U13,TERRITORY_LIST_ID,0)))</f>
        <v>Территория 1</v>
      </c>
      <c r="J13" s="2266" t="s">
        <v>63</v>
      </c>
      <c r="K13" s="748"/>
      <c r="L13" s="673" t="s">
        <v>121</v>
      </c>
      <c r="M13" s="7982" t="s">
        <v>128</v>
      </c>
      <c r="N13" s="958"/>
      <c r="O13" s="1562" t="s">
        <v>129</v>
      </c>
      <c r="P13" s="1559" t="str">
        <f>$E$13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Q13" s="1559" t="str">
        <f>IF($F$13="нет","без дифференциации",$I$13)</f>
        <v>Территория 1</v>
      </c>
      <c r="R13" s="1559" t="str">
        <f>IF($J$13="нет","без дифференциации",M13)</f>
        <v>Шерловогорская ТЭЦ</v>
      </c>
      <c r="S13" s="1562"/>
      <c r="T13" s="1562"/>
      <c r="U13" s="1412" t="s">
        <v>99</v>
      </c>
      <c r="V13" s="1412" t="s">
        <v>130</v>
      </c>
      <c r="W13" s="1412"/>
      <c r="X13" s="1412"/>
      <c r="Y13" s="750" t="s">
        <v>131</v>
      </c>
      <c r="Z13" s="750">
        <v>1705000</v>
      </c>
      <c r="AA13" s="750"/>
      <c r="AB13" s="750"/>
      <c r="AC13" s="750"/>
      <c r="AD13" s="750"/>
      <c r="AE13" s="750"/>
      <c r="AF13" s="750"/>
      <c r="AG13" s="750"/>
      <c r="AH13" s="750"/>
      <c r="AI13" s="750"/>
      <c r="AJ13" s="750"/>
      <c r="AK13" s="750"/>
      <c r="AL13" s="750"/>
      <c r="AM13" s="752">
        <v>15</v>
      </c>
    </row>
    <row s="7809" customFormat="1" customHeight="1" ht="15.75">
      <c r="A14" s="439"/>
      <c r="B14" s="439"/>
      <c r="C14" s="322"/>
      <c r="D14" s="2267"/>
      <c r="E14" s="2269"/>
      <c r="F14" s="2266"/>
      <c r="G14" s="2272"/>
      <c r="H14" s="2273"/>
      <c r="I14" s="2265"/>
      <c r="J14" s="2266"/>
      <c r="K14" s="567"/>
      <c r="L14" s="323"/>
      <c r="M14" s="753" t="s">
        <v>132</v>
      </c>
      <c r="N14" s="958"/>
      <c r="O14" s="1562"/>
      <c r="P14" s="1559"/>
      <c r="Q14" s="1559"/>
      <c r="R14" s="1559"/>
      <c r="S14" s="1562"/>
      <c r="T14" s="1562"/>
      <c r="U14" s="1412"/>
      <c r="V14" s="1412"/>
      <c r="W14" s="1412"/>
      <c r="X14" s="1412"/>
      <c r="Y14" s="750"/>
      <c r="Z14" s="750"/>
      <c r="AA14" s="750"/>
      <c r="AB14" s="750"/>
      <c r="AC14" s="750"/>
      <c r="AD14" s="750"/>
      <c r="AE14" s="750"/>
      <c r="AF14" s="750"/>
      <c r="AG14" s="750"/>
      <c r="AH14" s="750"/>
      <c r="AI14" s="750"/>
      <c r="AJ14" s="750"/>
      <c r="AK14" s="750"/>
      <c r="AL14" s="750"/>
      <c r="AM14" s="752">
        <v>15</v>
      </c>
    </row>
    <row customHeight="1" ht="15">
      <c r="A15" s="569"/>
      <c r="B15" s="569"/>
      <c r="C15" s="322"/>
      <c r="D15" s="1966"/>
      <c r="E15" s="1966"/>
      <c r="F15" s="1966"/>
      <c r="G15" s="2720" t="s">
        <v>106</v>
      </c>
      <c r="H15" s="2262" t="s">
        <v>105</v>
      </c>
      <c r="I15" s="2721" t="str">
        <f>IF(U15="","",INDEX(TERRITORY_MR_LIST,MATCH(U15,TERRITORY_LIST_ID,0)))</f>
        <v>Территория 2</v>
      </c>
      <c r="J15" s="2266" t="s">
        <v>63</v>
      </c>
      <c r="K15" s="978"/>
      <c r="L15" s="1927" t="s">
        <v>121</v>
      </c>
      <c r="M15" s="7982" t="s">
        <v>133</v>
      </c>
      <c r="N15" s="750"/>
      <c r="O15" s="750" t="s">
        <v>134</v>
      </c>
      <c r="P15" s="750" t="str">
        <f>$E$13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Q15" s="750" t="str">
        <f>IF($F$15="нет","без дифференциации",$I$15)</f>
        <v>Территория 2</v>
      </c>
      <c r="R15" s="750" t="str">
        <f>IF($J$15="нет","без дифференциации",$M$15)</f>
        <v>Приаргунская ТЭЦ</v>
      </c>
      <c r="S15" s="750"/>
      <c r="T15" s="750"/>
      <c r="U15" s="751" t="s">
        <v>107</v>
      </c>
      <c r="V15" s="750"/>
      <c r="W15" s="750"/>
      <c r="X15" s="741"/>
      <c r="Y15" s="741" t="s">
        <v>131</v>
      </c>
      <c r="Z15" s="741">
        <v>1705000</v>
      </c>
      <c r="AA15" s="741"/>
      <c r="AB15" s="741"/>
      <c r="AC15" s="741"/>
      <c r="AD15" s="741"/>
      <c r="AE15" s="741"/>
      <c r="AF15" s="741"/>
      <c r="AG15" s="741"/>
      <c r="AH15" s="741"/>
      <c r="AI15" s="741"/>
      <c r="AJ15" s="741"/>
      <c r="AK15" s="741"/>
      <c r="AL15" s="741"/>
      <c r="AM15" s="7809"/>
    </row>
    <row customHeight="1" ht="15">
      <c r="A16" s="569"/>
      <c r="B16" s="569"/>
      <c r="C16" s="322"/>
      <c r="D16" s="1966"/>
      <c r="E16" s="1966"/>
      <c r="F16" s="1966"/>
      <c r="G16" s="2720"/>
      <c r="H16" s="2262"/>
      <c r="I16" s="2721"/>
      <c r="J16" s="2266"/>
      <c r="K16" s="567"/>
      <c r="L16" s="323"/>
      <c r="M16" s="753" t="s">
        <v>132</v>
      </c>
      <c r="N16" s="750"/>
      <c r="O16" s="750"/>
      <c r="P16" s="750"/>
      <c r="Q16" s="750"/>
      <c r="R16" s="750"/>
      <c r="S16" s="750"/>
      <c r="T16" s="750"/>
      <c r="U16" s="751"/>
      <c r="V16" s="750"/>
      <c r="W16" s="750"/>
      <c r="X16" s="741"/>
      <c r="Y16" s="741"/>
      <c r="Z16" s="741"/>
      <c r="AA16" s="741"/>
      <c r="AB16" s="741"/>
      <c r="AC16" s="741"/>
      <c r="AD16" s="741"/>
      <c r="AE16" s="741"/>
      <c r="AF16" s="741"/>
      <c r="AG16" s="741"/>
      <c r="AH16" s="741"/>
      <c r="AI16" s="741"/>
      <c r="AJ16" s="741"/>
      <c r="AK16" s="741"/>
      <c r="AL16" s="741"/>
      <c r="AM16" s="7809"/>
    </row>
    <row s="7809" customFormat="1" customHeight="1" ht="15.75">
      <c r="A17" s="439"/>
      <c r="B17" s="439"/>
      <c r="C17" s="322"/>
      <c r="D17" s="2267"/>
      <c r="E17" s="2270"/>
      <c r="F17" s="2266"/>
      <c r="G17" s="1206"/>
      <c r="H17" s="1207"/>
      <c r="I17" s="726" t="s">
        <v>135</v>
      </c>
      <c r="J17" s="323"/>
      <c r="K17" s="323"/>
      <c r="L17" s="323"/>
      <c r="M17" s="754"/>
      <c r="N17" s="958"/>
      <c r="O17" s="1562"/>
      <c r="P17" s="1559"/>
      <c r="Q17" s="1559"/>
      <c r="R17" s="1559"/>
      <c r="S17" s="1562"/>
      <c r="T17" s="1562"/>
      <c r="U17" s="1412"/>
      <c r="V17" s="1412"/>
      <c r="W17" s="1412"/>
      <c r="X17" s="1412"/>
      <c r="Y17" s="750"/>
      <c r="Z17" s="750"/>
      <c r="AA17" s="750"/>
      <c r="AB17" s="750"/>
      <c r="AC17" s="750"/>
      <c r="AD17" s="750"/>
      <c r="AE17" s="750"/>
      <c r="AF17" s="750"/>
      <c r="AG17" s="750"/>
      <c r="AH17" s="750"/>
      <c r="AI17" s="750"/>
      <c r="AJ17" s="750"/>
      <c r="AK17" s="750"/>
      <c r="AL17" s="750"/>
      <c r="AM17" s="752">
        <v>15</v>
      </c>
    </row>
    <row customHeight="1" ht="15">
      <c r="A18" s="569"/>
      <c r="B18" s="569"/>
      <c r="C18" s="1873" t="s">
        <v>106</v>
      </c>
      <c r="D18" s="2267" t="s">
        <v>105</v>
      </c>
      <c r="E18" s="2268" t="str">
        <f>INDEX(VD_NAME_LIST,MATCH("4190065",VD_ID_LIST,0))&amp;"; "&amp;INDEX(VD_NAME_LIST,MATCH("4190066",VD_ID_LIST,0))&amp;"; "&amp;INDEX(VD_NAME_LIST,MATCH("4190068",VD_ID_LIST,0))&amp;"; "&amp;INDEX(VD_NAME_LIST,MATCH("4190070",VD_ID_LIST,0))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F18" s="2266" t="s">
        <v>63</v>
      </c>
      <c r="G18" s="2716"/>
      <c r="H18" s="2286">
        <v>1</v>
      </c>
      <c r="I18" s="7983" t="str">
        <f>IF($U$18="","",INDEX(TERRITORY_MR_LIST,MATCH($U$18,TERRITORY_LIST_ID,0)))</f>
        <v>Территория 3</v>
      </c>
      <c r="J18" s="2266" t="s">
        <v>63</v>
      </c>
      <c r="K18" s="978"/>
      <c r="L18" s="1927" t="s">
        <v>121</v>
      </c>
      <c r="M18" s="7982" t="s">
        <v>136</v>
      </c>
      <c r="N18" s="750"/>
      <c r="O18" s="750" t="s">
        <v>137</v>
      </c>
      <c r="P18" s="750" t="str">
        <f>$E$18</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Q18" s="750" t="str">
        <f>IF($F$18="нет","без дифференциации",$I$18)</f>
        <v>Территория 3</v>
      </c>
      <c r="R18" s="750" t="str">
        <f>IF($J$18="нет","без дифференциации",$M$18)</f>
        <v>ЦТС г. Чита (ЧТЭЦ-1, ЧТЭЦ-2)</v>
      </c>
      <c r="S18" s="750"/>
      <c r="T18" s="750"/>
      <c r="U18" s="751" t="s">
        <v>111</v>
      </c>
      <c r="V18" s="750" t="s">
        <v>138</v>
      </c>
      <c r="W18" s="750"/>
      <c r="X18" s="741"/>
      <c r="Y18" s="741" t="s">
        <v>131</v>
      </c>
      <c r="Z18" s="741">
        <v>1705000</v>
      </c>
      <c r="AA18" s="741"/>
      <c r="AB18" s="741"/>
      <c r="AC18" s="741"/>
      <c r="AD18" s="741"/>
      <c r="AE18" s="741"/>
      <c r="AF18" s="741"/>
      <c r="AG18" s="741"/>
      <c r="AH18" s="741"/>
      <c r="AI18" s="741"/>
      <c r="AJ18" s="741"/>
      <c r="AK18" s="741"/>
      <c r="AL18" s="741"/>
      <c r="AM18" s="7809"/>
    </row>
    <row customHeight="1" ht="15">
      <c r="A19" s="569"/>
      <c r="B19" s="569"/>
      <c r="C19" s="322"/>
      <c r="D19" s="2267"/>
      <c r="E19" s="2269"/>
      <c r="F19" s="2266"/>
      <c r="G19" s="2717"/>
      <c r="H19" s="2286"/>
      <c r="I19" s="7984" t="str">
        <f>IF($U$18="","",INDEX(TERRITORY_MR_LIST,MATCH($U$18,TERRITORY_LIST_ID,0)))</f>
        <v>Территория 3</v>
      </c>
      <c r="J19" s="2266"/>
      <c r="K19" s="567"/>
      <c r="L19" s="323"/>
      <c r="M19" s="753" t="s">
        <v>132</v>
      </c>
      <c r="N19" s="750"/>
      <c r="O19" s="750"/>
      <c r="P19" s="750"/>
      <c r="Q19" s="750"/>
      <c r="R19" s="750"/>
      <c r="S19" s="750"/>
      <c r="T19" s="750"/>
      <c r="U19" s="751"/>
      <c r="V19" s="750"/>
      <c r="W19" s="750"/>
      <c r="X19" s="741"/>
      <c r="Y19" s="741"/>
      <c r="Z19" s="741"/>
      <c r="AA19" s="741"/>
      <c r="AB19" s="741"/>
      <c r="AC19" s="741"/>
      <c r="AD19" s="741"/>
      <c r="AE19" s="741"/>
      <c r="AF19" s="741"/>
      <c r="AG19" s="741"/>
      <c r="AH19" s="741"/>
      <c r="AI19" s="741"/>
      <c r="AJ19" s="741"/>
      <c r="AK19" s="741"/>
      <c r="AL19" s="741"/>
      <c r="AM19" s="7809"/>
    </row>
    <row customHeight="1" ht="66.75">
      <c r="A20" s="569"/>
      <c r="B20" s="569"/>
      <c r="C20" s="322"/>
      <c r="D20" s="2267"/>
      <c r="E20" s="2270"/>
      <c r="F20" s="2266"/>
      <c r="G20" s="567"/>
      <c r="H20" s="323"/>
      <c r="I20" s="726" t="s">
        <v>135</v>
      </c>
      <c r="J20" s="323"/>
      <c r="K20" s="323"/>
      <c r="L20" s="323"/>
      <c r="M20" s="754"/>
      <c r="N20" s="750"/>
      <c r="O20" s="750"/>
      <c r="P20" s="750"/>
      <c r="Q20" s="750"/>
      <c r="R20" s="750"/>
      <c r="S20" s="750"/>
      <c r="T20" s="750"/>
      <c r="U20" s="751"/>
      <c r="V20" s="750"/>
      <c r="W20" s="750"/>
      <c r="X20" s="741"/>
      <c r="Y20" s="741"/>
      <c r="Z20" s="741"/>
      <c r="AA20" s="741"/>
      <c r="AB20" s="741"/>
      <c r="AC20" s="741"/>
      <c r="AD20" s="741"/>
      <c r="AE20" s="741"/>
      <c r="AF20" s="741"/>
      <c r="AG20" s="741"/>
      <c r="AH20" s="741"/>
      <c r="AI20" s="741"/>
      <c r="AJ20" s="741"/>
      <c r="AK20" s="741"/>
      <c r="AL20" s="741"/>
      <c r="AM20" s="7809"/>
    </row>
    <row customHeight="1" ht="15">
      <c r="A21" s="569"/>
      <c r="B21" s="569"/>
      <c r="C21" s="1873" t="s">
        <v>106</v>
      </c>
      <c r="D21" s="2267" t="s">
        <v>91</v>
      </c>
      <c r="E21" s="2268" t="str">
        <f>INDEX(VD_NAME_LIST,MATCH("4190067",VD_ID_LIST,0))</f>
        <v>Производство. Теплоноситель</v>
      </c>
      <c r="F21" s="2266" t="s">
        <v>63</v>
      </c>
      <c r="G21" s="2716"/>
      <c r="H21" s="2286">
        <v>1</v>
      </c>
      <c r="I21" s="7983" t="str">
        <f>IF($U$21="","",INDEX(TERRITORY_MR_LIST,MATCH($U$21,TERRITORY_LIST_ID,0)))</f>
        <v>Территория 1</v>
      </c>
      <c r="J21" s="2266" t="s">
        <v>63</v>
      </c>
      <c r="K21" s="978"/>
      <c r="L21" s="1927" t="s">
        <v>121</v>
      </c>
      <c r="M21" s="7982" t="s">
        <v>128</v>
      </c>
      <c r="N21" s="750"/>
      <c r="O21" s="750" t="s">
        <v>139</v>
      </c>
      <c r="P21" s="750" t="str">
        <f>$E$21</f>
        <v>Производство. Теплоноситель</v>
      </c>
      <c r="Q21" s="750" t="str">
        <f>IF($F$21="нет","без дифференциации",$I$21)</f>
        <v>Территория 1</v>
      </c>
      <c r="R21" s="750" t="str">
        <f>IF($J$21="нет","без дифференциации",$M$21)</f>
        <v>Шерловогорская ТЭЦ</v>
      </c>
      <c r="S21" s="750"/>
      <c r="T21" s="750"/>
      <c r="U21" s="751" t="s">
        <v>99</v>
      </c>
      <c r="V21" s="750" t="s">
        <v>140</v>
      </c>
      <c r="W21" s="750"/>
      <c r="X21" s="741"/>
      <c r="Y21" s="741" t="s">
        <v>131</v>
      </c>
      <c r="Z21" s="741">
        <v>1705000</v>
      </c>
      <c r="AA21" s="741"/>
      <c r="AB21" s="741"/>
      <c r="AC21" s="741"/>
      <c r="AD21" s="741"/>
      <c r="AE21" s="741"/>
      <c r="AF21" s="741"/>
      <c r="AG21" s="741"/>
      <c r="AH21" s="741"/>
      <c r="AI21" s="741"/>
      <c r="AJ21" s="741"/>
      <c r="AK21" s="741"/>
      <c r="AL21" s="741"/>
      <c r="AM21" s="7809"/>
    </row>
    <row customHeight="1" ht="15">
      <c r="A22" s="569"/>
      <c r="B22" s="569"/>
      <c r="C22" s="322"/>
      <c r="D22" s="2267"/>
      <c r="E22" s="2269"/>
      <c r="F22" s="2266"/>
      <c r="G22" s="2717"/>
      <c r="H22" s="2286"/>
      <c r="I22" s="7984" t="str">
        <f>IF($U$21="","",INDEX(TERRITORY_MR_LIST,MATCH($U$21,TERRITORY_LIST_ID,0)))</f>
        <v>Территория 1</v>
      </c>
      <c r="J22" s="2266"/>
      <c r="K22" s="567"/>
      <c r="L22" s="323"/>
      <c r="M22" s="753" t="s">
        <v>132</v>
      </c>
      <c r="N22" s="750"/>
      <c r="O22" s="750"/>
      <c r="P22" s="750"/>
      <c r="Q22" s="750"/>
      <c r="R22" s="750"/>
      <c r="S22" s="750"/>
      <c r="T22" s="750"/>
      <c r="U22" s="751"/>
      <c r="V22" s="750"/>
      <c r="W22" s="750"/>
      <c r="X22" s="741"/>
      <c r="Y22" s="741"/>
      <c r="Z22" s="741"/>
      <c r="AA22" s="741"/>
      <c r="AB22" s="741"/>
      <c r="AC22" s="741"/>
      <c r="AD22" s="741"/>
      <c r="AE22" s="741"/>
      <c r="AF22" s="741"/>
      <c r="AG22" s="741"/>
      <c r="AH22" s="741"/>
      <c r="AI22" s="741"/>
      <c r="AJ22" s="741"/>
      <c r="AK22" s="741"/>
      <c r="AL22" s="741"/>
      <c r="AM22" s="7809"/>
    </row>
    <row customHeight="1" ht="15">
      <c r="A23" s="569"/>
      <c r="B23" s="569"/>
      <c r="C23" s="322"/>
      <c r="D23" s="1966"/>
      <c r="E23" s="1966"/>
      <c r="F23" s="1966"/>
      <c r="G23" s="2720" t="s">
        <v>106</v>
      </c>
      <c r="H23" s="2262" t="s">
        <v>105</v>
      </c>
      <c r="I23" s="2721" t="str">
        <f>IF(U23="","",INDEX(TERRITORY_MR_LIST,MATCH(U23,TERRITORY_LIST_ID,0)))</f>
        <v>Территория 2</v>
      </c>
      <c r="J23" s="2266" t="s">
        <v>63</v>
      </c>
      <c r="K23" s="978"/>
      <c r="L23" s="1927" t="s">
        <v>121</v>
      </c>
      <c r="M23" s="7982" t="s">
        <v>133</v>
      </c>
      <c r="N23" s="750"/>
      <c r="O23" s="750" t="s">
        <v>141</v>
      </c>
      <c r="P23" s="750" t="str">
        <f>$E$21</f>
        <v>Производство. Теплоноситель</v>
      </c>
      <c r="Q23" s="750" t="str">
        <f>IF($F$23="нет","без дифференциации",$I$23)</f>
        <v>Территория 2</v>
      </c>
      <c r="R23" s="750" t="str">
        <f>IF($J$23="нет","без дифференциации",$M$23)</f>
        <v>Приаргунская ТЭЦ</v>
      </c>
      <c r="S23" s="750"/>
      <c r="T23" s="750"/>
      <c r="U23" s="751" t="s">
        <v>107</v>
      </c>
      <c r="V23" s="750"/>
      <c r="W23" s="750"/>
      <c r="X23" s="741"/>
      <c r="Y23" s="741" t="s">
        <v>131</v>
      </c>
      <c r="Z23" s="741">
        <v>1705000</v>
      </c>
      <c r="AA23" s="741"/>
      <c r="AB23" s="741"/>
      <c r="AC23" s="741"/>
      <c r="AD23" s="741"/>
      <c r="AE23" s="741"/>
      <c r="AF23" s="741"/>
      <c r="AG23" s="741"/>
      <c r="AH23" s="741"/>
      <c r="AI23" s="741"/>
      <c r="AJ23" s="741"/>
      <c r="AK23" s="741"/>
      <c r="AL23" s="741"/>
      <c r="AM23" s="7809"/>
    </row>
    <row customHeight="1" ht="15">
      <c r="A24" s="569"/>
      <c r="B24" s="569"/>
      <c r="C24" s="322"/>
      <c r="D24" s="1966"/>
      <c r="E24" s="1966"/>
      <c r="F24" s="1966"/>
      <c r="G24" s="2720"/>
      <c r="H24" s="2262"/>
      <c r="I24" s="2721"/>
      <c r="J24" s="2266"/>
      <c r="K24" s="567"/>
      <c r="L24" s="323"/>
      <c r="M24" s="753" t="s">
        <v>132</v>
      </c>
      <c r="N24" s="750"/>
      <c r="O24" s="750"/>
      <c r="P24" s="750"/>
      <c r="Q24" s="750"/>
      <c r="R24" s="750"/>
      <c r="S24" s="750"/>
      <c r="T24" s="750"/>
      <c r="U24" s="751"/>
      <c r="V24" s="750"/>
      <c r="W24" s="750"/>
      <c r="X24" s="741"/>
      <c r="Y24" s="741"/>
      <c r="Z24" s="741"/>
      <c r="AA24" s="741"/>
      <c r="AB24" s="741"/>
      <c r="AC24" s="741"/>
      <c r="AD24" s="741"/>
      <c r="AE24" s="741"/>
      <c r="AF24" s="741"/>
      <c r="AG24" s="741"/>
      <c r="AH24" s="741"/>
      <c r="AI24" s="741"/>
      <c r="AJ24" s="741"/>
      <c r="AK24" s="741"/>
      <c r="AL24" s="741"/>
      <c r="AM24" s="7809"/>
    </row>
    <row customHeight="1" ht="15">
      <c r="A25" s="569"/>
      <c r="B25" s="569"/>
      <c r="C25" s="322"/>
      <c r="D25" s="2267"/>
      <c r="E25" s="2270"/>
      <c r="F25" s="2266"/>
      <c r="G25" s="567"/>
      <c r="H25" s="323"/>
      <c r="I25" s="726" t="s">
        <v>135</v>
      </c>
      <c r="J25" s="323"/>
      <c r="K25" s="323"/>
      <c r="L25" s="323"/>
      <c r="M25" s="754"/>
      <c r="N25" s="750"/>
      <c r="O25" s="750"/>
      <c r="P25" s="750"/>
      <c r="Q25" s="750"/>
      <c r="R25" s="750"/>
      <c r="S25" s="750"/>
      <c r="T25" s="750"/>
      <c r="U25" s="751"/>
      <c r="V25" s="750"/>
      <c r="W25" s="750"/>
      <c r="X25" s="741"/>
      <c r="Y25" s="741"/>
      <c r="Z25" s="741"/>
      <c r="AA25" s="741"/>
      <c r="AB25" s="741"/>
      <c r="AC25" s="741"/>
      <c r="AD25" s="741"/>
      <c r="AE25" s="741"/>
      <c r="AF25" s="741"/>
      <c r="AG25" s="741"/>
      <c r="AH25" s="741"/>
      <c r="AI25" s="741"/>
      <c r="AJ25" s="741"/>
      <c r="AK25" s="741"/>
      <c r="AL25" s="741"/>
      <c r="AM25" s="7809"/>
    </row>
    <row customHeight="1" ht="15">
      <c r="A26" s="569"/>
      <c r="B26" s="569"/>
      <c r="C26" s="1873" t="s">
        <v>106</v>
      </c>
      <c r="D26" s="2267" t="s">
        <v>92</v>
      </c>
      <c r="E26" s="2268"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26" s="2266" t="s">
        <v>63</v>
      </c>
      <c r="G26" s="2716"/>
      <c r="H26" s="2286">
        <v>1</v>
      </c>
      <c r="I26" s="7983" t="str">
        <f>IF($U$26="","",INDEX(TERRITORY_MR_LIST,MATCH($U$26,TERRITORY_LIST_ID,0)))</f>
        <v>Территория 3</v>
      </c>
      <c r="J26" s="2266" t="s">
        <v>63</v>
      </c>
      <c r="K26" s="978"/>
      <c r="L26" s="1927" t="s">
        <v>121</v>
      </c>
      <c r="M26" s="7982" t="s">
        <v>142</v>
      </c>
      <c r="N26" s="750"/>
      <c r="O26" s="750" t="s">
        <v>143</v>
      </c>
      <c r="P26" s="750" t="str">
        <f>$E$26</f>
        <v>Производство тепловой энергии. Некомбинированная выработка; Передача. Тепловая энергия; Сбыт. Тепловая энергия</v>
      </c>
      <c r="Q26" s="750" t="str">
        <f>IF($F$26="нет","без дифференциации",$I$26)</f>
        <v>Территория 3</v>
      </c>
      <c r="R26" s="750" t="str">
        <f>IF($J$26="нет","без дифференциации",$M$26)</f>
        <v>Котельные г. Чита</v>
      </c>
      <c r="S26" s="750"/>
      <c r="T26" s="750"/>
      <c r="U26" s="751" t="s">
        <v>111</v>
      </c>
      <c r="V26" s="750" t="s">
        <v>144</v>
      </c>
      <c r="W26" s="750"/>
      <c r="X26" s="741"/>
      <c r="Y26" s="741" t="s">
        <v>131</v>
      </c>
      <c r="Z26" s="741">
        <v>1705000</v>
      </c>
      <c r="AA26" s="741"/>
      <c r="AB26" s="741"/>
      <c r="AC26" s="741"/>
      <c r="AD26" s="741"/>
      <c r="AE26" s="741"/>
      <c r="AF26" s="741"/>
      <c r="AG26" s="741"/>
      <c r="AH26" s="741"/>
      <c r="AI26" s="741"/>
      <c r="AJ26" s="741"/>
      <c r="AK26" s="741"/>
      <c r="AL26" s="741"/>
      <c r="AM26" s="7809"/>
    </row>
    <row customHeight="1" ht="15">
      <c r="A27" s="569"/>
      <c r="B27" s="569"/>
      <c r="C27" s="322"/>
      <c r="D27" s="2267"/>
      <c r="E27" s="2269"/>
      <c r="F27" s="2266"/>
      <c r="G27" s="2717"/>
      <c r="H27" s="2286"/>
      <c r="I27" s="7984" t="str">
        <f>IF($U$26="","",INDEX(TERRITORY_MR_LIST,MATCH($U$26,TERRITORY_LIST_ID,0)))</f>
        <v>Территория 3</v>
      </c>
      <c r="J27" s="2266"/>
      <c r="K27" s="567"/>
      <c r="L27" s="323"/>
      <c r="M27" s="753" t="s">
        <v>132</v>
      </c>
      <c r="N27" s="750"/>
      <c r="O27" s="750"/>
      <c r="P27" s="750"/>
      <c r="Q27" s="750"/>
      <c r="R27" s="750"/>
      <c r="S27" s="750"/>
      <c r="T27" s="750"/>
      <c r="U27" s="751"/>
      <c r="V27" s="750"/>
      <c r="W27" s="750"/>
      <c r="X27" s="741"/>
      <c r="Y27" s="741"/>
      <c r="Z27" s="741"/>
      <c r="AA27" s="741"/>
      <c r="AB27" s="741"/>
      <c r="AC27" s="741"/>
      <c r="AD27" s="741"/>
      <c r="AE27" s="741"/>
      <c r="AF27" s="741"/>
      <c r="AG27" s="741"/>
      <c r="AH27" s="741"/>
      <c r="AI27" s="741"/>
      <c r="AJ27" s="741"/>
      <c r="AK27" s="741"/>
      <c r="AL27" s="741"/>
      <c r="AM27" s="7809"/>
    </row>
    <row customHeight="1" ht="15">
      <c r="A28" s="569"/>
      <c r="B28" s="569"/>
      <c r="C28" s="322"/>
      <c r="D28" s="2267"/>
      <c r="E28" s="2270"/>
      <c r="F28" s="2266"/>
      <c r="G28" s="567"/>
      <c r="H28" s="323"/>
      <c r="I28" s="726" t="s">
        <v>135</v>
      </c>
      <c r="J28" s="323"/>
      <c r="K28" s="323"/>
      <c r="L28" s="323"/>
      <c r="M28" s="754"/>
      <c r="N28" s="750"/>
      <c r="O28" s="750"/>
      <c r="P28" s="750"/>
      <c r="Q28" s="750"/>
      <c r="R28" s="750"/>
      <c r="S28" s="750"/>
      <c r="T28" s="750"/>
      <c r="U28" s="751"/>
      <c r="V28" s="750"/>
      <c r="W28" s="750"/>
      <c r="X28" s="741"/>
      <c r="Y28" s="741"/>
      <c r="Z28" s="741"/>
      <c r="AA28" s="741"/>
      <c r="AB28" s="741"/>
      <c r="AC28" s="741"/>
      <c r="AD28" s="741"/>
      <c r="AE28" s="741"/>
      <c r="AF28" s="741"/>
      <c r="AG28" s="741"/>
      <c r="AH28" s="741"/>
      <c r="AI28" s="741"/>
      <c r="AJ28" s="741"/>
      <c r="AK28" s="741"/>
      <c r="AL28" s="741"/>
      <c r="AM28" s="7809"/>
    </row>
    <row customHeight="1" ht="15.75">
      <c r="A29" s="755"/>
      <c r="B29" s="281"/>
      <c r="C29" s="952"/>
      <c r="D29" s="567"/>
      <c r="E29" s="717" t="s">
        <v>145</v>
      </c>
      <c r="F29" s="323"/>
      <c r="G29" s="323"/>
      <c r="H29" s="323"/>
      <c r="I29" s="323"/>
      <c r="J29" s="323"/>
      <c r="K29" s="323" t="s">
        <v>22</v>
      </c>
      <c r="L29" s="323"/>
      <c r="M29" s="754"/>
      <c r="N29" s="1773"/>
      <c r="AM29" s="729">
        <v>15</v>
      </c>
    </row>
    <row customHeight="1" ht="11.25" hidden="1">
      <c r="A30" s="729" t="s">
        <v>83</v>
      </c>
      <c r="B30" s="729">
        <v>0</v>
      </c>
      <c r="C30" s="729">
        <v>3</v>
      </c>
      <c r="D30" s="729">
        <v>4</v>
      </c>
      <c r="E30" s="729">
        <v>44</v>
      </c>
      <c r="F30" s="729">
        <v>6</v>
      </c>
      <c r="G30" s="729">
        <v>4</v>
      </c>
      <c r="H30" s="729">
        <v>5</v>
      </c>
      <c r="I30" s="729">
        <v>52</v>
      </c>
      <c r="J30" s="729">
        <v>6</v>
      </c>
      <c r="K30" s="729">
        <v>3</v>
      </c>
      <c r="L30" s="729">
        <v>6</v>
      </c>
      <c r="M30" s="729">
        <v>56</v>
      </c>
      <c r="N30" s="730">
        <v>8</v>
      </c>
      <c r="O30" s="1559">
        <v>0</v>
      </c>
      <c r="P30" s="1559">
        <v>0</v>
      </c>
      <c r="Q30" s="1559">
        <v>0</v>
      </c>
      <c r="R30" s="1559">
        <v>0</v>
      </c>
      <c r="S30" s="1559">
        <v>0</v>
      </c>
      <c r="T30" s="1559">
        <v>0</v>
      </c>
      <c r="U30" s="1409">
        <v>0</v>
      </c>
      <c r="V30" s="1409">
        <v>0</v>
      </c>
      <c r="W30" s="1409">
        <v>0</v>
      </c>
      <c r="X30" s="1409">
        <v>0</v>
      </c>
      <c r="Y30" s="730">
        <v>0</v>
      </c>
      <c r="Z30" s="730">
        <v>0</v>
      </c>
      <c r="AA30" s="730">
        <v>0</v>
      </c>
      <c r="AB30" s="730">
        <v>0</v>
      </c>
      <c r="AC30" s="730">
        <v>0</v>
      </c>
      <c r="AD30" s="730">
        <v>0</v>
      </c>
      <c r="AE30" s="730">
        <v>0</v>
      </c>
      <c r="AF30" s="730">
        <v>0</v>
      </c>
      <c r="AG30" s="730">
        <v>0</v>
      </c>
      <c r="AH30" s="730">
        <v>0</v>
      </c>
      <c r="AI30" s="730">
        <v>0</v>
      </c>
      <c r="AJ30" s="730">
        <v>0</v>
      </c>
      <c r="AK30" s="730">
        <v>0</v>
      </c>
      <c r="AL30" s="730">
        <v>8</v>
      </c>
      <c r="AM30" s="729">
        <v>11</v>
      </c>
    </row>
  </sheetData>
  <sheetProtection formatColumns="0" formatRows="0" autoFilter="0" sort="0" insertRows="0" insertColumns="1" deleteRows="0" deleteColumns="0"/>
  <mergeCells count="51">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D18:D20"/>
    <mergeCell ref="E18:E20"/>
    <mergeCell ref="F18:F20"/>
    <mergeCell ref="G18:G19"/>
    <mergeCell ref="H18:H19"/>
    <mergeCell ref="I18:I19"/>
    <mergeCell ref="J18:J19"/>
    <mergeCell ref="C18:C20"/>
    <mergeCell ref="D21:D25"/>
    <mergeCell ref="E21:E25"/>
    <mergeCell ref="F21:F25"/>
    <mergeCell ref="G21:G22"/>
    <mergeCell ref="H21:H22"/>
    <mergeCell ref="I21:I22"/>
    <mergeCell ref="J21:J22"/>
    <mergeCell ref="C21:C25"/>
    <mergeCell ref="D26:D28"/>
    <mergeCell ref="E26:E28"/>
    <mergeCell ref="F26:F28"/>
    <mergeCell ref="G26:G27"/>
    <mergeCell ref="H26:H27"/>
    <mergeCell ref="I26:I27"/>
    <mergeCell ref="J26:J27"/>
    <mergeCell ref="C26:C28"/>
    <mergeCell ref="G15:G16"/>
    <mergeCell ref="H15:H16"/>
    <mergeCell ref="I15:I16"/>
    <mergeCell ref="J15:J16"/>
    <mergeCell ref="G23:G24"/>
    <mergeCell ref="H23:H24"/>
    <mergeCell ref="I23:I24"/>
    <mergeCell ref="J23:J24"/>
  </mergeCells>
  <dataValidations count="6">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2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9A43B1-BC76-5DDF-F637-0.8D39971C}" mc:Ignorable="x14ac xr xr2 xr3">
  <sheetPr>
    <tabColor rgb="FFE26B0A"/>
  </sheetPr>
  <dimension ref="A1:AF40"/>
  <sheetViews>
    <sheetView topLeftCell="A1" showGridLines="0" zoomScale="90" workbookViewId="0">
      <selection activeCell="S25" sqref="S25"/>
    </sheetView>
  </sheetViews>
  <sheetFormatPr defaultColWidth="10.57421875" customHeight="1" defaultRowHeight="15"/>
  <cols>
    <col min="1" max="1" style="7486" width="9.140625" hidden="1" customWidth="1"/>
    <col min="2" max="2" style="7235" width="9.140625" hidden="1" customWidth="1"/>
    <col min="3" max="3" style="7143" width="4.00390625" customWidth="1"/>
    <col min="4" max="4" style="7235" width="6.00390625" customWidth="1"/>
    <col min="5" max="5" style="7235" width="36.00390625" customWidth="1"/>
    <col min="6" max="6" style="7235" width="9.00390625" customWidth="1"/>
    <col min="7" max="7" style="7235" width="25.7109375" hidden="1" customWidth="1"/>
    <col min="8" max="8" style="7235" width="33.7109375" hidden="1" customWidth="1"/>
    <col min="9" max="9" style="7235" width="25.7109375" customWidth="1"/>
    <col min="10" max="10" style="7235" width="33.00390625" customWidth="1"/>
    <col min="11" max="11" style="7235" width="25.7109375" customWidth="1"/>
    <col min="12" max="12" style="7235" width="33.7109375" customWidth="1"/>
    <col min="13" max="13" style="7235" width="25.7109375" customWidth="1"/>
    <col min="14" max="14" style="7235" width="33.7109375" customWidth="1"/>
    <col min="15" max="15" style="7235" width="25.7109375" customWidth="1"/>
    <col min="16" max="16" style="7235" width="33.7109375" customWidth="1"/>
    <col min="17" max="17" style="7235" width="25.7109375" customWidth="1"/>
    <col min="18" max="18" style="7235" width="33.7109375" customWidth="1"/>
    <col min="19" max="19" style="7235" width="25.7109375" customWidth="1"/>
    <col min="20" max="20" style="7235" width="33.7109375" customWidth="1"/>
    <col min="21" max="21" style="7180" width="93.00390625" customWidth="1"/>
    <col min="22" max="30" style="7235" width="10.00390625" customWidth="1"/>
    <col min="31" max="31" style="7271" width="10.00390625" customWidth="1"/>
    <col min="32" max="32" style="7235" width="10.57421875" hidden="1"/>
  </cols>
  <sheetData>
    <row s="7180" customFormat="1" customHeight="1" ht="22.5" hidden="1">
      <c r="C1" s="818"/>
      <c r="G1" s="563">
        <v>4</v>
      </c>
      <c r="I1" s="563">
        <v>4</v>
      </c>
      <c r="K1" s="7180">
        <v>4</v>
      </c>
      <c r="L1" s="7180"/>
      <c r="M1" s="7180">
        <v>4</v>
      </c>
      <c r="N1" s="7180"/>
      <c r="O1" s="7180">
        <v>4</v>
      </c>
      <c r="P1" s="7180"/>
      <c r="Q1" s="7180">
        <v>4</v>
      </c>
      <c r="R1" s="7180"/>
      <c r="S1" s="7180">
        <v>4</v>
      </c>
      <c r="T1" s="7180"/>
      <c r="AE1" s="566"/>
      <c r="AF1" s="563" t="s">
        <v>14</v>
      </c>
    </row>
    <row s="7180" customFormat="1" customHeight="1" ht="15" hidden="1">
      <c r="C2" s="818"/>
      <c r="K2" s="7180"/>
      <c r="L2" s="7180"/>
      <c r="M2" s="7180"/>
      <c r="N2" s="7180"/>
      <c r="O2" s="7180"/>
      <c r="P2" s="7180"/>
      <c r="Q2" s="7180"/>
      <c r="R2" s="7180"/>
      <c r="S2" s="7180"/>
      <c r="T2" s="7180"/>
      <c r="AE2" s="566"/>
      <c r="AF2" s="563">
        <v>0</v>
      </c>
    </row>
    <row customHeight="1" ht="22.5" hidden="1">
      <c r="A3" s="651"/>
      <c r="B3" s="2556"/>
      <c r="C3" s="2557" t="s">
        <v>106</v>
      </c>
      <c r="D3" s="835" t="str">
        <f>B3&amp;".1"</f>
        <v>.1</v>
      </c>
      <c r="E3" s="836" t="s">
        <v>999</v>
      </c>
      <c r="F3" s="837" t="s">
        <v>328</v>
      </c>
      <c r="G3" s="832"/>
      <c r="H3" s="547"/>
      <c r="I3" s="832"/>
      <c r="J3" s="547"/>
      <c r="K3" s="6899"/>
      <c r="L3" s="6692"/>
      <c r="M3" s="6899"/>
      <c r="N3" s="6692"/>
      <c r="O3" s="6899"/>
      <c r="P3" s="6692"/>
      <c r="Q3" s="6899"/>
      <c r="R3" s="6692"/>
      <c r="S3" s="6899"/>
      <c r="T3" s="6692"/>
      <c r="U3" s="435" t="s">
        <v>1000</v>
      </c>
      <c r="AF3" s="651">
        <v>0</v>
      </c>
    </row>
    <row customHeight="1" ht="15" hidden="1">
      <c r="A4" s="651"/>
      <c r="B4" s="2556"/>
      <c r="C4" s="2557"/>
      <c r="D4" s="835" t="str">
        <f>B3&amp;".2"</f>
        <v>.2</v>
      </c>
      <c r="E4" s="836" t="s">
        <v>1001</v>
      </c>
      <c r="F4" s="837" t="s">
        <v>328</v>
      </c>
      <c r="G4" s="1883" t="s">
        <v>22</v>
      </c>
      <c r="H4" s="547"/>
      <c r="I4" s="1883" t="s">
        <v>22</v>
      </c>
      <c r="J4" s="547"/>
      <c r="K4" s="6937" t="s">
        <v>22</v>
      </c>
      <c r="L4" s="6692"/>
      <c r="M4" s="6937" t="s">
        <v>22</v>
      </c>
      <c r="N4" s="6692"/>
      <c r="O4" s="6937" t="s">
        <v>22</v>
      </c>
      <c r="P4" s="6692"/>
      <c r="Q4" s="6937" t="s">
        <v>22</v>
      </c>
      <c r="R4" s="6692"/>
      <c r="S4" s="6937" t="s">
        <v>22</v>
      </c>
      <c r="T4" s="6692"/>
      <c r="U4" s="435" t="s">
        <v>1002</v>
      </c>
      <c r="AF4" s="651">
        <v>0</v>
      </c>
    </row>
    <row s="7180" customFormat="1" customHeight="1" ht="15" hidden="1">
      <c r="C5" s="818"/>
      <c r="K5" s="7180"/>
      <c r="L5" s="7180"/>
      <c r="M5" s="7180"/>
      <c r="N5" s="7180"/>
      <c r="O5" s="7180"/>
      <c r="P5" s="7180"/>
      <c r="Q5" s="7180"/>
      <c r="R5" s="7180"/>
      <c r="S5" s="7180"/>
      <c r="T5" s="7180"/>
      <c r="AE5" s="566"/>
      <c r="AF5" s="563">
        <v>0</v>
      </c>
    </row>
    <row customHeight="1" ht="22.5" hidden="1">
      <c r="A6" s="651"/>
      <c r="B6" s="2556"/>
      <c r="C6" s="2557" t="s">
        <v>106</v>
      </c>
      <c r="D6" s="835" t="str">
        <f>B6&amp;".1"</f>
        <v>.1</v>
      </c>
      <c r="E6" s="836" t="s">
        <v>1003</v>
      </c>
      <c r="F6" s="837" t="s">
        <v>328</v>
      </c>
      <c r="G6" s="832"/>
      <c r="H6" s="547"/>
      <c r="I6" s="832"/>
      <c r="J6" s="547"/>
      <c r="K6" s="6899"/>
      <c r="L6" s="6692"/>
      <c r="M6" s="6899"/>
      <c r="N6" s="6692"/>
      <c r="O6" s="6899"/>
      <c r="P6" s="6692"/>
      <c r="Q6" s="6899"/>
      <c r="R6" s="6692"/>
      <c r="S6" s="6899"/>
      <c r="T6" s="6692"/>
      <c r="U6" s="435" t="s">
        <v>1004</v>
      </c>
      <c r="AF6" s="651">
        <v>0</v>
      </c>
    </row>
    <row customHeight="1" ht="15" hidden="1">
      <c r="A7" s="651"/>
      <c r="B7" s="2556"/>
      <c r="C7" s="2557"/>
      <c r="D7" s="835" t="str">
        <f>B6&amp;".2"</f>
        <v>.2</v>
      </c>
      <c r="E7" s="836" t="s">
        <v>1001</v>
      </c>
      <c r="F7" s="837" t="s">
        <v>328</v>
      </c>
      <c r="G7" s="1883" t="s">
        <v>22</v>
      </c>
      <c r="H7" s="547"/>
      <c r="I7" s="1883" t="s">
        <v>22</v>
      </c>
      <c r="J7" s="547"/>
      <c r="K7" s="6937" t="s">
        <v>22</v>
      </c>
      <c r="L7" s="6692"/>
      <c r="M7" s="6937" t="s">
        <v>22</v>
      </c>
      <c r="N7" s="6692"/>
      <c r="O7" s="6937" t="s">
        <v>22</v>
      </c>
      <c r="P7" s="6692"/>
      <c r="Q7" s="6937" t="s">
        <v>22</v>
      </c>
      <c r="R7" s="6692"/>
      <c r="S7" s="6937" t="s">
        <v>22</v>
      </c>
      <c r="T7" s="6692"/>
      <c r="U7" s="435" t="s">
        <v>1002</v>
      </c>
      <c r="AF7" s="651">
        <v>0</v>
      </c>
    </row>
    <row s="7180" customFormat="1" customHeight="1" ht="15" hidden="1">
      <c r="C8" s="818"/>
      <c r="K8" s="7180"/>
      <c r="L8" s="7180"/>
      <c r="M8" s="7180"/>
      <c r="N8" s="7180"/>
      <c r="O8" s="7180"/>
      <c r="P8" s="7180"/>
      <c r="Q8" s="7180"/>
      <c r="R8" s="7180"/>
      <c r="S8" s="7180"/>
      <c r="T8" s="7180"/>
      <c r="AE8" s="566"/>
      <c r="AF8" s="563">
        <v>0</v>
      </c>
    </row>
    <row customHeight="1" ht="22.5" hidden="1">
      <c r="A9" s="651"/>
      <c r="B9" s="2556"/>
      <c r="C9" s="2557" t="s">
        <v>106</v>
      </c>
      <c r="D9" s="835" t="str">
        <f>B9&amp;".1"</f>
        <v>.1</v>
      </c>
      <c r="E9" s="836" t="s">
        <v>1005</v>
      </c>
      <c r="F9" s="837" t="s">
        <v>328</v>
      </c>
      <c r="G9" s="843" t="s">
        <v>22</v>
      </c>
      <c r="H9" s="547" t="s">
        <v>22</v>
      </c>
      <c r="I9" s="843" t="s">
        <v>22</v>
      </c>
      <c r="J9" s="547" t="s">
        <v>22</v>
      </c>
      <c r="K9" s="6938" t="s">
        <v>22</v>
      </c>
      <c r="L9" s="6692" t="s">
        <v>22</v>
      </c>
      <c r="M9" s="6938" t="s">
        <v>22</v>
      </c>
      <c r="N9" s="6692" t="s">
        <v>22</v>
      </c>
      <c r="O9" s="6938" t="s">
        <v>22</v>
      </c>
      <c r="P9" s="6692" t="s">
        <v>22</v>
      </c>
      <c r="Q9" s="6938" t="s">
        <v>22</v>
      </c>
      <c r="R9" s="6692" t="s">
        <v>22</v>
      </c>
      <c r="S9" s="6938" t="s">
        <v>22</v>
      </c>
      <c r="T9" s="6692" t="s">
        <v>22</v>
      </c>
      <c r="U9" s="435"/>
      <c r="AF9" s="651">
        <v>0</v>
      </c>
    </row>
    <row customHeight="1" ht="15" hidden="1">
      <c r="A10" s="651"/>
      <c r="B10" s="2556"/>
      <c r="C10" s="2557"/>
      <c r="D10" s="835" t="str">
        <f>B9&amp;".2"</f>
        <v>.2</v>
      </c>
      <c r="E10" s="836" t="s">
        <v>1006</v>
      </c>
      <c r="F10" s="837" t="s">
        <v>328</v>
      </c>
      <c r="G10" s="1877" t="s">
        <v>22</v>
      </c>
      <c r="H10" s="547" t="s">
        <v>22</v>
      </c>
      <c r="I10" s="1877" t="s">
        <v>22</v>
      </c>
      <c r="J10" s="547" t="s">
        <v>22</v>
      </c>
      <c r="K10" s="5451" t="s">
        <v>22</v>
      </c>
      <c r="L10" s="6692" t="s">
        <v>22</v>
      </c>
      <c r="M10" s="5451" t="s">
        <v>22</v>
      </c>
      <c r="N10" s="6692" t="s">
        <v>22</v>
      </c>
      <c r="O10" s="5451" t="s">
        <v>22</v>
      </c>
      <c r="P10" s="6692" t="s">
        <v>22</v>
      </c>
      <c r="Q10" s="5451" t="s">
        <v>22</v>
      </c>
      <c r="R10" s="6692" t="s">
        <v>22</v>
      </c>
      <c r="S10" s="5451" t="s">
        <v>22</v>
      </c>
      <c r="T10" s="6692" t="s">
        <v>22</v>
      </c>
      <c r="U10" s="435" t="s">
        <v>1007</v>
      </c>
      <c r="AF10" s="651">
        <v>0</v>
      </c>
    </row>
    <row customHeight="1" ht="15" hidden="1">
      <c r="A11" s="651"/>
      <c r="B11" s="2556"/>
      <c r="C11" s="2557"/>
      <c r="D11" s="835" t="str">
        <f>B9&amp;".3"</f>
        <v>.3</v>
      </c>
      <c r="E11" s="836" t="s">
        <v>1008</v>
      </c>
      <c r="F11" s="837" t="s">
        <v>328</v>
      </c>
      <c r="G11" s="1877" t="s">
        <v>22</v>
      </c>
      <c r="H11" s="547" t="s">
        <v>22</v>
      </c>
      <c r="I11" s="1877" t="s">
        <v>22</v>
      </c>
      <c r="J11" s="547" t="s">
        <v>22</v>
      </c>
      <c r="K11" s="5451" t="s">
        <v>22</v>
      </c>
      <c r="L11" s="6692" t="s">
        <v>22</v>
      </c>
      <c r="M11" s="5451" t="s">
        <v>22</v>
      </c>
      <c r="N11" s="6692" t="s">
        <v>22</v>
      </c>
      <c r="O11" s="5451" t="s">
        <v>22</v>
      </c>
      <c r="P11" s="6692" t="s">
        <v>22</v>
      </c>
      <c r="Q11" s="5451" t="s">
        <v>22</v>
      </c>
      <c r="R11" s="6692" t="s">
        <v>22</v>
      </c>
      <c r="S11" s="5451" t="s">
        <v>22</v>
      </c>
      <c r="T11" s="6692" t="s">
        <v>22</v>
      </c>
      <c r="U11" s="435" t="s">
        <v>1009</v>
      </c>
      <c r="AF11" s="651">
        <v>0</v>
      </c>
    </row>
    <row s="7180" customFormat="1" customHeight="1" ht="15" hidden="1">
      <c r="C12" s="818"/>
      <c r="K12" s="7180"/>
      <c r="L12" s="7180"/>
      <c r="M12" s="7180"/>
      <c r="N12" s="7180"/>
      <c r="O12" s="7180"/>
      <c r="P12" s="7180"/>
      <c r="Q12" s="7180"/>
      <c r="R12" s="7180"/>
      <c r="S12" s="7180"/>
      <c r="T12" s="7180"/>
      <c r="AE12" s="566"/>
      <c r="AF12" s="563">
        <v>0</v>
      </c>
    </row>
    <row customHeight="1" ht="33.75" hidden="1">
      <c r="A13" s="651"/>
      <c r="B13" s="2556"/>
      <c r="C13" s="2557" t="s">
        <v>106</v>
      </c>
      <c r="D13" s="835" t="str">
        <f>B13&amp;".1"</f>
        <v>.1</v>
      </c>
      <c r="E13" s="836" t="s">
        <v>1010</v>
      </c>
      <c r="F13" s="837" t="s">
        <v>328</v>
      </c>
      <c r="G13" s="843" t="s">
        <v>22</v>
      </c>
      <c r="H13" s="547" t="s">
        <v>22</v>
      </c>
      <c r="I13" s="843" t="s">
        <v>22</v>
      </c>
      <c r="J13" s="547" t="s">
        <v>22</v>
      </c>
      <c r="K13" s="6938" t="s">
        <v>22</v>
      </c>
      <c r="L13" s="6692" t="s">
        <v>22</v>
      </c>
      <c r="M13" s="6938" t="s">
        <v>22</v>
      </c>
      <c r="N13" s="6692" t="s">
        <v>22</v>
      </c>
      <c r="O13" s="6938" t="s">
        <v>22</v>
      </c>
      <c r="P13" s="6692" t="s">
        <v>22</v>
      </c>
      <c r="Q13" s="6938" t="s">
        <v>22</v>
      </c>
      <c r="R13" s="6692" t="s">
        <v>22</v>
      </c>
      <c r="S13" s="6938" t="s">
        <v>22</v>
      </c>
      <c r="T13" s="6692" t="s">
        <v>22</v>
      </c>
      <c r="U13" s="435" t="s">
        <v>1011</v>
      </c>
      <c r="AF13" s="651">
        <v>0</v>
      </c>
    </row>
    <row customHeight="1" ht="15" hidden="1">
      <c r="B14" s="2556"/>
      <c r="C14" s="2557"/>
      <c r="D14" s="835" t="str">
        <f>B13&amp;".2"</f>
        <v>.2</v>
      </c>
      <c r="E14" s="836" t="s">
        <v>1012</v>
      </c>
      <c r="F14" s="837" t="s">
        <v>328</v>
      </c>
      <c r="G14" s="1877" t="s">
        <v>22</v>
      </c>
      <c r="H14" s="547" t="s">
        <v>22</v>
      </c>
      <c r="I14" s="1877" t="s">
        <v>22</v>
      </c>
      <c r="J14" s="547" t="s">
        <v>22</v>
      </c>
      <c r="K14" s="5451" t="s">
        <v>22</v>
      </c>
      <c r="L14" s="6692" t="s">
        <v>22</v>
      </c>
      <c r="M14" s="5451" t="s">
        <v>22</v>
      </c>
      <c r="N14" s="6692" t="s">
        <v>22</v>
      </c>
      <c r="O14" s="5451" t="s">
        <v>22</v>
      </c>
      <c r="P14" s="6692" t="s">
        <v>22</v>
      </c>
      <c r="Q14" s="5451" t="s">
        <v>22</v>
      </c>
      <c r="R14" s="6692" t="s">
        <v>22</v>
      </c>
      <c r="S14" s="5451" t="s">
        <v>22</v>
      </c>
      <c r="T14" s="6692" t="s">
        <v>22</v>
      </c>
      <c r="U14" s="435" t="s">
        <v>1013</v>
      </c>
      <c r="AF14" s="651">
        <v>0</v>
      </c>
    </row>
    <row s="7180" customFormat="1" customHeight="1" ht="15" hidden="1">
      <c r="C15" s="818"/>
      <c r="K15" s="7180"/>
      <c r="L15" s="7180"/>
      <c r="M15" s="7180"/>
      <c r="N15" s="7180"/>
      <c r="O15" s="7180"/>
      <c r="P15" s="7180"/>
      <c r="Q15" s="7180"/>
      <c r="R15" s="7180"/>
      <c r="S15" s="7180"/>
      <c r="T15" s="7180"/>
      <c r="AE15" s="566"/>
      <c r="AF15" s="563">
        <v>0</v>
      </c>
    </row>
    <row s="7180" customFormat="1" customHeight="1" ht="15" hidden="1">
      <c r="C16" s="818"/>
      <c r="K16" s="7180"/>
      <c r="L16" s="7180"/>
      <c r="M16" s="7180"/>
      <c r="N16" s="7180"/>
      <c r="O16" s="7180"/>
      <c r="P16" s="7180"/>
      <c r="Q16" s="7180"/>
      <c r="R16" s="7180"/>
      <c r="S16" s="7180"/>
      <c r="T16" s="7180"/>
      <c r="AE16" s="566"/>
      <c r="AF16" s="563">
        <v>0</v>
      </c>
    </row>
    <row s="7180" customFormat="1" customHeight="1" ht="15" hidden="1">
      <c r="C17" s="818"/>
      <c r="K17" s="7180"/>
      <c r="L17" s="7180"/>
      <c r="M17" s="7180"/>
      <c r="N17" s="7180"/>
      <c r="O17" s="7180"/>
      <c r="P17" s="7180"/>
      <c r="Q17" s="7180"/>
      <c r="R17" s="7180"/>
      <c r="S17" s="7180"/>
      <c r="T17" s="7180"/>
      <c r="AE17" s="566"/>
      <c r="AF17" s="563">
        <v>0</v>
      </c>
    </row>
    <row s="7180" customFormat="1" customHeight="1" ht="15" hidden="1">
      <c r="C18" s="818"/>
      <c r="K18" s="7180"/>
      <c r="L18" s="7180"/>
      <c r="M18" s="7180"/>
      <c r="N18" s="7180"/>
      <c r="O18" s="7180"/>
      <c r="P18" s="7180"/>
      <c r="Q18" s="7180"/>
      <c r="R18" s="7180"/>
      <c r="S18" s="7180"/>
      <c r="T18" s="7180"/>
      <c r="AE18" s="566"/>
      <c r="AF18" s="563">
        <v>0</v>
      </c>
    </row>
    <row s="7180" customFormat="1" customHeight="1" ht="15" hidden="1">
      <c r="C19" s="818"/>
      <c r="K19" s="7180"/>
      <c r="L19" s="7180"/>
      <c r="M19" s="7180"/>
      <c r="N19" s="7180"/>
      <c r="O19" s="7180"/>
      <c r="P19" s="7180"/>
      <c r="Q19" s="7180"/>
      <c r="R19" s="7180"/>
      <c r="S19" s="7180"/>
      <c r="T19" s="7180"/>
      <c r="AE19" s="566"/>
      <c r="AF19" s="563">
        <v>0</v>
      </c>
    </row>
    <row s="7180" customFormat="1" customHeight="1" ht="15" hidden="1">
      <c r="C20" s="818"/>
      <c r="K20" s="7180"/>
      <c r="L20" s="7180"/>
      <c r="M20" s="7180"/>
      <c r="N20" s="7180"/>
      <c r="O20" s="7180"/>
      <c r="P20" s="7180"/>
      <c r="Q20" s="7180"/>
      <c r="R20" s="7180"/>
      <c r="S20" s="7180"/>
      <c r="T20" s="7180"/>
      <c r="AE20" s="566"/>
      <c r="AF20" s="563">
        <v>0</v>
      </c>
    </row>
    <row customHeight="1" ht="15.75">
      <c r="C21" s="322"/>
      <c r="D21" s="655"/>
      <c r="E21" s="655"/>
      <c r="F21" s="655"/>
      <c r="G21" s="655"/>
      <c r="H21" s="655"/>
      <c r="I21" s="655"/>
      <c r="J21" s="655"/>
      <c r="K21" s="7235"/>
      <c r="L21" s="7235"/>
      <c r="M21" s="7235"/>
      <c r="N21" s="7235"/>
      <c r="O21" s="7235"/>
      <c r="P21" s="7235"/>
      <c r="Q21" s="7235"/>
      <c r="R21" s="7235"/>
      <c r="S21" s="7235"/>
      <c r="T21" s="7235"/>
      <c r="AF21" s="651">
        <v>15</v>
      </c>
    </row>
    <row customHeight="1" ht="23.25">
      <c r="C22" s="322"/>
      <c r="D22" s="23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96"/>
      <c r="F22" s="2396"/>
      <c r="G22" s="2396"/>
      <c r="H22" s="2396"/>
      <c r="I22" s="2396"/>
      <c r="J22" s="822"/>
      <c r="K22" s="6202"/>
      <c r="L22" s="6202"/>
      <c r="M22" s="6202"/>
      <c r="N22" s="6202"/>
      <c r="O22" s="6202"/>
      <c r="P22" s="6202"/>
      <c r="Q22" s="6202"/>
      <c r="R22" s="6202"/>
      <c r="S22" s="6202"/>
      <c r="T22" s="6202"/>
      <c r="U22" s="683"/>
      <c r="AF22" s="651">
        <v>22</v>
      </c>
    </row>
    <row customHeight="1" ht="15.75">
      <c r="C23" s="322"/>
      <c r="D23" s="2335" t="str">
        <f>IF(org=0,"Не определено",org)</f>
        <v>ПАО "ТГК-14"</v>
      </c>
      <c r="E23" s="2335"/>
      <c r="F23" s="2335"/>
      <c r="G23" s="2335"/>
      <c r="H23" s="2335"/>
      <c r="I23" s="2335"/>
      <c r="J23" s="822"/>
      <c r="K23" s="6204"/>
      <c r="L23" s="6204"/>
      <c r="M23" s="6204"/>
      <c r="N23" s="6204"/>
      <c r="O23" s="6204"/>
      <c r="P23" s="6204"/>
      <c r="Q23" s="6204"/>
      <c r="R23" s="6204"/>
      <c r="S23" s="6204"/>
      <c r="T23" s="6204"/>
      <c r="U23" s="683"/>
      <c r="AF23" s="651">
        <v>15</v>
      </c>
    </row>
    <row customHeight="1" ht="15.75">
      <c r="C24" s="322"/>
      <c r="D24" s="655"/>
      <c r="E24" s="655"/>
      <c r="F24" s="655"/>
      <c r="G24" s="683">
        <v>22</v>
      </c>
      <c r="H24" s="898"/>
      <c r="I24" s="683">
        <v>22</v>
      </c>
      <c r="J24" s="898"/>
      <c r="K24" s="7180" t="s">
        <v>22</v>
      </c>
      <c r="L24" s="5907"/>
      <c r="M24" s="7180" t="s">
        <v>22</v>
      </c>
      <c r="N24" s="5907"/>
      <c r="O24" s="7180" t="s">
        <v>22</v>
      </c>
      <c r="P24" s="5907"/>
      <c r="Q24" s="7180" t="s">
        <v>22</v>
      </c>
      <c r="R24" s="5907"/>
      <c r="S24" s="7180" t="s">
        <v>22</v>
      </c>
      <c r="T24" s="5907"/>
      <c r="AF24" s="651">
        <v>15</v>
      </c>
    </row>
    <row s="7235" customFormat="1" customHeight="1" ht="1.05">
      <c r="A25" s="905"/>
      <c r="C25" s="322"/>
      <c r="D25" s="655"/>
      <c r="E25" s="655"/>
      <c r="F25" s="655"/>
      <c r="G25" s="683"/>
      <c r="H25" s="898"/>
      <c r="I25" s="683" t="s">
        <v>129</v>
      </c>
      <c r="J25" s="898"/>
      <c r="K25" s="7180" t="s">
        <v>137</v>
      </c>
      <c r="L25" s="5907"/>
      <c r="M25" s="7180" t="s">
        <v>139</v>
      </c>
      <c r="N25" s="5907"/>
      <c r="O25" s="7180" t="s">
        <v>143</v>
      </c>
      <c r="P25" s="5907"/>
      <c r="Q25" s="7180" t="s">
        <v>134</v>
      </c>
      <c r="R25" s="5907"/>
      <c r="S25" s="7180" t="s">
        <v>141</v>
      </c>
      <c r="T25" s="5907"/>
      <c r="U25" s="563"/>
      <c r="AE25" s="821"/>
      <c r="AF25" s="904">
        <v>1</v>
      </c>
    </row>
    <row customHeight="1" ht="15.75">
      <c r="C26" s="322"/>
      <c r="D26" s="857"/>
      <c r="E26" s="2526" t="s">
        <v>117</v>
      </c>
      <c r="F26" s="2527"/>
      <c r="G26" s="2554" t="str">
        <f>IF(G25="","",INDEX(DIFFERENTIATION_UNMERGE_VD,MATCH(G25,DIFFERENTIATION_ID_DIFF,0)))</f>
        <v/>
      </c>
      <c r="H26" s="2555"/>
      <c r="I26" s="2554"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26" s="2555"/>
      <c r="K26" s="7145"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26" s="6941"/>
      <c r="M26" s="7145" t="str">
        <f>IF(M25="","",INDEX(DIFFERENTIATION_UNMERGE_VD,MATCH(M25,DIFFERENTIATION_ID_DIFF,0)))</f>
        <v>Производство. Теплоноситель</v>
      </c>
      <c r="N26" s="6941"/>
      <c r="O26" s="7145" t="str">
        <f>IF(O25="","",INDEX(DIFFERENTIATION_UNMERGE_VD,MATCH(O25,DIFFERENTIATION_ID_DIFF,0)))</f>
        <v>Производство тепловой энергии. Некомбинированная выработка; Передача. Тепловая энергия; Сбыт. Тепловая энергия</v>
      </c>
      <c r="P26" s="6941"/>
      <c r="Q26" s="7145" t="str">
        <f>IF(Q25="","",INDEX(DIFFERENTIATION_UNMERGE_VD,MATCH(Q25,DIFFERENTIATION_ID_DIFF,0)))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26" s="6941"/>
      <c r="S26" s="7145" t="str">
        <f>IF(S25="","",INDEX(DIFFERENTIATION_UNMERGE_VD,MATCH(S25,DIFFERENTIATION_ID_DIFF,0)))</f>
        <v>Производство. Теплоноситель</v>
      </c>
      <c r="T26" s="6941"/>
      <c r="U26" s="2334" t="s">
        <v>323</v>
      </c>
      <c r="AF26" s="651">
        <v>15</v>
      </c>
    </row>
    <row s="7235" customFormat="1" customHeight="1" ht="15.75">
      <c r="A27" s="905"/>
      <c r="C27" s="322"/>
      <c r="D27" s="857"/>
      <c r="E27" s="2526" t="s">
        <v>586</v>
      </c>
      <c r="F27" s="2527"/>
      <c r="G27" s="2554" t="str">
        <f>IF(G25="","",INDEX(DIFFERENTIATION_UNMERGE_AREA,MATCH(G25,DIFFERENTIATION_ID_DIFF,0)))</f>
        <v/>
      </c>
      <c r="H27" s="2555"/>
      <c r="I27" s="2554" t="str">
        <f>IF(I25="","",INDEX(DIFFERENTIATION_UNMERGE_AREA,MATCH(I25,DIFFERENTIATION_ID_DIFF,0)))</f>
        <v>Территория 1</v>
      </c>
      <c r="J27" s="2555"/>
      <c r="K27" s="7145" t="str">
        <f>IF(K25="","",INDEX(DIFFERENTIATION_UNMERGE_AREA,MATCH(K25,DIFFERENTIATION_ID_DIFF,0)))</f>
        <v>Территория 3</v>
      </c>
      <c r="L27" s="6941"/>
      <c r="M27" s="7145" t="str">
        <f>IF(M25="","",INDEX(DIFFERENTIATION_UNMERGE_AREA,MATCH(M25,DIFFERENTIATION_ID_DIFF,0)))</f>
        <v>Территория 1</v>
      </c>
      <c r="N27" s="6941"/>
      <c r="O27" s="7145" t="str">
        <f>IF(O25="","",INDEX(DIFFERENTIATION_UNMERGE_AREA,MATCH(O25,DIFFERENTIATION_ID_DIFF,0)))</f>
        <v>Территория 3</v>
      </c>
      <c r="P27" s="6941"/>
      <c r="Q27" s="7145" t="str">
        <f>IF(Q25="","",INDEX(DIFFERENTIATION_UNMERGE_AREA,MATCH(Q25,DIFFERENTIATION_ID_DIFF,0)))</f>
        <v>Территория 2</v>
      </c>
      <c r="R27" s="6941"/>
      <c r="S27" s="7145" t="str">
        <f>IF(S25="","",INDEX(DIFFERENTIATION_UNMERGE_AREA,MATCH(S25,DIFFERENTIATION_ID_DIFF,0)))</f>
        <v>Территория 2</v>
      </c>
      <c r="T27" s="6941"/>
      <c r="U27" s="2354"/>
      <c r="AE27" s="821"/>
      <c r="AF27" s="904">
        <v>15</v>
      </c>
    </row>
    <row s="7235" customFormat="1" customHeight="1" ht="15.75">
      <c r="A28" s="905"/>
      <c r="C28" s="322"/>
      <c r="D28" s="857"/>
      <c r="E28" s="2526" t="s">
        <v>587</v>
      </c>
      <c r="F28" s="2527"/>
      <c r="G28" s="2554" t="str">
        <f>IF(G25="","",INDEX(DIFFERENTIATION_UNMERGE_SYSTEM,MATCH(G25,DIFFERENTIATION_ID_DIFF,0)))</f>
        <v/>
      </c>
      <c r="H28" s="2555"/>
      <c r="I28" s="2554" t="str">
        <f>IF(I25="","",INDEX(DIFFERENTIATION_UNMERGE_SYSTEM,MATCH(I25,DIFFERENTIATION_ID_DIFF,0)))</f>
        <v>Шерловогорская ТЭЦ</v>
      </c>
      <c r="J28" s="2555"/>
      <c r="K28" s="7145" t="str">
        <f>IF(K25="","",INDEX(DIFFERENTIATION_UNMERGE_SYSTEM,MATCH(K25,DIFFERENTIATION_ID_DIFF,0)))</f>
        <v>ЦТС г. Чита (ЧТЭЦ-1, ЧТЭЦ-2)</v>
      </c>
      <c r="L28" s="6941"/>
      <c r="M28" s="7145" t="str">
        <f>IF(M25="","",INDEX(DIFFERENTIATION_UNMERGE_SYSTEM,MATCH(M25,DIFFERENTIATION_ID_DIFF,0)))</f>
        <v>Шерловогорская ТЭЦ</v>
      </c>
      <c r="N28" s="6941"/>
      <c r="O28" s="7145" t="str">
        <f>IF(O25="","",INDEX(DIFFERENTIATION_UNMERGE_SYSTEM,MATCH(O25,DIFFERENTIATION_ID_DIFF,0)))</f>
        <v>Котельные г. Чита</v>
      </c>
      <c r="P28" s="6941"/>
      <c r="Q28" s="7145" t="str">
        <f>IF(Q25="","",INDEX(DIFFERENTIATION_UNMERGE_SYSTEM,MATCH(Q25,DIFFERENTIATION_ID_DIFF,0)))</f>
        <v>Приаргунская ТЭЦ</v>
      </c>
      <c r="R28" s="6941"/>
      <c r="S28" s="7145" t="str">
        <f>IF(S25="","",INDEX(DIFFERENTIATION_UNMERGE_SYSTEM,MATCH(S25,DIFFERENTIATION_ID_DIFF,0)))</f>
        <v>Приаргунская ТЭЦ</v>
      </c>
      <c r="T28" s="6941"/>
      <c r="U28" s="2354"/>
      <c r="AE28" s="821"/>
      <c r="AF28" s="904">
        <v>15</v>
      </c>
    </row>
    <row s="7235" customFormat="1" customHeight="1" ht="15.75">
      <c r="A29" s="905"/>
      <c r="C29" s="322"/>
      <c r="D29" s="2528" t="s">
        <v>322</v>
      </c>
      <c r="E29" s="2529"/>
      <c r="F29" s="2529"/>
      <c r="G29" s="1033"/>
      <c r="H29" s="1033"/>
      <c r="I29" s="1033"/>
      <c r="J29" s="1034"/>
      <c r="K29" s="6942"/>
      <c r="L29" s="6942"/>
      <c r="M29" s="6942"/>
      <c r="N29" s="6942"/>
      <c r="O29" s="6942"/>
      <c r="P29" s="6942"/>
      <c r="Q29" s="6942"/>
      <c r="R29" s="6942"/>
      <c r="S29" s="6942"/>
      <c r="T29" s="6942"/>
      <c r="U29" s="2354"/>
      <c r="AE29" s="821"/>
      <c r="AF29" s="904">
        <v>15</v>
      </c>
    </row>
    <row customHeight="1" ht="35.699999999999996">
      <c r="C30" s="322"/>
      <c r="D30" s="907" t="s">
        <v>89</v>
      </c>
      <c r="E30" s="906" t="s">
        <v>324</v>
      </c>
      <c r="F30" s="906" t="s">
        <v>588</v>
      </c>
      <c r="G30" s="954" t="s">
        <v>325</v>
      </c>
      <c r="H30" s="953" t="s">
        <v>412</v>
      </c>
      <c r="I30" s="830" t="s">
        <v>325</v>
      </c>
      <c r="J30" s="611" t="s">
        <v>412</v>
      </c>
      <c r="K30" s="7452" t="s">
        <v>325</v>
      </c>
      <c r="L30" s="7599" t="s">
        <v>412</v>
      </c>
      <c r="M30" s="7452" t="s">
        <v>325</v>
      </c>
      <c r="N30" s="7599" t="s">
        <v>412</v>
      </c>
      <c r="O30" s="7452" t="s">
        <v>325</v>
      </c>
      <c r="P30" s="7599" t="s">
        <v>412</v>
      </c>
      <c r="Q30" s="7452" t="s">
        <v>325</v>
      </c>
      <c r="R30" s="7599" t="s">
        <v>412</v>
      </c>
      <c r="S30" s="7452" t="s">
        <v>325</v>
      </c>
      <c r="T30" s="7599" t="s">
        <v>412</v>
      </c>
      <c r="U30" s="2360"/>
      <c r="AF30" s="651">
        <v>34</v>
      </c>
    </row>
    <row customHeight="1" ht="15" hidden="1">
      <c r="C31" s="322"/>
      <c r="D31" s="739"/>
      <c r="E31" s="739"/>
      <c r="F31" s="739"/>
      <c r="G31" s="805"/>
      <c r="H31" s="805"/>
      <c r="I31" s="805"/>
      <c r="J31" s="805"/>
      <c r="K31" s="7143"/>
      <c r="L31" s="7143"/>
      <c r="M31" s="7143"/>
      <c r="N31" s="7143"/>
      <c r="O31" s="7143"/>
      <c r="P31" s="7143"/>
      <c r="Q31" s="7143"/>
      <c r="R31" s="7143"/>
      <c r="S31" s="7143"/>
      <c r="T31" s="7143"/>
      <c r="U31" s="435"/>
      <c r="AF31" s="651">
        <v>0</v>
      </c>
    </row>
    <row customHeight="1" ht="24">
      <c r="A32" s="651"/>
      <c r="B32" s="651" t="s">
        <v>1014</v>
      </c>
      <c r="C32" s="672"/>
      <c r="D32" s="838">
        <v>1</v>
      </c>
      <c r="E32" s="839" t="s">
        <v>1015</v>
      </c>
      <c r="F32" s="837" t="s">
        <v>328</v>
      </c>
      <c r="G32" s="959" t="s">
        <v>328</v>
      </c>
      <c r="H32" s="959" t="s">
        <v>328</v>
      </c>
      <c r="I32" s="837" t="s">
        <v>328</v>
      </c>
      <c r="J32" s="837" t="s">
        <v>328</v>
      </c>
      <c r="K32" s="6951" t="s">
        <v>328</v>
      </c>
      <c r="L32" s="6951" t="s">
        <v>328</v>
      </c>
      <c r="M32" s="6951" t="s">
        <v>328</v>
      </c>
      <c r="N32" s="6951" t="s">
        <v>328</v>
      </c>
      <c r="O32" s="6951" t="s">
        <v>328</v>
      </c>
      <c r="P32" s="6951" t="s">
        <v>328</v>
      </c>
      <c r="Q32" s="6951" t="s">
        <v>328</v>
      </c>
      <c r="R32" s="6951" t="s">
        <v>328</v>
      </c>
      <c r="S32" s="6951" t="s">
        <v>328</v>
      </c>
      <c r="T32" s="6951" t="s">
        <v>328</v>
      </c>
      <c r="U32" s="435"/>
      <c r="AF32" s="651">
        <v>23</v>
      </c>
    </row>
    <row customHeight="1" ht="11.549999999999999">
      <c r="A33" s="651"/>
      <c r="C33" s="651"/>
      <c r="D33" s="493"/>
      <c r="E33" s="726" t="s">
        <v>624</v>
      </c>
      <c r="F33" s="718"/>
      <c r="G33" s="718"/>
      <c r="H33" s="718"/>
      <c r="I33" s="718"/>
      <c r="J33" s="718"/>
      <c r="K33" s="8036"/>
      <c r="L33" s="8037"/>
      <c r="M33" s="8038"/>
      <c r="N33" s="8039"/>
      <c r="O33" s="8040"/>
      <c r="P33" s="8041"/>
      <c r="Q33" s="8042"/>
      <c r="R33" s="8043"/>
      <c r="S33" s="8044"/>
      <c r="T33" s="8045"/>
      <c r="U33" s="719"/>
      <c r="AE33" s="651"/>
      <c r="AF33" s="651">
        <v>11</v>
      </c>
    </row>
    <row customHeight="1" ht="24">
      <c r="A34" s="651"/>
      <c r="B34" s="727" t="s">
        <v>680</v>
      </c>
      <c r="C34" s="672"/>
      <c r="D34" s="838">
        <v>2</v>
      </c>
      <c r="E34" s="839" t="s">
        <v>1016</v>
      </c>
      <c r="F34" s="966" t="s">
        <v>328</v>
      </c>
      <c r="G34" s="966" t="s">
        <v>328</v>
      </c>
      <c r="H34" s="966" t="s">
        <v>328</v>
      </c>
      <c r="I34" s="837"/>
      <c r="J34" s="837"/>
      <c r="K34" s="6951" t="s">
        <v>328</v>
      </c>
      <c r="L34" s="6951" t="s">
        <v>328</v>
      </c>
      <c r="M34" s="6951" t="s">
        <v>328</v>
      </c>
      <c r="N34" s="6951" t="s">
        <v>328</v>
      </c>
      <c r="O34" s="6951" t="s">
        <v>328</v>
      </c>
      <c r="P34" s="6951" t="s">
        <v>328</v>
      </c>
      <c r="Q34" s="6951" t="s">
        <v>328</v>
      </c>
      <c r="R34" s="6951" t="s">
        <v>328</v>
      </c>
      <c r="S34" s="6951" t="s">
        <v>328</v>
      </c>
      <c r="T34" s="6951" t="s">
        <v>328</v>
      </c>
      <c r="U34" s="435"/>
      <c r="AF34" s="651">
        <v>23</v>
      </c>
    </row>
    <row customHeight="1" ht="11.549999999999999">
      <c r="A35" s="651"/>
      <c r="C35" s="651"/>
      <c r="D35" s="493"/>
      <c r="E35" s="726" t="s">
        <v>1017</v>
      </c>
      <c r="F35" s="718"/>
      <c r="G35" s="840"/>
      <c r="H35" s="718"/>
      <c r="I35" s="840"/>
      <c r="J35" s="718"/>
      <c r="K35" s="8046"/>
      <c r="L35" s="8047"/>
      <c r="M35" s="8048"/>
      <c r="N35" s="8049"/>
      <c r="O35" s="8050"/>
      <c r="P35" s="8051"/>
      <c r="Q35" s="8052"/>
      <c r="R35" s="8053"/>
      <c r="S35" s="8054"/>
      <c r="T35" s="8055"/>
      <c r="U35" s="719"/>
      <c r="AE35" s="651"/>
      <c r="AF35" s="651">
        <v>11</v>
      </c>
    </row>
    <row customHeight="1" ht="71.25">
      <c r="A36" s="651"/>
      <c r="B36" s="651" t="s">
        <v>1018</v>
      </c>
      <c r="C36" s="672"/>
      <c r="D36" s="838">
        <v>3</v>
      </c>
      <c r="E36" s="839" t="s">
        <v>1019</v>
      </c>
      <c r="F36" s="841" t="s">
        <v>328</v>
      </c>
      <c r="G36" s="960" t="s">
        <v>1020</v>
      </c>
      <c r="H36" s="959" t="s">
        <v>328</v>
      </c>
      <c r="I36" s="670" t="s">
        <v>1020</v>
      </c>
      <c r="J36" s="837" t="s">
        <v>328</v>
      </c>
      <c r="K36" s="6955" t="s">
        <v>1020</v>
      </c>
      <c r="L36" s="6951" t="s">
        <v>328</v>
      </c>
      <c r="M36" s="6955" t="s">
        <v>1020</v>
      </c>
      <c r="N36" s="6951" t="s">
        <v>328</v>
      </c>
      <c r="O36" s="6955" t="s">
        <v>1020</v>
      </c>
      <c r="P36" s="6951" t="s">
        <v>328</v>
      </c>
      <c r="Q36" s="6955" t="s">
        <v>1020</v>
      </c>
      <c r="R36" s="6951" t="s">
        <v>328</v>
      </c>
      <c r="S36" s="6955" t="s">
        <v>1020</v>
      </c>
      <c r="T36" s="6951" t="s">
        <v>328</v>
      </c>
      <c r="U36" s="435" t="s">
        <v>1021</v>
      </c>
      <c r="AF36" s="651">
        <v>68</v>
      </c>
    </row>
    <row customHeight="1" ht="11.549999999999999">
      <c r="A37" s="651"/>
      <c r="C37" s="651"/>
      <c r="D37" s="493"/>
      <c r="E37" s="726" t="s">
        <v>1022</v>
      </c>
      <c r="F37" s="718"/>
      <c r="G37" s="840"/>
      <c r="H37" s="840"/>
      <c r="I37" s="840"/>
      <c r="J37" s="840"/>
      <c r="K37" s="8056"/>
      <c r="L37" s="8057"/>
      <c r="M37" s="8058"/>
      <c r="N37" s="8059"/>
      <c r="O37" s="8060"/>
      <c r="P37" s="8061"/>
      <c r="Q37" s="8062"/>
      <c r="R37" s="8063"/>
      <c r="S37" s="8064"/>
      <c r="T37" s="8065"/>
      <c r="U37" s="719"/>
      <c r="AE37" s="651"/>
      <c r="AF37" s="651">
        <v>11</v>
      </c>
    </row>
    <row customHeight="1" ht="71.25">
      <c r="A38" s="651"/>
      <c r="B38" s="651" t="s">
        <v>1023</v>
      </c>
      <c r="C38" s="672"/>
      <c r="D38" s="838">
        <v>4</v>
      </c>
      <c r="E38" s="839" t="s">
        <v>1024</v>
      </c>
      <c r="F38" s="841" t="s">
        <v>328</v>
      </c>
      <c r="G38" s="960" t="s">
        <v>1020</v>
      </c>
      <c r="H38" s="961" t="s">
        <v>328</v>
      </c>
      <c r="I38" s="670" t="s">
        <v>1020</v>
      </c>
      <c r="J38" s="667" t="s">
        <v>328</v>
      </c>
      <c r="K38" s="6955" t="s">
        <v>1020</v>
      </c>
      <c r="L38" s="7599" t="s">
        <v>328</v>
      </c>
      <c r="M38" s="6955" t="s">
        <v>1020</v>
      </c>
      <c r="N38" s="7599" t="s">
        <v>328</v>
      </c>
      <c r="O38" s="6955" t="s">
        <v>1020</v>
      </c>
      <c r="P38" s="7599" t="s">
        <v>328</v>
      </c>
      <c r="Q38" s="6955" t="s">
        <v>1020</v>
      </c>
      <c r="R38" s="7599" t="s">
        <v>328</v>
      </c>
      <c r="S38" s="6955" t="s">
        <v>1020</v>
      </c>
      <c r="T38" s="7599" t="s">
        <v>328</v>
      </c>
      <c r="U38" s="825" t="s">
        <v>1025</v>
      </c>
      <c r="AF38" s="651">
        <v>68</v>
      </c>
    </row>
    <row customHeight="1" ht="11.549999999999999">
      <c r="A39" s="651"/>
      <c r="C39" s="651"/>
      <c r="D39" s="493"/>
      <c r="E39" s="726" t="s">
        <v>1026</v>
      </c>
      <c r="F39" s="718"/>
      <c r="G39" s="718"/>
      <c r="H39" s="842"/>
      <c r="I39" s="718"/>
      <c r="J39" s="842"/>
      <c r="K39" s="8066"/>
      <c r="L39" s="8067"/>
      <c r="M39" s="8068"/>
      <c r="N39" s="8069"/>
      <c r="O39" s="8070"/>
      <c r="P39" s="8071"/>
      <c r="Q39" s="8072"/>
      <c r="R39" s="8073"/>
      <c r="S39" s="8074"/>
      <c r="T39" s="8075"/>
      <c r="U39" s="719"/>
      <c r="AE39" s="651"/>
      <c r="AF39" s="651">
        <v>11</v>
      </c>
    </row>
    <row customHeight="1" ht="22.5" hidden="1">
      <c r="A40" s="595" t="s">
        <v>83</v>
      </c>
      <c r="B40" s="651">
        <v>0</v>
      </c>
      <c r="C40" s="829">
        <v>4</v>
      </c>
      <c r="D40" s="651">
        <v>6</v>
      </c>
      <c r="E40" s="651">
        <v>36</v>
      </c>
      <c r="F40" s="651">
        <v>9</v>
      </c>
      <c r="G40" s="904">
        <v>0</v>
      </c>
      <c r="H40" s="904">
        <v>0</v>
      </c>
      <c r="I40" s="651">
        <v>25</v>
      </c>
      <c r="J40" s="651">
        <v>33</v>
      </c>
      <c r="K40" s="7235">
        <v>0</v>
      </c>
      <c r="L40" s="7235">
        <v>0</v>
      </c>
      <c r="M40" s="7235">
        <v>0</v>
      </c>
      <c r="N40" s="7235">
        <v>0</v>
      </c>
      <c r="O40" s="7235">
        <v>0</v>
      </c>
      <c r="P40" s="7235">
        <v>0</v>
      </c>
      <c r="Q40" s="7235">
        <v>0</v>
      </c>
      <c r="R40" s="7235">
        <v>0</v>
      </c>
      <c r="S40" s="7235">
        <v>0</v>
      </c>
      <c r="T40" s="7235">
        <v>0</v>
      </c>
      <c r="U40" s="563">
        <v>93</v>
      </c>
      <c r="V40" s="651">
        <v>10</v>
      </c>
      <c r="W40" s="651">
        <v>10</v>
      </c>
      <c r="X40" s="651">
        <v>10</v>
      </c>
      <c r="Y40" s="651">
        <v>10</v>
      </c>
      <c r="Z40" s="651">
        <v>10</v>
      </c>
      <c r="AA40" s="651">
        <v>10</v>
      </c>
      <c r="AB40" s="651">
        <v>10</v>
      </c>
      <c r="AC40" s="651">
        <v>10</v>
      </c>
      <c r="AD40" s="651">
        <v>10</v>
      </c>
      <c r="AE40" s="821">
        <v>10</v>
      </c>
      <c r="AF40" s="651">
        <v>23</v>
      </c>
    </row>
  </sheetData>
  <sheetProtection formatColumns="0" formatRows="0" autoFilter="0" sort="0" insertRows="0" insertColumns="1" deleteRows="0" deleteColumns="0"/>
  <mergeCells count="36">
    <mergeCell ref="B3:B4"/>
    <mergeCell ref="C3:C4"/>
    <mergeCell ref="B6:B7"/>
    <mergeCell ref="C6:C7"/>
    <mergeCell ref="B9:B11"/>
    <mergeCell ref="C9:C11"/>
    <mergeCell ref="B13:B14"/>
    <mergeCell ref="C13:C14"/>
    <mergeCell ref="D22:I22"/>
    <mergeCell ref="D23:I23"/>
    <mergeCell ref="I26:J26"/>
    <mergeCell ref="E26:F26"/>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12E44-1F08-DC9F-473C-0.91EF9F0D}" mc:Ignorable="x14ac xr xr2 xr3">
  <sheetPr>
    <tabColor theme="9" tint="-0.25"/>
  </sheetPr>
  <dimension ref="A1:AE20"/>
  <sheetViews>
    <sheetView topLeftCell="A1" showGridLines="0" zoomScale="85" workbookViewId="0">
      <selection activeCell="X15" sqref="X15:X16"/>
    </sheetView>
  </sheetViews>
  <sheetFormatPr defaultColWidth="9.140625" customHeight="1" defaultRowHeight="10.5"/>
  <cols>
    <col min="1" max="3" style="6966" width="6.7109375" hidden="1" customWidth="1"/>
    <col min="4" max="4" style="7180" width="6.7109375" hidden="1" customWidth="1"/>
    <col min="5" max="5" style="7235" width="3.00390625" customWidth="1"/>
    <col min="6" max="6" style="7235" width="6.00390625" customWidth="1"/>
    <col min="7" max="7" style="7235" width="37.00390625" customWidth="1"/>
    <col min="8" max="8" style="7235" width="16.00390625" customWidth="1"/>
    <col min="9" max="10" style="7235" width="19.00390625" customWidth="1"/>
    <col min="11" max="11" style="7235" width="24.00390625" customWidth="1"/>
    <col min="12" max="13" style="7235" width="25.00390625" customWidth="1"/>
    <col min="14" max="16" style="7235" width="17.00390625" customWidth="1"/>
    <col min="17" max="24" style="7235" width="19.00390625" customWidth="1"/>
    <col min="25" max="25" style="7235" width="7.00390625" customWidth="1"/>
    <col min="26" max="26" style="7235" width="3.00390625" customWidth="1"/>
    <col min="27" max="27" style="7235" width="6.00390625" customWidth="1"/>
    <col min="28" max="28" style="7235" width="34.00390625" customWidth="1"/>
    <col min="29" max="30" style="7235" width="8.00390625" customWidth="1"/>
    <col min="31" max="31" style="7235" width="9.140625" hidden="1"/>
  </cols>
  <sheetData>
    <row s="7180" customFormat="1" customHeight="1" ht="10.5" hidden="1">
      <c r="A1" s="1041"/>
      <c r="B1" s="1041"/>
      <c r="C1" s="1041"/>
      <c r="E1" s="683"/>
      <c r="H1" s="1306"/>
      <c r="AE1" s="563" t="s">
        <v>14</v>
      </c>
    </row>
    <row customHeight="1" ht="10.5" hidden="1">
      <c r="AE2" s="904">
        <v>0</v>
      </c>
    </row>
    <row s="7486" customFormat="1" customHeight="1" ht="10.5" hidden="1">
      <c r="A3" s="1041"/>
      <c r="B3" s="1041"/>
      <c r="C3" s="1041"/>
      <c r="D3" s="563"/>
      <c r="E3" s="508"/>
      <c r="G3" s="1778" t="s">
        <v>1027</v>
      </c>
      <c r="H3" s="1302"/>
      <c r="AE3" s="905">
        <v>0</v>
      </c>
    </row>
    <row customHeight="1" ht="3">
      <c r="AE4" s="904">
        <v>3</v>
      </c>
    </row>
    <row customHeight="1" ht="27.299999999999997">
      <c r="F5" s="24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7"/>
      <c r="H5" s="2407"/>
      <c r="I5" s="2407"/>
      <c r="J5" s="2407"/>
      <c r="K5" s="2407"/>
      <c r="M5" s="728"/>
      <c r="AB5" s="1052"/>
      <c r="AE5" s="904">
        <v>26</v>
      </c>
    </row>
    <row s="7235" customFormat="1" customHeight="1" ht="16.8">
      <c r="A6" s="1312"/>
      <c r="B6" s="1312"/>
      <c r="C6" s="1312"/>
      <c r="D6" s="1306"/>
      <c r="E6" s="1781"/>
      <c r="F6" s="2408" t="str">
        <f>IF(org=0,"Не определено",org)</f>
        <v>ПАО "ТГК-14"</v>
      </c>
      <c r="G6" s="2408"/>
      <c r="H6" s="2408"/>
      <c r="I6" s="2408"/>
      <c r="J6" s="2408"/>
      <c r="K6" s="2408"/>
      <c r="M6" s="728"/>
      <c r="AB6" s="1294"/>
      <c r="AE6" s="1777">
        <v>16</v>
      </c>
    </row>
    <row customHeight="1" ht="10.5">
      <c r="AE7" s="904">
        <v>10</v>
      </c>
    </row>
    <row customHeight="1" ht="10.5">
      <c r="A8" s="1197"/>
      <c r="B8" s="1197"/>
      <c r="C8" s="1197"/>
      <c r="F8" s="2260" t="s">
        <v>322</v>
      </c>
      <c r="G8" s="2261"/>
      <c r="H8" s="2261"/>
      <c r="I8" s="2261"/>
      <c r="J8" s="2261"/>
      <c r="K8" s="2261"/>
      <c r="L8" s="2261"/>
      <c r="M8" s="2261"/>
      <c r="N8" s="2261"/>
      <c r="O8" s="2261"/>
      <c r="P8" s="2261"/>
      <c r="Q8" s="2261"/>
      <c r="R8" s="2261"/>
      <c r="S8" s="2261"/>
      <c r="T8" s="2261"/>
      <c r="U8" s="2261"/>
      <c r="V8" s="2261"/>
      <c r="W8" s="2261"/>
      <c r="X8" s="2261"/>
      <c r="Y8" s="2261"/>
      <c r="Z8" s="2261"/>
      <c r="AA8" s="2261"/>
      <c r="AB8" s="2262"/>
      <c r="AE8" s="904">
        <v>10</v>
      </c>
    </row>
    <row customHeight="1" ht="43.050000000000004">
      <c r="A9" s="1051"/>
      <c r="B9" s="1051"/>
      <c r="C9" s="1051"/>
      <c r="F9" s="2286" t="s">
        <v>89</v>
      </c>
      <c r="G9" s="2286" t="s">
        <v>1027</v>
      </c>
      <c r="H9" s="2334" t="s">
        <v>1028</v>
      </c>
      <c r="I9" s="2286" t="s">
        <v>1029</v>
      </c>
      <c r="J9" s="2286" t="s">
        <v>1030</v>
      </c>
      <c r="K9" s="2286" t="s">
        <v>1031</v>
      </c>
      <c r="L9" s="2286" t="s">
        <v>1032</v>
      </c>
      <c r="M9" s="2286" t="s">
        <v>1033</v>
      </c>
      <c r="N9" s="2368" t="s">
        <v>1034</v>
      </c>
      <c r="O9" s="2368"/>
      <c r="P9" s="2368"/>
      <c r="Q9" s="2558" t="s">
        <v>1035</v>
      </c>
      <c r="R9" s="2559"/>
      <c r="S9" s="2559"/>
      <c r="T9" s="2560"/>
      <c r="U9" s="2558" t="s">
        <v>1036</v>
      </c>
      <c r="V9" s="2559"/>
      <c r="W9" s="2559"/>
      <c r="X9" s="2560"/>
      <c r="Y9" s="2260" t="s">
        <v>1037</v>
      </c>
      <c r="Z9" s="2261"/>
      <c r="AA9" s="2261"/>
      <c r="AB9" s="2262"/>
      <c r="AE9" s="904">
        <v>41</v>
      </c>
    </row>
    <row customHeight="1" ht="43.050000000000004">
      <c r="A10" s="1051"/>
      <c r="B10" s="1051"/>
      <c r="C10" s="1051"/>
      <c r="F10" s="2334"/>
      <c r="G10" s="2334"/>
      <c r="H10" s="2391"/>
      <c r="I10" s="2334"/>
      <c r="J10" s="2334"/>
      <c r="K10" s="2334"/>
      <c r="L10" s="2334"/>
      <c r="M10" s="2334"/>
      <c r="N10" s="1049" t="s">
        <v>1038</v>
      </c>
      <c r="O10" s="1049" t="s">
        <v>1039</v>
      </c>
      <c r="P10" s="1050" t="s">
        <v>1040</v>
      </c>
      <c r="Q10" s="1061" t="s">
        <v>90</v>
      </c>
      <c r="R10" s="1061" t="s">
        <v>1041</v>
      </c>
      <c r="S10" s="1061" t="s">
        <v>1042</v>
      </c>
      <c r="T10" s="1062" t="s">
        <v>1043</v>
      </c>
      <c r="U10" s="1061" t="s">
        <v>90</v>
      </c>
      <c r="V10" s="1061" t="s">
        <v>1044</v>
      </c>
      <c r="W10" s="1061" t="s">
        <v>1042</v>
      </c>
      <c r="X10" s="1062" t="s">
        <v>1043</v>
      </c>
      <c r="Y10" s="447" t="s">
        <v>1045</v>
      </c>
      <c r="Z10" s="2260" t="s">
        <v>89</v>
      </c>
      <c r="AA10" s="2262"/>
      <c r="AB10" s="1195" t="s">
        <v>1046</v>
      </c>
      <c r="AE10" s="904">
        <v>41</v>
      </c>
    </row>
    <row s="6720" customFormat="1" customHeight="1" ht="5.25" hidden="1">
      <c r="A11" s="1198"/>
      <c r="B11" s="1198"/>
      <c r="C11" s="1198"/>
      <c r="E11" s="1196"/>
      <c r="F11" s="2565" t="s">
        <v>398</v>
      </c>
      <c r="G11" s="2562"/>
      <c r="H11" s="2561"/>
      <c r="I11" s="2561"/>
      <c r="J11" s="2561"/>
      <c r="K11" s="2563"/>
      <c r="L11" s="2563"/>
      <c r="M11" s="2563"/>
      <c r="N11" s="2561"/>
      <c r="O11" s="2561"/>
      <c r="P11" s="2286"/>
      <c r="Q11" s="2338"/>
      <c r="R11" s="2338"/>
      <c r="S11" s="2338"/>
      <c r="T11" s="2561"/>
      <c r="U11" s="2338"/>
      <c r="V11" s="2338"/>
      <c r="W11" s="2338"/>
      <c r="X11" s="2561"/>
      <c r="Y11" s="2267"/>
      <c r="Z11" s="2267"/>
      <c r="AA11" s="2267"/>
      <c r="AB11" s="2267"/>
      <c r="AD11" s="657" t="s">
        <v>1047</v>
      </c>
      <c r="AE11" s="657">
        <v>0</v>
      </c>
    </row>
    <row s="6720" customFormat="1" customHeight="1" ht="5.25" hidden="1">
      <c r="A12" s="1042"/>
      <c r="B12" s="1042"/>
      <c r="C12" s="1042"/>
      <c r="E12" s="664"/>
      <c r="F12" s="2565"/>
      <c r="G12" s="2562"/>
      <c r="H12" s="2561"/>
      <c r="I12" s="2561"/>
      <c r="J12" s="2561"/>
      <c r="K12" s="2563"/>
      <c r="L12" s="2563"/>
      <c r="M12" s="2563"/>
      <c r="N12" s="2561"/>
      <c r="O12" s="2561"/>
      <c r="P12" s="2286"/>
      <c r="Q12" s="2338"/>
      <c r="R12" s="2338"/>
      <c r="S12" s="2338"/>
      <c r="T12" s="2561"/>
      <c r="U12" s="2338"/>
      <c r="V12" s="2338"/>
      <c r="W12" s="2338"/>
      <c r="X12" s="2561"/>
      <c r="Y12" s="2564"/>
      <c r="Z12" s="2564"/>
      <c r="AA12" s="2564"/>
      <c r="AB12" s="2564"/>
      <c r="AE12" s="657">
        <v>0</v>
      </c>
    </row>
    <row customHeight="1" ht="64.5">
      <c r="A13" s="1312"/>
      <c r="B13" s="1312"/>
      <c r="C13" s="1312"/>
      <c r="D13" s="1306"/>
      <c r="E13" s="7143" t="s">
        <v>106</v>
      </c>
      <c r="F13" s="2740" t="s">
        <v>121</v>
      </c>
      <c r="G13" s="2741" t="s">
        <v>1048</v>
      </c>
      <c r="H13" s="2742" t="s">
        <v>63</v>
      </c>
      <c r="I13" s="7590">
        <v>43553</v>
      </c>
      <c r="J13" s="7591">
        <v>44522</v>
      </c>
      <c r="K13" s="2746" t="s">
        <v>1049</v>
      </c>
      <c r="L13" s="2709" t="s">
        <v>1050</v>
      </c>
      <c r="M13" s="2709" t="s">
        <v>1051</v>
      </c>
      <c r="N13" s="2710" t="s">
        <v>1052</v>
      </c>
      <c r="O13" s="2710" t="s">
        <v>1053</v>
      </c>
      <c r="P13" s="2711" t="str">
        <f>DATEDIF(DATEVALUE(N13),DATEVALUE(O13),"y")&amp;"г. "&amp;DATEDIF(DATEVALUE(N13),DATEVALUE(O13),"ym")&amp;"мес. "&amp;DATEVALUE(O13)-DATE(YEAR(DATEVALUE(O13)),MONTH(DATEVALUE(O13)),1)&amp;"дн. "</f>
        <v>9г. 9мес. 30дн. </v>
      </c>
      <c r="Q13" s="2706" t="s">
        <v>1054</v>
      </c>
      <c r="R13" s="2706" t="s">
        <v>1055</v>
      </c>
      <c r="S13" s="2706" t="s">
        <v>1056</v>
      </c>
      <c r="T13" s="7591" t="s">
        <v>1052</v>
      </c>
      <c r="U13" s="2706" t="s">
        <v>1057</v>
      </c>
      <c r="V13" s="2706" t="s">
        <v>1055</v>
      </c>
      <c r="W13" s="2706" t="s">
        <v>1058</v>
      </c>
      <c r="X13" s="7591">
        <v>44522</v>
      </c>
      <c r="Y13" s="2704" t="s">
        <v>63</v>
      </c>
      <c r="Z13" s="1953"/>
      <c r="AA13" s="1937">
        <v>1</v>
      </c>
      <c r="AB13" s="1388" t="s">
        <v>1059</v>
      </c>
      <c r="AC13" s="7235"/>
      <c r="AD13" s="1782" t="s">
        <v>1060</v>
      </c>
      <c r="AE13" s="7235"/>
    </row>
    <row customHeight="1" ht="79.5">
      <c r="A14" s="1312"/>
      <c r="B14" s="1312"/>
      <c r="C14" s="1312"/>
      <c r="D14" s="1306"/>
      <c r="E14" s="1093"/>
      <c r="F14" s="2740" t="s">
        <v>121</v>
      </c>
      <c r="G14" s="2741"/>
      <c r="H14" s="2743"/>
      <c r="I14" s="2745"/>
      <c r="J14" s="2708"/>
      <c r="K14" s="2746"/>
      <c r="L14" s="2709"/>
      <c r="M14" s="2709"/>
      <c r="N14" s="2710"/>
      <c r="O14" s="2710"/>
      <c r="P14" s="2711"/>
      <c r="Q14" s="2706"/>
      <c r="R14" s="2706"/>
      <c r="S14" s="2706"/>
      <c r="T14" s="2708"/>
      <c r="U14" s="2706"/>
      <c r="V14" s="2706"/>
      <c r="W14" s="2706"/>
      <c r="X14" s="2708"/>
      <c r="Y14" s="2705"/>
      <c r="Z14" s="493"/>
      <c r="AA14" s="718"/>
      <c r="AB14" s="798" t="s">
        <v>1061</v>
      </c>
      <c r="AC14" s="7235"/>
      <c r="AD14" s="7235"/>
      <c r="AE14" s="7235"/>
    </row>
    <row customHeight="1" ht="27">
      <c r="A15" s="1312"/>
      <c r="B15" s="1312"/>
      <c r="C15" s="1312"/>
      <c r="D15" s="1306"/>
      <c r="E15" s="7143" t="s">
        <v>106</v>
      </c>
      <c r="F15" s="2740" t="s">
        <v>105</v>
      </c>
      <c r="G15" s="2741" t="s">
        <v>1062</v>
      </c>
      <c r="H15" s="2742" t="s">
        <v>63</v>
      </c>
      <c r="I15" s="7590">
        <v>45229.65840277778</v>
      </c>
      <c r="J15" s="7591">
        <v>45616.65866898148</v>
      </c>
      <c r="K15" s="2746" t="s">
        <v>1049</v>
      </c>
      <c r="L15" s="2709" t="s">
        <v>1050</v>
      </c>
      <c r="M15" s="2709" t="s">
        <v>1051</v>
      </c>
      <c r="N15" s="2710" t="s">
        <v>1063</v>
      </c>
      <c r="O15" s="2710" t="s">
        <v>1053</v>
      </c>
      <c r="P15" s="2711" t="str">
        <f>DATEDIF(DATEVALUE(N15),DATEVALUE(O15),"y")&amp;"г. "&amp;DATEDIF(DATEVALUE(N15),DATEVALUE(O15),"ym")&amp;"мес. "&amp;DATEVALUE(O15)-DATE(YEAR(DATEVALUE(O15)),MONTH(DATEVALUE(O15)),1)&amp;"дн. "</f>
        <v>4г. 11мес. 30дн. </v>
      </c>
      <c r="Q15" s="2706" t="s">
        <v>1064</v>
      </c>
      <c r="R15" s="2706" t="s">
        <v>1055</v>
      </c>
      <c r="S15" s="2706" t="s">
        <v>1065</v>
      </c>
      <c r="T15" s="7591" t="s">
        <v>1066</v>
      </c>
      <c r="U15" s="2706" t="s">
        <v>1067</v>
      </c>
      <c r="V15" s="2706" t="s">
        <v>1055</v>
      </c>
      <c r="W15" s="2706" t="s">
        <v>1068</v>
      </c>
      <c r="X15" s="7591">
        <v>45981.66032407407</v>
      </c>
      <c r="Y15" s="2704" t="s">
        <v>19</v>
      </c>
      <c r="Z15" s="1953"/>
      <c r="AA15" s="1937">
        <v>1</v>
      </c>
      <c r="AB15" s="8455" t="s">
        <v>22</v>
      </c>
      <c r="AC15" s="7235"/>
      <c r="AD15" s="1782" t="s">
        <v>1069</v>
      </c>
      <c r="AE15" s="7235"/>
    </row>
    <row customHeight="1" ht="55.5">
      <c r="A16" s="1312"/>
      <c r="B16" s="1312"/>
      <c r="C16" s="1312"/>
      <c r="D16" s="1306"/>
      <c r="E16" s="1093"/>
      <c r="F16" s="2740" t="s">
        <v>121</v>
      </c>
      <c r="G16" s="2741"/>
      <c r="H16" s="2743"/>
      <c r="I16" s="2745"/>
      <c r="J16" s="2708"/>
      <c r="K16" s="2746"/>
      <c r="L16" s="2709"/>
      <c r="M16" s="2709"/>
      <c r="N16" s="2710"/>
      <c r="O16" s="2710"/>
      <c r="P16" s="2711"/>
      <c r="Q16" s="2706"/>
      <c r="R16" s="2706"/>
      <c r="S16" s="2706"/>
      <c r="T16" s="2708"/>
      <c r="U16" s="2706"/>
      <c r="V16" s="2706"/>
      <c r="W16" s="2706"/>
      <c r="X16" s="2708"/>
      <c r="Y16" s="2705"/>
      <c r="Z16" s="493"/>
      <c r="AA16" s="718"/>
      <c r="AB16" s="798" t="s">
        <v>1061</v>
      </c>
      <c r="AC16" s="7235"/>
      <c r="AD16" s="7235"/>
      <c r="AE16" s="7235"/>
    </row>
    <row customHeight="1" ht="10.5">
      <c r="F17" s="1048"/>
      <c r="G17" s="796" t="s">
        <v>1070</v>
      </c>
      <c r="H17" s="1314"/>
      <c r="I17" s="718"/>
      <c r="J17" s="718"/>
      <c r="K17" s="718"/>
      <c r="L17" s="718"/>
      <c r="M17" s="718"/>
      <c r="N17" s="718"/>
      <c r="O17" s="718"/>
      <c r="P17" s="718"/>
      <c r="Q17" s="718"/>
      <c r="R17" s="718"/>
      <c r="S17" s="718"/>
      <c r="T17" s="718"/>
      <c r="U17" s="718"/>
      <c r="V17" s="718"/>
      <c r="W17" s="718"/>
      <c r="X17" s="718"/>
      <c r="Y17" s="718"/>
      <c r="Z17" s="842"/>
      <c r="AA17" s="842"/>
      <c r="AB17" s="1063"/>
      <c r="AE17" s="904">
        <v>10</v>
      </c>
    </row>
    <row customHeight="1" ht="10.5">
      <c r="AE18" s="904">
        <v>10</v>
      </c>
    </row>
    <row s="6720" customFormat="1" customHeight="1" ht="10.5">
      <c r="A19" s="1313"/>
      <c r="B19" s="1313"/>
      <c r="C19" s="1313"/>
      <c r="E19" s="664"/>
      <c r="H19" s="657">
        <f>_xlfn.IFERROR(MATCH("нет",IP_MAIN_DIFFERENTIATION_EVENTS_FLAG,0),0)</f>
        <v>0</v>
      </c>
      <c r="AE19" s="657">
        <v>10</v>
      </c>
    </row>
    <row customHeight="1" ht="10.5" hidden="1">
      <c r="A20" s="1041" t="s">
        <v>83</v>
      </c>
      <c r="B20" s="1041">
        <v>0</v>
      </c>
      <c r="C20" s="1041">
        <v>0</v>
      </c>
      <c r="D20" s="563">
        <v>0</v>
      </c>
      <c r="E20" s="655">
        <v>3</v>
      </c>
      <c r="F20" s="904">
        <v>6</v>
      </c>
      <c r="G20" s="904">
        <v>37</v>
      </c>
      <c r="H20" s="1301">
        <v>16</v>
      </c>
      <c r="I20" s="904">
        <v>19</v>
      </c>
      <c r="J20" s="904">
        <v>19</v>
      </c>
      <c r="K20" s="904">
        <v>24</v>
      </c>
      <c r="L20" s="904">
        <v>25</v>
      </c>
      <c r="M20" s="904">
        <v>25</v>
      </c>
      <c r="N20" s="904">
        <v>17</v>
      </c>
      <c r="O20" s="904">
        <v>17</v>
      </c>
      <c r="P20" s="904">
        <v>17</v>
      </c>
      <c r="Q20" s="904">
        <v>19</v>
      </c>
      <c r="R20" s="904">
        <v>19</v>
      </c>
      <c r="S20" s="904">
        <v>19</v>
      </c>
      <c r="T20" s="904">
        <v>19</v>
      </c>
      <c r="U20" s="904">
        <v>19</v>
      </c>
      <c r="V20" s="904">
        <v>19</v>
      </c>
      <c r="W20" s="904">
        <v>19</v>
      </c>
      <c r="X20" s="904">
        <v>19</v>
      </c>
      <c r="Y20" s="904">
        <v>7</v>
      </c>
      <c r="Z20" s="904">
        <v>3</v>
      </c>
      <c r="AA20" s="904">
        <v>6</v>
      </c>
      <c r="AB20" s="904">
        <v>34</v>
      </c>
      <c r="AC20" s="904">
        <v>8</v>
      </c>
      <c r="AD20" s="904">
        <v>8</v>
      </c>
      <c r="AE20" s="904">
        <v>10</v>
      </c>
    </row>
  </sheetData>
  <sheetProtection formatColumns="0" formatRows="0" autoFilter="0" sort="0" insertRows="0" insertColumns="1" deleteRows="0" deleteColumns="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s>
  <dataValidations count="30">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Title="Ввод" prompt="Для выбора ИП необходимо два раза нажать левую кнопку мыши!" sqref="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S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U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W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AB1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C7E22E-D6F6-D259-BC1A-0.C3CA1447}" mc:Ignorable="x14ac xr xr2 xr3">
  <sheetPr>
    <tabColor theme="9" tint="-0.25"/>
  </sheetPr>
  <dimension ref="A1:BG1084"/>
  <sheetViews>
    <sheetView topLeftCell="A1" showGridLines="0" zoomScale="90" workbookViewId="0">
      <selection activeCell="AF490" sqref="AF490:AF494"/>
    </sheetView>
  </sheetViews>
  <sheetFormatPr defaultColWidth="9.140625" customHeight="1" defaultRowHeight="10.5"/>
  <cols>
    <col min="1" max="3" style="6966" width="4.140625" hidden="1" customWidth="1"/>
    <col min="4" max="4" style="7180" width="4.140625" hidden="1" customWidth="1"/>
    <col min="5" max="5" style="7235" width="3.00390625" customWidth="1"/>
    <col min="6" max="6" style="7235" width="14.00390625" customWidth="1"/>
    <col min="7" max="7" style="7235" width="3.00390625" customWidth="1"/>
    <col min="8" max="8" style="7235" width="7.00390625" customWidth="1"/>
    <col min="9" max="10" style="7235" width="16.00390625" customWidth="1"/>
    <col min="11" max="11" style="7235" width="33.7109375" customWidth="1"/>
    <col min="12" max="12" style="7235" width="7.00390625" customWidth="1"/>
    <col min="13" max="13" style="7235" width="15.00390625" customWidth="1"/>
    <col min="14" max="14" style="7235" width="3.00390625" customWidth="1"/>
    <col min="15" max="15" style="7235" width="4.00390625" customWidth="1"/>
    <col min="16" max="16" style="7235" width="8.00390625" customWidth="1"/>
    <col min="17" max="17" style="7235" width="21.00390625" customWidth="1"/>
    <col min="18" max="18" style="7235" width="14.00390625" customWidth="1"/>
    <col min="19" max="20" style="7235" width="17.00390625" customWidth="1"/>
    <col min="21" max="21" style="7235" width="9.00390625" customWidth="1"/>
    <col min="22" max="22" style="7235" width="12.00390625" customWidth="1"/>
    <col min="23" max="23" style="7235" width="9.00390625" customWidth="1"/>
    <col min="24" max="24" style="7235" width="21.00390625" customWidth="1"/>
    <col min="25" max="25" style="7235" width="12.00390625" customWidth="1"/>
    <col min="26" max="26" style="7235" width="3.00390625" customWidth="1"/>
    <col min="27" max="27" style="7235" width="6.00390625" customWidth="1"/>
    <col min="28" max="28" style="7235" width="38.8515625" customWidth="1"/>
    <col min="29" max="29" style="7235" width="15.00390625" customWidth="1"/>
    <col min="30" max="30" style="7235" width="39.8515625" customWidth="1"/>
    <col min="31" max="31" style="7235" width="15.7109375" customWidth="1"/>
    <col min="32" max="34" style="7235" width="16.00390625" customWidth="1"/>
    <col min="35" max="37" style="7235" width="16.7109375" customWidth="1"/>
    <col min="38" max="58" style="7235" width="8.00390625" customWidth="1"/>
    <col min="59" max="59" style="7235" width="9.140625" hidden="1"/>
  </cols>
  <sheetData>
    <row s="7180" customFormat="1" customHeight="1" ht="10.5" hidden="1">
      <c r="A1" s="1041"/>
      <c r="B1" s="1041"/>
      <c r="C1" s="1041"/>
      <c r="E1" s="683"/>
      <c r="H1" s="1306"/>
      <c r="L1" s="1274"/>
      <c r="M1" s="1274"/>
      <c r="AD1" s="1274"/>
      <c r="AH1" s="1293"/>
      <c r="AI1" s="1286"/>
      <c r="BG1" s="563" t="s">
        <v>14</v>
      </c>
    </row>
    <row customHeight="1" ht="10.5" hidden="1">
      <c r="BG2" s="904">
        <v>0</v>
      </c>
    </row>
    <row s="7486" customFormat="1" customHeight="1" ht="10.5" hidden="1">
      <c r="A3" s="1041"/>
      <c r="B3" s="1041"/>
      <c r="C3" s="1041"/>
      <c r="D3" s="563"/>
      <c r="E3" s="508"/>
      <c r="H3" s="1302"/>
      <c r="L3" s="1272"/>
      <c r="M3" s="1272"/>
      <c r="AD3" s="1272"/>
      <c r="AH3" s="1291"/>
      <c r="AI3" s="1284"/>
      <c r="BG3" s="905">
        <v>0</v>
      </c>
    </row>
    <row customHeight="1" ht="3">
      <c r="BG4" s="904">
        <v>3</v>
      </c>
    </row>
    <row customHeight="1" ht="27.299999999999997">
      <c r="F5" s="24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7"/>
      <c r="H5" s="2407"/>
      <c r="I5" s="2407"/>
      <c r="J5" s="2407"/>
      <c r="K5" s="2407"/>
      <c r="L5" s="1281"/>
      <c r="M5" s="1281"/>
      <c r="AG5" s="1052"/>
      <c r="AH5" s="1294"/>
      <c r="BG5" s="904">
        <v>26</v>
      </c>
    </row>
    <row customHeight="1" ht="10.5">
      <c r="F6" s="2335" t="str">
        <f>IF(org=0,"Не определено",org)</f>
        <v>ПАО "ТГК-14"</v>
      </c>
      <c r="G6" s="2335"/>
      <c r="H6" s="2335"/>
      <c r="I6" s="2335"/>
      <c r="J6" s="2335"/>
      <c r="K6" s="2335"/>
      <c r="L6" s="1282"/>
      <c r="M6" s="1282"/>
      <c r="BG6" s="904">
        <v>10</v>
      </c>
    </row>
    <row customHeight="1" ht="11.549999999999999">
      <c r="E7" s="1054"/>
      <c r="F7" s="1065"/>
      <c r="G7" s="1065"/>
      <c r="H7" s="1330"/>
      <c r="I7" s="1065"/>
      <c r="J7" s="1065"/>
      <c r="K7" s="1067"/>
      <c r="L7" s="1279"/>
      <c r="M7" s="1279"/>
      <c r="N7" s="1065"/>
      <c r="O7" s="1065"/>
      <c r="P7" s="1065"/>
      <c r="Q7" s="1067"/>
      <c r="R7" s="1065"/>
      <c r="S7" s="1065"/>
      <c r="T7" s="1065"/>
      <c r="U7" s="1065"/>
      <c r="V7" s="1065"/>
      <c r="W7" s="1065"/>
      <c r="X7" s="1065"/>
      <c r="Y7" s="1065"/>
      <c r="Z7" s="1065"/>
      <c r="AA7" s="1065"/>
      <c r="AB7" s="1065"/>
      <c r="AC7" s="1066"/>
      <c r="AD7" s="1278"/>
      <c r="AE7" s="1066"/>
      <c r="AF7" s="1065"/>
      <c r="AG7" s="1065"/>
      <c r="AH7" s="1296"/>
      <c r="AI7" s="1289"/>
      <c r="AJ7" s="1065"/>
      <c r="AK7" s="1065"/>
      <c r="AL7" s="1056"/>
      <c r="AM7" s="1056"/>
      <c r="AN7" s="1056"/>
      <c r="AO7" s="1053"/>
      <c r="AP7" s="1053"/>
      <c r="AQ7" s="1053"/>
      <c r="AR7" s="1053"/>
      <c r="AS7" s="1053"/>
      <c r="AT7" s="1053"/>
      <c r="AU7" s="1053"/>
      <c r="AV7" s="1053"/>
      <c r="AW7" s="1053"/>
      <c r="AX7" s="1053"/>
      <c r="AY7" s="1053"/>
      <c r="AZ7" s="1053"/>
      <c r="BA7" s="1053"/>
      <c r="BB7" s="1053"/>
      <c r="BC7" s="1053"/>
      <c r="BD7" s="1053"/>
      <c r="BE7" s="1053"/>
      <c r="BF7" s="1053"/>
      <c r="BG7" s="904">
        <v>11</v>
      </c>
    </row>
    <row customHeight="1" ht="10.5">
      <c r="E8" s="1054"/>
      <c r="F8" s="2574" t="s">
        <v>322</v>
      </c>
      <c r="G8" s="2575"/>
      <c r="H8" s="2575"/>
      <c r="I8" s="2575"/>
      <c r="J8" s="2575"/>
      <c r="K8" s="2575"/>
      <c r="L8" s="2575"/>
      <c r="M8" s="2575"/>
      <c r="N8" s="2575"/>
      <c r="O8" s="2575"/>
      <c r="P8" s="2575"/>
      <c r="Q8" s="2575"/>
      <c r="R8" s="2575"/>
      <c r="S8" s="2575"/>
      <c r="T8" s="2575"/>
      <c r="U8" s="2575"/>
      <c r="V8" s="2575"/>
      <c r="W8" s="2575"/>
      <c r="X8" s="2575"/>
      <c r="Y8" s="2575"/>
      <c r="Z8" s="2575"/>
      <c r="AA8" s="2575"/>
      <c r="AB8" s="2575"/>
      <c r="AC8" s="2575"/>
      <c r="AD8" s="2575"/>
      <c r="AE8" s="2575"/>
      <c r="AF8" s="2575"/>
      <c r="AG8" s="2575"/>
      <c r="AH8" s="2575"/>
      <c r="AI8" s="2575"/>
      <c r="AJ8" s="2575"/>
      <c r="AK8" s="2576"/>
      <c r="AL8" s="1055"/>
      <c r="AM8" s="1053"/>
      <c r="AN8" s="1053"/>
      <c r="AO8" s="1053"/>
      <c r="AP8" s="1053"/>
      <c r="AQ8" s="1053"/>
      <c r="AR8" s="1053"/>
      <c r="AS8" s="1053"/>
      <c r="AT8" s="1053"/>
      <c r="AU8" s="1053"/>
      <c r="AV8" s="1053"/>
      <c r="AW8" s="1053"/>
      <c r="AX8" s="1053"/>
      <c r="AY8" s="1053"/>
      <c r="AZ8" s="1053"/>
      <c r="BA8" s="1053"/>
      <c r="BB8" s="1053"/>
      <c r="BC8" s="1053"/>
      <c r="BD8" s="1053"/>
      <c r="BE8" s="1053"/>
      <c r="BF8" s="1053"/>
      <c r="BG8" s="904">
        <v>10</v>
      </c>
    </row>
    <row customHeight="1" ht="24">
      <c r="A9" s="1051"/>
      <c r="B9" s="1051"/>
      <c r="C9" s="1051"/>
      <c r="E9" s="1054"/>
      <c r="F9" s="2567" t="s">
        <v>1071</v>
      </c>
      <c r="G9" s="2568" t="s">
        <v>1072</v>
      </c>
      <c r="H9" s="2569"/>
      <c r="I9" s="2286" t="s">
        <v>1073</v>
      </c>
      <c r="J9" s="2286"/>
      <c r="K9" s="2286" t="s">
        <v>1074</v>
      </c>
      <c r="L9" s="2286"/>
      <c r="M9" s="2286"/>
      <c r="N9" s="2286"/>
      <c r="O9" s="2286"/>
      <c r="P9" s="2286"/>
      <c r="Q9" s="2286"/>
      <c r="R9" s="2286"/>
      <c r="S9" s="2286"/>
      <c r="T9" s="2286"/>
      <c r="U9" s="2286"/>
      <c r="V9" s="2286"/>
      <c r="W9" s="2286"/>
      <c r="X9" s="2286"/>
      <c r="Y9" s="2286"/>
      <c r="Z9" s="2351" t="s">
        <v>1075</v>
      </c>
      <c r="AA9" s="2352"/>
      <c r="AB9" s="2286" t="s">
        <v>1076</v>
      </c>
      <c r="AC9" s="2286"/>
      <c r="AD9" s="2286"/>
      <c r="AE9" s="2286"/>
      <c r="AF9" s="2334" t="s">
        <v>1077</v>
      </c>
      <c r="AG9" s="2286" t="s">
        <v>1078</v>
      </c>
      <c r="AH9" s="2286"/>
      <c r="AI9" s="2334" t="s">
        <v>1079</v>
      </c>
      <c r="AJ9" s="2286" t="s">
        <v>1080</v>
      </c>
      <c r="AK9" s="2286"/>
      <c r="AL9" s="1288"/>
      <c r="AM9" s="1053"/>
      <c r="AN9" s="1053"/>
      <c r="AO9" s="1053"/>
      <c r="AP9" s="1053"/>
      <c r="AQ9" s="1053"/>
      <c r="AR9" s="1053"/>
      <c r="AS9" s="1053"/>
      <c r="AT9" s="1053"/>
      <c r="AU9" s="1053"/>
      <c r="AV9" s="1053"/>
      <c r="AW9" s="1053"/>
      <c r="AX9" s="1053"/>
      <c r="AY9" s="1053"/>
      <c r="AZ9" s="1053"/>
      <c r="BA9" s="1053"/>
      <c r="BB9" s="1053"/>
      <c r="BC9" s="1053"/>
      <c r="BD9" s="1053"/>
      <c r="BE9" s="1053"/>
      <c r="BF9" s="1053"/>
      <c r="BG9" s="904">
        <v>23</v>
      </c>
    </row>
    <row customHeight="1" ht="25.2">
      <c r="A10" s="1051"/>
      <c r="B10" s="1051"/>
      <c r="C10" s="1051"/>
      <c r="E10" s="1058"/>
      <c r="F10" s="2567"/>
      <c r="G10" s="2570"/>
      <c r="H10" s="2571"/>
      <c r="I10" s="2286"/>
      <c r="J10" s="2286"/>
      <c r="K10" s="2286" t="s">
        <v>1081</v>
      </c>
      <c r="L10" s="2260" t="s">
        <v>1082</v>
      </c>
      <c r="M10" s="2262"/>
      <c r="N10" s="2286" t="s">
        <v>1083</v>
      </c>
      <c r="O10" s="2286"/>
      <c r="P10" s="2286"/>
      <c r="Q10" s="2286"/>
      <c r="R10" s="2286"/>
      <c r="S10" s="2286"/>
      <c r="T10" s="2286"/>
      <c r="U10" s="2286"/>
      <c r="V10" s="2286"/>
      <c r="W10" s="2286"/>
      <c r="X10" s="2286"/>
      <c r="Y10" s="2286"/>
      <c r="Z10" s="2353"/>
      <c r="AA10" s="2354"/>
      <c r="AB10" s="2286"/>
      <c r="AC10" s="2286"/>
      <c r="AD10" s="2286"/>
      <c r="AE10" s="2286"/>
      <c r="AF10" s="2358"/>
      <c r="AG10" s="2286"/>
      <c r="AH10" s="2286"/>
      <c r="AI10" s="2358"/>
      <c r="AJ10" s="2286"/>
      <c r="AK10" s="2286"/>
      <c r="AL10" s="1288"/>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904">
        <v>24</v>
      </c>
    </row>
    <row s="7235" customFormat="1" customHeight="1" ht="25.2">
      <c r="A11" s="1275"/>
      <c r="B11" s="1275"/>
      <c r="C11" s="1275"/>
      <c r="D11" s="1274"/>
      <c r="E11" s="1276"/>
      <c r="F11" s="2567"/>
      <c r="G11" s="2570"/>
      <c r="H11" s="2571"/>
      <c r="I11" s="2286"/>
      <c r="J11" s="2286"/>
      <c r="K11" s="2286"/>
      <c r="L11" s="2334" t="s">
        <v>1084</v>
      </c>
      <c r="M11" s="2334" t="s">
        <v>1085</v>
      </c>
      <c r="N11" s="2286" t="s">
        <v>1086</v>
      </c>
      <c r="O11" s="2286"/>
      <c r="P11" s="2577" t="s">
        <v>1045</v>
      </c>
      <c r="Q11" s="2577" t="s">
        <v>1087</v>
      </c>
      <c r="R11" s="2577" t="s">
        <v>1088</v>
      </c>
      <c r="S11" s="2577" t="s">
        <v>1089</v>
      </c>
      <c r="T11" s="2577"/>
      <c r="U11" s="2577"/>
      <c r="V11" s="2577"/>
      <c r="W11" s="2577"/>
      <c r="X11" s="2577"/>
      <c r="Y11" s="2577"/>
      <c r="Z11" s="2353"/>
      <c r="AA11" s="2354"/>
      <c r="AB11" s="2286" t="s">
        <v>1090</v>
      </c>
      <c r="AC11" s="2286"/>
      <c r="AD11" s="2260" t="s">
        <v>1091</v>
      </c>
      <c r="AE11" s="2262"/>
      <c r="AF11" s="2358"/>
      <c r="AG11" s="2286"/>
      <c r="AH11" s="2286"/>
      <c r="AI11" s="2358"/>
      <c r="AJ11" s="2286"/>
      <c r="AK11" s="2286"/>
      <c r="AL11" s="1288"/>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1">
        <v>24</v>
      </c>
    </row>
    <row customHeight="1" ht="35.699999999999996">
      <c r="A12" s="1051"/>
      <c r="B12" s="1051"/>
      <c r="C12" s="1051"/>
      <c r="E12" s="1054"/>
      <c r="F12" s="2567"/>
      <c r="G12" s="2572"/>
      <c r="H12" s="2573"/>
      <c r="I12" s="1299" t="s">
        <v>90</v>
      </c>
      <c r="J12" s="1299" t="s">
        <v>1092</v>
      </c>
      <c r="K12" s="2286"/>
      <c r="L12" s="2391"/>
      <c r="M12" s="2391"/>
      <c r="N12" s="2286"/>
      <c r="O12" s="2286"/>
      <c r="P12" s="2577"/>
      <c r="Q12" s="2577"/>
      <c r="R12" s="2577"/>
      <c r="S12" s="1280" t="s">
        <v>87</v>
      </c>
      <c r="T12" s="1280" t="s">
        <v>88</v>
      </c>
      <c r="U12" s="1280" t="s">
        <v>86</v>
      </c>
      <c r="V12" s="1280" t="s">
        <v>1093</v>
      </c>
      <c r="W12" s="1280" t="s">
        <v>86</v>
      </c>
      <c r="X12" s="1280" t="s">
        <v>1094</v>
      </c>
      <c r="Y12" s="1280" t="s">
        <v>1095</v>
      </c>
      <c r="Z12" s="2359"/>
      <c r="AA12" s="2360"/>
      <c r="AB12" s="1287" t="s">
        <v>1096</v>
      </c>
      <c r="AC12" s="1287" t="s">
        <v>1097</v>
      </c>
      <c r="AD12" s="1287" t="s">
        <v>1096</v>
      </c>
      <c r="AE12" s="1287" t="s">
        <v>1097</v>
      </c>
      <c r="AF12" s="2391"/>
      <c r="AG12" s="1300" t="s">
        <v>1098</v>
      </c>
      <c r="AH12" s="1300" t="s">
        <v>1099</v>
      </c>
      <c r="AI12" s="2391"/>
      <c r="AJ12" s="1300" t="s">
        <v>1098</v>
      </c>
      <c r="AK12" s="1300" t="s">
        <v>1099</v>
      </c>
      <c r="AL12" s="1288"/>
      <c r="AM12" s="1053"/>
      <c r="AN12" s="1053"/>
      <c r="AO12" s="1053"/>
      <c r="AP12" s="1053"/>
      <c r="AQ12" s="1053"/>
      <c r="AR12" s="1053"/>
      <c r="AS12" s="1053"/>
      <c r="AT12" s="1053"/>
      <c r="AU12" s="1053"/>
      <c r="AV12" s="1053"/>
      <c r="AW12" s="1053"/>
      <c r="AX12" s="1053"/>
      <c r="AY12" s="1053"/>
      <c r="AZ12" s="1053"/>
      <c r="BA12" s="1053"/>
      <c r="BB12" s="1053"/>
      <c r="BC12" s="1053"/>
      <c r="BD12" s="1053"/>
      <c r="BE12" s="1053"/>
      <c r="BF12" s="1053"/>
      <c r="BG12" s="904">
        <v>34</v>
      </c>
    </row>
    <row customHeight="1" ht="1.05">
      <c r="E13" s="1054"/>
      <c r="F13" s="1270">
        <v>0</v>
      </c>
      <c r="G13" s="1270"/>
      <c r="H13" s="1270"/>
      <c r="I13" s="1270"/>
      <c r="J13" s="1270"/>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95"/>
      <c r="AI13" s="1288"/>
      <c r="AJ13" s="1277"/>
      <c r="AK13" s="1277"/>
      <c r="AL13" s="1055"/>
      <c r="AM13" s="1053"/>
      <c r="AN13" s="1053"/>
      <c r="AO13" s="1053"/>
      <c r="AP13" s="1053"/>
      <c r="AQ13" s="1053"/>
      <c r="AR13" s="1053"/>
      <c r="AS13" s="1053"/>
      <c r="AT13" s="1053"/>
      <c r="AU13" s="1053"/>
      <c r="AV13" s="1053"/>
      <c r="AW13" s="1053"/>
      <c r="AX13" s="1053"/>
      <c r="AY13" s="1053"/>
      <c r="AZ13" s="1053"/>
      <c r="BA13" s="1053"/>
      <c r="BB13" s="1053"/>
      <c r="BC13" s="1053"/>
      <c r="BD13" s="1053"/>
      <c r="BE13" s="1053"/>
      <c r="BF13" s="1053"/>
      <c r="BG13" s="904">
        <v>1</v>
      </c>
    </row>
    <row customHeight="1" ht="21">
      <c r="A14" s="1313" t="s">
        <v>1060</v>
      </c>
      <c r="B14" s="1312"/>
      <c r="C14" s="1312"/>
      <c r="D14" s="1306"/>
      <c r="E14" s="1316" t="s">
        <v>22</v>
      </c>
      <c r="F14" s="1268" t="str">
        <f>INDEX(IP_MAIN_LIST_NAME_IP,MATCH(A14,IP_MAIN_LIST_IP_ID,0))&amp;" ("&amp;INDEX(IP_MAIN_START_DATE,MATCH(A14,IP_MAIN_LIST_IP_ID,0))&amp;"-"&amp;INDEX(IP_MAIN_END_DATE,MATCH(A14,IP_MAIN_LIST_IP_ID,0))&amp;")"</f>
        <v>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(29.03.2019-31.12.2028)</v>
      </c>
      <c r="G14" s="1269"/>
      <c r="H14" s="1269"/>
      <c r="I14" s="1331"/>
      <c r="J14" s="1331"/>
      <c r="K14" s="1332"/>
      <c r="L14" s="1332"/>
      <c r="M14" s="1332"/>
      <c r="N14" s="1333"/>
      <c r="O14" s="1333"/>
      <c r="P14" s="1333"/>
      <c r="Q14" s="1333"/>
      <c r="R14" s="1333"/>
      <c r="S14" s="1333"/>
      <c r="T14" s="1333"/>
      <c r="U14" s="1333"/>
      <c r="V14" s="1333"/>
      <c r="W14" s="1333"/>
      <c r="X14" s="1333"/>
      <c r="Y14" s="1333"/>
      <c r="Z14" s="1333"/>
      <c r="AA14" s="1333"/>
      <c r="AB14" s="1333"/>
      <c r="AC14" s="1333"/>
      <c r="AD14" s="1333"/>
      <c r="AE14" s="1334"/>
      <c r="AF14" s="1332"/>
      <c r="AG14" s="1332"/>
      <c r="AH14" s="1332"/>
      <c r="AI14" s="1332"/>
      <c r="AJ14" s="1332"/>
      <c r="AK14" s="1332"/>
      <c r="AL14" s="2131"/>
      <c r="AM14" s="1968"/>
      <c r="AN14" s="1968"/>
      <c r="AO14" s="1968"/>
      <c r="AP14" s="1968"/>
      <c r="AQ14" s="1968"/>
      <c r="AR14" s="1968"/>
      <c r="AS14" s="1968"/>
      <c r="AT14" s="1968"/>
      <c r="AU14" s="1968"/>
      <c r="AV14" s="1968"/>
      <c r="AW14" s="1968"/>
      <c r="AX14" s="1968"/>
      <c r="AY14" s="1968"/>
      <c r="AZ14" s="1968"/>
      <c r="BA14" s="1968"/>
      <c r="BB14" s="1968"/>
      <c r="BC14" s="1968"/>
      <c r="BD14" s="1968"/>
      <c r="BE14" s="1968"/>
      <c r="BF14" s="1968"/>
      <c r="BG14" s="7235"/>
    </row>
    <row customHeight="1" ht="0.75">
      <c r="A15" s="1312" t="s">
        <v>1060</v>
      </c>
      <c r="B15" s="1312"/>
      <c r="C15" s="1312"/>
      <c r="D15" s="1306"/>
      <c r="E15" s="1316"/>
      <c r="F15" s="2695">
        <v>2019</v>
      </c>
      <c r="G15" s="2674"/>
      <c r="H15" s="2699" t="s">
        <v>398</v>
      </c>
      <c r="I15" s="2700"/>
      <c r="J15" s="2701"/>
      <c r="K15" s="2701"/>
      <c r="L15" s="2693"/>
      <c r="M15" s="2427"/>
      <c r="N15" s="2179"/>
      <c r="O15" s="2178"/>
      <c r="P15" s="2179"/>
      <c r="Q15" s="2179"/>
      <c r="R15" s="2179"/>
      <c r="S15" s="2179"/>
      <c r="T15" s="2179"/>
      <c r="U15" s="2179"/>
      <c r="V15" s="2179"/>
      <c r="W15" s="2179"/>
      <c r="X15" s="2179"/>
      <c r="Y15" s="2179"/>
      <c r="Z15" s="2179"/>
      <c r="AA15" s="2179"/>
      <c r="AB15" s="2179"/>
      <c r="AC15" s="2179"/>
      <c r="AD15" s="2179"/>
      <c r="AE15" s="2179"/>
      <c r="AF15" s="2697"/>
      <c r="AG15" s="2693"/>
      <c r="AH15" s="2693"/>
      <c r="AI15" s="2697"/>
      <c r="AJ15" s="2693"/>
      <c r="AK15" s="2693"/>
      <c r="AL15" s="2131"/>
      <c r="AM15" s="1968"/>
      <c r="AN15" s="1968"/>
      <c r="AO15" s="1968"/>
      <c r="AP15" s="1968"/>
      <c r="AQ15" s="1968"/>
      <c r="AR15" s="1968"/>
      <c r="AS15" s="1968"/>
      <c r="AT15" s="1968"/>
      <c r="AU15" s="1968"/>
      <c r="AV15" s="1968"/>
      <c r="AW15" s="1968"/>
      <c r="AX15" s="1968"/>
      <c r="AY15" s="1968"/>
      <c r="AZ15" s="1968"/>
      <c r="BA15" s="1968"/>
      <c r="BB15" s="1968"/>
      <c r="BC15" s="1968"/>
      <c r="BD15" s="1968"/>
      <c r="BE15" s="1968"/>
      <c r="BF15" s="1968"/>
      <c r="BG15" s="7235"/>
    </row>
    <row customHeight="1" ht="0.75">
      <c r="A16" s="1312" t="s">
        <v>1060</v>
      </c>
      <c r="B16" s="1312"/>
      <c r="C16" s="1312"/>
      <c r="D16" s="1306"/>
      <c r="E16" s="1316"/>
      <c r="F16" s="2695"/>
      <c r="G16" s="2674"/>
      <c r="H16" s="2699"/>
      <c r="I16" s="2700"/>
      <c r="J16" s="2701"/>
      <c r="K16" s="2701"/>
      <c r="L16" s="2693"/>
      <c r="M16" s="2427"/>
      <c r="N16" s="2702"/>
      <c r="O16" s="2703"/>
      <c r="P16" s="2747"/>
      <c r="Q16" s="2698"/>
      <c r="R16" s="2698"/>
      <c r="S16" s="2698"/>
      <c r="T16" s="2698"/>
      <c r="U16" s="2698"/>
      <c r="V16" s="2698"/>
      <c r="W16" s="2698"/>
      <c r="X16" s="2698"/>
      <c r="Y16" s="2698"/>
      <c r="Z16" s="2180"/>
      <c r="AA16" s="2181"/>
      <c r="AB16" s="2181"/>
      <c r="AC16" s="2182"/>
      <c r="AD16" s="2182"/>
      <c r="AE16" s="2183"/>
      <c r="AF16" s="2697"/>
      <c r="AG16" s="2693"/>
      <c r="AH16" s="2693"/>
      <c r="AI16" s="2697"/>
      <c r="AJ16" s="2693"/>
      <c r="AK16" s="2693"/>
      <c r="AL16" s="2131"/>
      <c r="AM16" s="1968"/>
      <c r="AN16" s="1968"/>
      <c r="AO16" s="1968"/>
      <c r="AP16" s="1968"/>
      <c r="AQ16" s="1968"/>
      <c r="AR16" s="1968"/>
      <c r="AS16" s="1968"/>
      <c r="AT16" s="1968"/>
      <c r="AU16" s="1968"/>
      <c r="AV16" s="1968"/>
      <c r="AW16" s="1968"/>
      <c r="AX16" s="1968"/>
      <c r="AY16" s="1968"/>
      <c r="AZ16" s="1968"/>
      <c r="BA16" s="1968"/>
      <c r="BB16" s="1968"/>
      <c r="BC16" s="1968"/>
      <c r="BD16" s="1968"/>
      <c r="BE16" s="1968"/>
      <c r="BF16" s="1968"/>
      <c r="BG16" s="7235"/>
    </row>
    <row customHeight="1" ht="0.75">
      <c r="A17" s="1312" t="s">
        <v>1060</v>
      </c>
      <c r="B17" s="1312"/>
      <c r="C17" s="1312"/>
      <c r="D17" s="1306"/>
      <c r="E17" s="1316"/>
      <c r="F17" s="2695"/>
      <c r="G17" s="2674"/>
      <c r="H17" s="2699"/>
      <c r="I17" s="2700"/>
      <c r="J17" s="2701"/>
      <c r="K17" s="2701"/>
      <c r="L17" s="2693"/>
      <c r="M17" s="2427"/>
      <c r="N17" s="2702"/>
      <c r="O17" s="2703"/>
      <c r="P17" s="2748"/>
      <c r="Q17" s="2698"/>
      <c r="R17" s="2698"/>
      <c r="S17" s="2698"/>
      <c r="T17" s="2698"/>
      <c r="U17" s="2698"/>
      <c r="V17" s="2698"/>
      <c r="W17" s="2698"/>
      <c r="X17" s="2698"/>
      <c r="Y17" s="2698"/>
      <c r="Z17" s="2184"/>
      <c r="AA17" s="2185"/>
      <c r="AB17" s="2186"/>
      <c r="AC17" s="2187"/>
      <c r="AD17" s="2186"/>
      <c r="AE17" s="2187"/>
      <c r="AF17" s="2697"/>
      <c r="AG17" s="2693"/>
      <c r="AH17" s="2693"/>
      <c r="AI17" s="2697"/>
      <c r="AJ17" s="2693"/>
      <c r="AK17" s="2693"/>
      <c r="AL17" s="2131"/>
      <c r="AM17" s="1968"/>
      <c r="AN17" s="1968"/>
      <c r="AO17" s="1968"/>
      <c r="AP17" s="1968"/>
      <c r="AQ17" s="1968"/>
      <c r="AR17" s="1968"/>
      <c r="AS17" s="1968"/>
      <c r="AT17" s="1968"/>
      <c r="AU17" s="1968"/>
      <c r="AV17" s="1968"/>
      <c r="AW17" s="1968"/>
      <c r="AX17" s="1968"/>
      <c r="AY17" s="1968"/>
      <c r="AZ17" s="1968"/>
      <c r="BA17" s="1968"/>
      <c r="BB17" s="1968"/>
      <c r="BC17" s="1968"/>
      <c r="BD17" s="1968"/>
      <c r="BE17" s="1968"/>
      <c r="BF17" s="1968"/>
      <c r="BG17" s="7235"/>
    </row>
    <row customHeight="1" ht="0.75">
      <c r="A18" s="1312" t="s">
        <v>1060</v>
      </c>
      <c r="B18" s="1312"/>
      <c r="C18" s="1312"/>
      <c r="D18" s="1306"/>
      <c r="E18" s="1316"/>
      <c r="F18" s="2695"/>
      <c r="G18" s="2674"/>
      <c r="H18" s="2699"/>
      <c r="I18" s="2700"/>
      <c r="J18" s="2701"/>
      <c r="K18" s="2701"/>
      <c r="L18" s="2693"/>
      <c r="M18" s="2427"/>
      <c r="N18" s="2702"/>
      <c r="O18" s="2703"/>
      <c r="P18" s="2749"/>
      <c r="Q18" s="2698"/>
      <c r="R18" s="2698"/>
      <c r="S18" s="2698"/>
      <c r="T18" s="2698"/>
      <c r="U18" s="2698"/>
      <c r="V18" s="2698"/>
      <c r="W18" s="2698"/>
      <c r="X18" s="2698"/>
      <c r="Y18" s="2698"/>
      <c r="Z18" s="2180"/>
      <c r="AA18" s="2181"/>
      <c r="AB18" s="2188"/>
      <c r="AC18" s="2182"/>
      <c r="AD18" s="2182"/>
      <c r="AE18" s="2189"/>
      <c r="AF18" s="2697"/>
      <c r="AG18" s="2693"/>
      <c r="AH18" s="2693"/>
      <c r="AI18" s="2697"/>
      <c r="AJ18" s="2693"/>
      <c r="AK18" s="2693"/>
      <c r="AL18" s="2131"/>
      <c r="AM18" s="1968"/>
      <c r="AN18" s="1968"/>
      <c r="AO18" s="1968"/>
      <c r="AP18" s="1968"/>
      <c r="AQ18" s="1968"/>
      <c r="AR18" s="1968"/>
      <c r="AS18" s="1968"/>
      <c r="AT18" s="1968"/>
      <c r="AU18" s="1968"/>
      <c r="AV18" s="1968"/>
      <c r="AW18" s="1968"/>
      <c r="AX18" s="1968"/>
      <c r="AY18" s="1968"/>
      <c r="AZ18" s="1968"/>
      <c r="BA18" s="1968"/>
      <c r="BB18" s="1968"/>
      <c r="BC18" s="1968"/>
      <c r="BD18" s="1968"/>
      <c r="BE18" s="1968"/>
      <c r="BF18" s="1968"/>
      <c r="BG18" s="7235"/>
    </row>
    <row customHeight="1" ht="0.75">
      <c r="A19" s="1312" t="s">
        <v>1060</v>
      </c>
      <c r="B19" s="1312"/>
      <c r="C19" s="1312"/>
      <c r="D19" s="1306"/>
      <c r="E19" s="1316"/>
      <c r="F19" s="2695"/>
      <c r="G19" s="2674"/>
      <c r="H19" s="2699"/>
      <c r="I19" s="2700"/>
      <c r="J19" s="2701"/>
      <c r="K19" s="2701"/>
      <c r="L19" s="2693"/>
      <c r="M19" s="2427"/>
      <c r="N19" s="2181"/>
      <c r="O19" s="2181"/>
      <c r="P19" s="2188"/>
      <c r="Q19" s="2181"/>
      <c r="R19" s="2181"/>
      <c r="S19" s="2181"/>
      <c r="T19" s="2181"/>
      <c r="U19" s="2181"/>
      <c r="V19" s="2181"/>
      <c r="W19" s="2181"/>
      <c r="X19" s="2181"/>
      <c r="Y19" s="2181"/>
      <c r="Z19" s="2181"/>
      <c r="AA19" s="2181"/>
      <c r="AB19" s="2181"/>
      <c r="AC19" s="2181"/>
      <c r="AD19" s="2181"/>
      <c r="AE19" s="2190"/>
      <c r="AF19" s="2697"/>
      <c r="AG19" s="2693"/>
      <c r="AH19" s="2693"/>
      <c r="AI19" s="2697"/>
      <c r="AJ19" s="2693"/>
      <c r="AK19" s="2693"/>
      <c r="AL19" s="2131"/>
      <c r="AM19" s="1968"/>
      <c r="AN19" s="1968"/>
      <c r="AO19" s="1968"/>
      <c r="AP19" s="1968"/>
      <c r="AQ19" s="1968"/>
      <c r="AR19" s="1968"/>
      <c r="AS19" s="1968"/>
      <c r="AT19" s="1968"/>
      <c r="AU19" s="1968"/>
      <c r="AV19" s="1968"/>
      <c r="AW19" s="1968"/>
      <c r="AX19" s="1968"/>
      <c r="AY19" s="1968"/>
      <c r="AZ19" s="1968"/>
      <c r="BA19" s="1968"/>
      <c r="BB19" s="1968"/>
      <c r="BC19" s="1968"/>
      <c r="BD19" s="1968"/>
      <c r="BE19" s="1968"/>
      <c r="BF19" s="1968"/>
      <c r="BG19" s="7235"/>
    </row>
    <row customHeight="1" ht="12">
      <c r="A20" s="1312" t="s">
        <v>1060</v>
      </c>
      <c r="B20" s="1312"/>
      <c r="C20" s="1312"/>
      <c r="D20" s="1306"/>
      <c r="E20" s="1316"/>
      <c r="F20" s="2696"/>
      <c r="G20" s="1336"/>
      <c r="H20" s="1336"/>
      <c r="I20" s="2694" t="s">
        <v>1100</v>
      </c>
      <c r="J20" s="2694"/>
      <c r="K20" s="2694"/>
      <c r="L20" s="1319"/>
      <c r="M20" s="1319"/>
      <c r="N20" s="1320"/>
      <c r="O20" s="1320"/>
      <c r="P20" s="1320"/>
      <c r="Q20" s="1320"/>
      <c r="R20" s="1320"/>
      <c r="S20" s="1320"/>
      <c r="T20" s="1320"/>
      <c r="U20" s="1320"/>
      <c r="V20" s="1320"/>
      <c r="W20" s="1320"/>
      <c r="X20" s="1320"/>
      <c r="Y20" s="1320"/>
      <c r="Z20" s="1320"/>
      <c r="AA20" s="1320"/>
      <c r="AB20" s="1320"/>
      <c r="AC20" s="1320"/>
      <c r="AD20" s="1320"/>
      <c r="AE20" s="1320"/>
      <c r="AF20" s="1320"/>
      <c r="AG20" s="1319"/>
      <c r="AH20" s="1319"/>
      <c r="AI20" s="1320"/>
      <c r="AJ20" s="1319"/>
      <c r="AK20" s="1320"/>
      <c r="AL20" s="2131"/>
      <c r="AM20" s="1968"/>
      <c r="AN20" s="1968"/>
      <c r="AO20" s="1968"/>
      <c r="AP20" s="1968"/>
      <c r="AQ20" s="1968"/>
      <c r="AR20" s="1968"/>
      <c r="AS20" s="1968"/>
      <c r="AT20" s="1968"/>
      <c r="AU20" s="1968"/>
      <c r="AV20" s="1968"/>
      <c r="AW20" s="1968"/>
      <c r="AX20" s="1968"/>
      <c r="AY20" s="1968"/>
      <c r="AZ20" s="1968"/>
      <c r="BA20" s="1968"/>
      <c r="BB20" s="1968"/>
      <c r="BC20" s="1968"/>
      <c r="BD20" s="1968"/>
      <c r="BE20" s="1968"/>
      <c r="BF20" s="1968"/>
      <c r="BG20" s="7235"/>
    </row>
    <row customHeight="1" ht="0.75">
      <c r="A21" s="1312" t="s">
        <v>1060</v>
      </c>
      <c r="B21" s="1312"/>
      <c r="C21" s="1312"/>
      <c r="D21" s="1306"/>
      <c r="E21" s="1316"/>
      <c r="F21" s="2695">
        <v>2020</v>
      </c>
      <c r="G21" s="2674"/>
      <c r="H21" s="2699" t="s">
        <v>398</v>
      </c>
      <c r="I21" s="2700"/>
      <c r="J21" s="2701"/>
      <c r="K21" s="2701"/>
      <c r="L21" s="2693"/>
      <c r="M21" s="2427"/>
      <c r="N21" s="2179"/>
      <c r="O21" s="2178"/>
      <c r="P21" s="2179"/>
      <c r="Q21" s="2179"/>
      <c r="R21" s="2179"/>
      <c r="S21" s="2179"/>
      <c r="T21" s="2179"/>
      <c r="U21" s="2179"/>
      <c r="V21" s="2179"/>
      <c r="W21" s="2179"/>
      <c r="X21" s="2179"/>
      <c r="Y21" s="2179"/>
      <c r="Z21" s="2179"/>
      <c r="AA21" s="2179"/>
      <c r="AB21" s="2179"/>
      <c r="AC21" s="2179"/>
      <c r="AD21" s="2179"/>
      <c r="AE21" s="2179"/>
      <c r="AF21" s="2697"/>
      <c r="AG21" s="2693"/>
      <c r="AH21" s="2693"/>
      <c r="AI21" s="2697"/>
      <c r="AJ21" s="2693"/>
      <c r="AK21" s="2693"/>
      <c r="AL21" s="2131"/>
      <c r="AM21" s="1968"/>
      <c r="AN21" s="1968"/>
      <c r="AO21" s="1968"/>
      <c r="AP21" s="1968"/>
      <c r="AQ21" s="1968"/>
      <c r="AR21" s="1968"/>
      <c r="AS21" s="1968"/>
      <c r="AT21" s="1968"/>
      <c r="AU21" s="1968"/>
      <c r="AV21" s="1968"/>
      <c r="AW21" s="1968"/>
      <c r="AX21" s="1968"/>
      <c r="AY21" s="1968"/>
      <c r="AZ21" s="1968"/>
      <c r="BA21" s="1968"/>
      <c r="BB21" s="1968"/>
      <c r="BC21" s="1968"/>
      <c r="BD21" s="1968"/>
      <c r="BE21" s="1968"/>
      <c r="BF21" s="1968"/>
      <c r="BG21" s="7235"/>
    </row>
    <row customHeight="1" ht="0.75">
      <c r="A22" s="1312" t="s">
        <v>1060</v>
      </c>
      <c r="B22" s="1312"/>
      <c r="C22" s="1312"/>
      <c r="D22" s="1306"/>
      <c r="E22" s="1316"/>
      <c r="F22" s="2695"/>
      <c r="G22" s="2674"/>
      <c r="H22" s="2699"/>
      <c r="I22" s="2700"/>
      <c r="J22" s="2701"/>
      <c r="K22" s="2701"/>
      <c r="L22" s="2693"/>
      <c r="M22" s="2427"/>
      <c r="N22" s="2702"/>
      <c r="O22" s="2703"/>
      <c r="P22" s="2747"/>
      <c r="Q22" s="2698"/>
      <c r="R22" s="2698"/>
      <c r="S22" s="2698"/>
      <c r="T22" s="2698"/>
      <c r="U22" s="2698"/>
      <c r="V22" s="2698"/>
      <c r="W22" s="2698"/>
      <c r="X22" s="2698"/>
      <c r="Y22" s="2698"/>
      <c r="Z22" s="2180"/>
      <c r="AA22" s="2181"/>
      <c r="AB22" s="2181"/>
      <c r="AC22" s="2182"/>
      <c r="AD22" s="2182"/>
      <c r="AE22" s="2183"/>
      <c r="AF22" s="2697"/>
      <c r="AG22" s="2693"/>
      <c r="AH22" s="2693"/>
      <c r="AI22" s="2697"/>
      <c r="AJ22" s="2693"/>
      <c r="AK22" s="2693"/>
      <c r="AL22" s="2131"/>
      <c r="AM22" s="1968"/>
      <c r="AN22" s="1968"/>
      <c r="AO22" s="1968"/>
      <c r="AP22" s="1968"/>
      <c r="AQ22" s="1968"/>
      <c r="AR22" s="1968"/>
      <c r="AS22" s="1968"/>
      <c r="AT22" s="1968"/>
      <c r="AU22" s="1968"/>
      <c r="AV22" s="1968"/>
      <c r="AW22" s="1968"/>
      <c r="AX22" s="1968"/>
      <c r="AY22" s="1968"/>
      <c r="AZ22" s="1968"/>
      <c r="BA22" s="1968"/>
      <c r="BB22" s="1968"/>
      <c r="BC22" s="1968"/>
      <c r="BD22" s="1968"/>
      <c r="BE22" s="1968"/>
      <c r="BF22" s="1968"/>
      <c r="BG22" s="7235"/>
    </row>
    <row customHeight="1" ht="0.75">
      <c r="A23" s="1312" t="s">
        <v>1060</v>
      </c>
      <c r="B23" s="1312"/>
      <c r="C23" s="1312"/>
      <c r="D23" s="1306"/>
      <c r="E23" s="1316"/>
      <c r="F23" s="2695"/>
      <c r="G23" s="2674"/>
      <c r="H23" s="2699"/>
      <c r="I23" s="2700"/>
      <c r="J23" s="2701"/>
      <c r="K23" s="2701"/>
      <c r="L23" s="2693"/>
      <c r="M23" s="2427"/>
      <c r="N23" s="2702"/>
      <c r="O23" s="2703"/>
      <c r="P23" s="2748"/>
      <c r="Q23" s="2698"/>
      <c r="R23" s="2698"/>
      <c r="S23" s="2698"/>
      <c r="T23" s="2698"/>
      <c r="U23" s="2698"/>
      <c r="V23" s="2698"/>
      <c r="W23" s="2698"/>
      <c r="X23" s="2698"/>
      <c r="Y23" s="2698"/>
      <c r="Z23" s="2184"/>
      <c r="AA23" s="2185"/>
      <c r="AB23" s="2186"/>
      <c r="AC23" s="2187"/>
      <c r="AD23" s="2186"/>
      <c r="AE23" s="2187"/>
      <c r="AF23" s="2697"/>
      <c r="AG23" s="2693"/>
      <c r="AH23" s="2693"/>
      <c r="AI23" s="2697"/>
      <c r="AJ23" s="2693"/>
      <c r="AK23" s="2693"/>
      <c r="AL23" s="2131"/>
      <c r="AM23" s="1968"/>
      <c r="AN23" s="1968"/>
      <c r="AO23" s="1968"/>
      <c r="AP23" s="1968"/>
      <c r="AQ23" s="1968"/>
      <c r="AR23" s="1968"/>
      <c r="AS23" s="1968"/>
      <c r="AT23" s="1968"/>
      <c r="AU23" s="1968"/>
      <c r="AV23" s="1968"/>
      <c r="AW23" s="1968"/>
      <c r="AX23" s="1968"/>
      <c r="AY23" s="1968"/>
      <c r="AZ23" s="1968"/>
      <c r="BA23" s="1968"/>
      <c r="BB23" s="1968"/>
      <c r="BC23" s="1968"/>
      <c r="BD23" s="1968"/>
      <c r="BE23" s="1968"/>
      <c r="BF23" s="1968"/>
      <c r="BG23" s="7235"/>
    </row>
    <row customHeight="1" ht="0.75">
      <c r="A24" s="1312" t="s">
        <v>1060</v>
      </c>
      <c r="B24" s="1312"/>
      <c r="C24" s="1312"/>
      <c r="D24" s="1306"/>
      <c r="E24" s="1316"/>
      <c r="F24" s="2695"/>
      <c r="G24" s="2674"/>
      <c r="H24" s="2699"/>
      <c r="I24" s="2700"/>
      <c r="J24" s="2701"/>
      <c r="K24" s="2701"/>
      <c r="L24" s="2693"/>
      <c r="M24" s="2427"/>
      <c r="N24" s="2702"/>
      <c r="O24" s="2703"/>
      <c r="P24" s="2749"/>
      <c r="Q24" s="2698"/>
      <c r="R24" s="2698"/>
      <c r="S24" s="2698"/>
      <c r="T24" s="2698"/>
      <c r="U24" s="2698"/>
      <c r="V24" s="2698"/>
      <c r="W24" s="2698"/>
      <c r="X24" s="2698"/>
      <c r="Y24" s="2698"/>
      <c r="Z24" s="2180"/>
      <c r="AA24" s="2181"/>
      <c r="AB24" s="2188"/>
      <c r="AC24" s="2182"/>
      <c r="AD24" s="2182"/>
      <c r="AE24" s="2189"/>
      <c r="AF24" s="2697"/>
      <c r="AG24" s="2693"/>
      <c r="AH24" s="2693"/>
      <c r="AI24" s="2697"/>
      <c r="AJ24" s="2693"/>
      <c r="AK24" s="2693"/>
      <c r="AL24" s="2131"/>
      <c r="AM24" s="1968"/>
      <c r="AN24" s="1968"/>
      <c r="AO24" s="1968"/>
      <c r="AP24" s="1968"/>
      <c r="AQ24" s="1968"/>
      <c r="AR24" s="1968"/>
      <c r="AS24" s="1968"/>
      <c r="AT24" s="1968"/>
      <c r="AU24" s="1968"/>
      <c r="AV24" s="1968"/>
      <c r="AW24" s="1968"/>
      <c r="AX24" s="1968"/>
      <c r="AY24" s="1968"/>
      <c r="AZ24" s="1968"/>
      <c r="BA24" s="1968"/>
      <c r="BB24" s="1968"/>
      <c r="BC24" s="1968"/>
      <c r="BD24" s="1968"/>
      <c r="BE24" s="1968"/>
      <c r="BF24" s="1968"/>
      <c r="BG24" s="7235"/>
    </row>
    <row customHeight="1" ht="0.75">
      <c r="A25" s="1312" t="s">
        <v>1060</v>
      </c>
      <c r="B25" s="1312"/>
      <c r="C25" s="1312"/>
      <c r="D25" s="1306"/>
      <c r="E25" s="1316"/>
      <c r="F25" s="2695"/>
      <c r="G25" s="2674"/>
      <c r="H25" s="2699"/>
      <c r="I25" s="2700"/>
      <c r="J25" s="2701"/>
      <c r="K25" s="2701"/>
      <c r="L25" s="2693"/>
      <c r="M25" s="2427"/>
      <c r="N25" s="2181"/>
      <c r="O25" s="2181"/>
      <c r="P25" s="2188"/>
      <c r="Q25" s="2181"/>
      <c r="R25" s="2181"/>
      <c r="S25" s="2181"/>
      <c r="T25" s="2181"/>
      <c r="U25" s="2181"/>
      <c r="V25" s="2181"/>
      <c r="W25" s="2181"/>
      <c r="X25" s="2181"/>
      <c r="Y25" s="2181"/>
      <c r="Z25" s="2181"/>
      <c r="AA25" s="2181"/>
      <c r="AB25" s="2181"/>
      <c r="AC25" s="2181"/>
      <c r="AD25" s="2181"/>
      <c r="AE25" s="2190"/>
      <c r="AF25" s="2697"/>
      <c r="AG25" s="2693"/>
      <c r="AH25" s="2693"/>
      <c r="AI25" s="2697"/>
      <c r="AJ25" s="2693"/>
      <c r="AK25" s="2693"/>
      <c r="AL25" s="2131"/>
      <c r="AM25" s="1968"/>
      <c r="AN25" s="1968"/>
      <c r="AO25" s="1968"/>
      <c r="AP25" s="1968"/>
      <c r="AQ25" s="1968"/>
      <c r="AR25" s="1968"/>
      <c r="AS25" s="1968"/>
      <c r="AT25" s="1968"/>
      <c r="AU25" s="1968"/>
      <c r="AV25" s="1968"/>
      <c r="AW25" s="1968"/>
      <c r="AX25" s="1968"/>
      <c r="AY25" s="1968"/>
      <c r="AZ25" s="1968"/>
      <c r="BA25" s="1968"/>
      <c r="BB25" s="1968"/>
      <c r="BC25" s="1968"/>
      <c r="BD25" s="1968"/>
      <c r="BE25" s="1968"/>
      <c r="BF25" s="1968"/>
      <c r="BG25" s="7235"/>
    </row>
    <row customHeight="1" ht="11.25">
      <c r="A26" s="1312" t="s">
        <v>1060</v>
      </c>
      <c r="B26" s="1312" t="s">
        <v>22</v>
      </c>
      <c r="C26" s="1312"/>
      <c r="D26" s="1306"/>
      <c r="E26" s="1316"/>
      <c r="F26" s="1974"/>
      <c r="G26" s="7143" t="s">
        <v>106</v>
      </c>
      <c r="H26" s="2674" t="s">
        <v>121</v>
      </c>
      <c r="I26" s="2675" t="s">
        <v>1101</v>
      </c>
      <c r="J26" s="8450" t="s">
        <v>22</v>
      </c>
      <c r="K26" s="2676" t="s">
        <v>1102</v>
      </c>
      <c r="L26" s="2266" t="s">
        <v>19</v>
      </c>
      <c r="M26" s="2267"/>
      <c r="N26" s="2129"/>
      <c r="O26" s="1323" t="s">
        <v>398</v>
      </c>
      <c r="P26" s="1324"/>
      <c r="Q26" s="1324"/>
      <c r="R26" s="1324"/>
      <c r="S26" s="1324"/>
      <c r="T26" s="1324"/>
      <c r="U26" s="1324"/>
      <c r="V26" s="1324"/>
      <c r="W26" s="1324"/>
      <c r="X26" s="1324"/>
      <c r="Y26" s="1324"/>
      <c r="Z26" s="1324"/>
      <c r="AA26" s="1324"/>
      <c r="AB26" s="1324"/>
      <c r="AC26" s="1324"/>
      <c r="AD26" s="1324"/>
      <c r="AE26" s="1324"/>
      <c r="AF26" s="2665">
        <v>2022</v>
      </c>
      <c r="AG26" s="2666" t="s">
        <v>1103</v>
      </c>
      <c r="AH26" s="2666" t="s">
        <v>1104</v>
      </c>
      <c r="AI26" s="8658"/>
      <c r="AJ26" s="2666" t="s">
        <v>1105</v>
      </c>
      <c r="AK26" s="2666" t="s">
        <v>1105</v>
      </c>
      <c r="AL26" s="2131"/>
      <c r="AM26" s="1968"/>
      <c r="AN26" s="1968"/>
      <c r="AO26" s="1968"/>
      <c r="AP26" s="1968"/>
      <c r="AQ26" s="1968"/>
      <c r="AR26" s="1968"/>
      <c r="AS26" s="1968"/>
      <c r="AT26" s="1968"/>
      <c r="AU26" s="1968"/>
      <c r="AV26" s="1968"/>
      <c r="AW26" s="1968"/>
      <c r="AX26" s="1968"/>
      <c r="AY26" s="1968"/>
      <c r="AZ26" s="1968"/>
      <c r="BA26" s="1968"/>
      <c r="BB26" s="1968"/>
      <c r="BC26" s="1968"/>
      <c r="BD26" s="1968"/>
      <c r="BE26" s="1968"/>
      <c r="BF26" s="1968"/>
      <c r="BG26" s="7235"/>
    </row>
    <row customHeight="1" ht="11.25">
      <c r="A27" s="1312" t="s">
        <v>1060</v>
      </c>
      <c r="B27" s="1312"/>
      <c r="C27" s="1312"/>
      <c r="D27" s="1306"/>
      <c r="E27" s="1316"/>
      <c r="F27" s="1974"/>
      <c r="G27" s="1975"/>
      <c r="H27" s="2674" t="s">
        <v>398</v>
      </c>
      <c r="I27" s="2675"/>
      <c r="J27" s="8450"/>
      <c r="K27" s="2676"/>
      <c r="L27" s="2266"/>
      <c r="M27" s="2267"/>
      <c r="N27" s="2667"/>
      <c r="O27" s="2668">
        <v>1</v>
      </c>
      <c r="P27" s="2669" t="s">
        <v>19</v>
      </c>
      <c r="Q27" s="2672" t="s">
        <v>22</v>
      </c>
      <c r="R27" s="2672" t="s">
        <v>22</v>
      </c>
      <c r="S27" s="2672" t="s">
        <v>22</v>
      </c>
      <c r="T27" s="2672" t="s">
        <v>22</v>
      </c>
      <c r="U27" s="2672" t="s">
        <v>22</v>
      </c>
      <c r="V27" s="2672" t="s">
        <v>22</v>
      </c>
      <c r="W27" s="2672" t="s">
        <v>22</v>
      </c>
      <c r="X27" s="2672" t="s">
        <v>22</v>
      </c>
      <c r="Y27" s="2672"/>
      <c r="Z27" s="1321"/>
      <c r="AA27" s="1322"/>
      <c r="AB27" s="1322"/>
      <c r="AC27" s="1326"/>
      <c r="AD27" s="1326"/>
      <c r="AE27" s="1327"/>
      <c r="AF27" s="2665"/>
      <c r="AG27" s="2666"/>
      <c r="AH27" s="2666"/>
      <c r="AI27" s="8658"/>
      <c r="AJ27" s="2666"/>
      <c r="AK27" s="2666"/>
      <c r="AL27" s="2131"/>
      <c r="AM27" s="1968"/>
      <c r="AN27" s="1968"/>
      <c r="AO27" s="1968"/>
      <c r="AP27" s="1968"/>
      <c r="AQ27" s="1968"/>
      <c r="AR27" s="1968"/>
      <c r="AS27" s="1968"/>
      <c r="AT27" s="1968"/>
      <c r="AU27" s="1968"/>
      <c r="AV27" s="1968"/>
      <c r="AW27" s="1968"/>
      <c r="AX27" s="1968"/>
      <c r="AY27" s="1968"/>
      <c r="AZ27" s="1968"/>
      <c r="BA27" s="1968"/>
      <c r="BB27" s="1968"/>
      <c r="BC27" s="1968"/>
      <c r="BD27" s="1968"/>
      <c r="BE27" s="1968"/>
      <c r="BF27" s="1968"/>
      <c r="BG27" s="7235"/>
    </row>
    <row customHeight="1" ht="11.25">
      <c r="A28" s="1312" t="s">
        <v>1060</v>
      </c>
      <c r="B28" s="1312"/>
      <c r="C28" s="1312"/>
      <c r="D28" s="1306"/>
      <c r="E28" s="1316"/>
      <c r="F28" s="1974"/>
      <c r="G28" s="1975"/>
      <c r="H28" s="2674" t="s">
        <v>398</v>
      </c>
      <c r="I28" s="2675"/>
      <c r="J28" s="8450"/>
      <c r="K28" s="2676"/>
      <c r="L28" s="2266"/>
      <c r="M28" s="2267"/>
      <c r="N28" s="2667"/>
      <c r="O28" s="2668"/>
      <c r="P28" s="2670"/>
      <c r="Q28" s="2672"/>
      <c r="R28" s="2672"/>
      <c r="S28" s="2673"/>
      <c r="T28" s="2672"/>
      <c r="U28" s="2672"/>
      <c r="V28" s="2672"/>
      <c r="W28" s="2672"/>
      <c r="X28" s="2672"/>
      <c r="Y28" s="2672"/>
      <c r="Z28" s="1973"/>
      <c r="AA28" s="1939">
        <v>1</v>
      </c>
      <c r="AB28" s="1325" t="s">
        <v>1106</v>
      </c>
      <c r="AC28" s="1315">
        <v>4568.74</v>
      </c>
      <c r="AD28" s="1325" t="str">
        <f>AB28</f>
        <v>  Прибыль направляемая на инвестиции</v>
      </c>
      <c r="AE28" s="1315">
        <v>7677.16</v>
      </c>
      <c r="AF28" s="2665"/>
      <c r="AG28" s="2666"/>
      <c r="AH28" s="2666"/>
      <c r="AI28" s="8658"/>
      <c r="AJ28" s="2666"/>
      <c r="AK28" s="2666"/>
      <c r="AL28" s="2131"/>
      <c r="AM28" s="1968"/>
      <c r="AN28" s="1968"/>
      <c r="AO28" s="1968"/>
      <c r="AP28" s="1968"/>
      <c r="AQ28" s="1968"/>
      <c r="AR28" s="1968"/>
      <c r="AS28" s="1968"/>
      <c r="AT28" s="1968"/>
      <c r="AU28" s="1968"/>
      <c r="AV28" s="1968"/>
      <c r="AW28" s="1968"/>
      <c r="AX28" s="1968"/>
      <c r="AY28" s="1968"/>
      <c r="AZ28" s="1968"/>
      <c r="BA28" s="1968"/>
      <c r="BB28" s="1968"/>
      <c r="BC28" s="1968"/>
      <c r="BD28" s="1968"/>
      <c r="BE28" s="1968"/>
      <c r="BF28" s="1968"/>
      <c r="BG28" s="7235"/>
    </row>
    <row customHeight="1" ht="11.25">
      <c r="A29" s="1312" t="s">
        <v>1060</v>
      </c>
      <c r="B29" s="1312"/>
      <c r="C29" s="1312"/>
      <c r="D29" s="1306"/>
      <c r="E29" s="1316"/>
      <c r="F29" s="1974"/>
      <c r="G29" s="1975"/>
      <c r="H29" s="2674" t="s">
        <v>398</v>
      </c>
      <c r="I29" s="2675"/>
      <c r="J29" s="8450"/>
      <c r="K29" s="2676"/>
      <c r="L29" s="2266"/>
      <c r="M29" s="2267"/>
      <c r="N29" s="2667"/>
      <c r="O29" s="2668"/>
      <c r="P29" s="2671"/>
      <c r="Q29" s="2672"/>
      <c r="R29" s="2672"/>
      <c r="S29" s="2673"/>
      <c r="T29" s="2672"/>
      <c r="U29" s="2672"/>
      <c r="V29" s="2672"/>
      <c r="W29" s="2672"/>
      <c r="X29" s="2672"/>
      <c r="Y29" s="2672"/>
      <c r="Z29" s="1321"/>
      <c r="AA29" s="1322"/>
      <c r="AB29" s="1387" t="s">
        <v>1107</v>
      </c>
      <c r="AC29" s="1326"/>
      <c r="AD29" s="1326"/>
      <c r="AE29" s="1328"/>
      <c r="AF29" s="2665"/>
      <c r="AG29" s="2666"/>
      <c r="AH29" s="2666"/>
      <c r="AI29" s="8658"/>
      <c r="AJ29" s="2666"/>
      <c r="AK29" s="2666"/>
      <c r="AL29" s="2131"/>
      <c r="AM29" s="1968"/>
      <c r="AN29" s="1968"/>
      <c r="AO29" s="1968"/>
      <c r="AP29" s="1968"/>
      <c r="AQ29" s="1968"/>
      <c r="AR29" s="1968"/>
      <c r="AS29" s="1968"/>
      <c r="AT29" s="1968"/>
      <c r="AU29" s="1968"/>
      <c r="AV29" s="1968"/>
      <c r="AW29" s="1968"/>
      <c r="AX29" s="1968"/>
      <c r="AY29" s="1968"/>
      <c r="AZ29" s="1968"/>
      <c r="BA29" s="1968"/>
      <c r="BB29" s="1968"/>
      <c r="BC29" s="1968"/>
      <c r="BD29" s="1968"/>
      <c r="BE29" s="1968"/>
      <c r="BF29" s="1968"/>
      <c r="BG29" s="7235"/>
    </row>
    <row customHeight="1" ht="11.25">
      <c r="A30" s="1312" t="s">
        <v>1060</v>
      </c>
      <c r="B30" s="1312"/>
      <c r="C30" s="1312"/>
      <c r="D30" s="1306"/>
      <c r="E30" s="1316"/>
      <c r="F30" s="1974"/>
      <c r="G30" s="1975"/>
      <c r="H30" s="2674" t="s">
        <v>398</v>
      </c>
      <c r="I30" s="2675"/>
      <c r="J30" s="8450"/>
      <c r="K30" s="2676"/>
      <c r="L30" s="2266"/>
      <c r="M30" s="2267"/>
      <c r="N30" s="1321"/>
      <c r="O30" s="1322"/>
      <c r="P30" s="1314" t="s">
        <v>1108</v>
      </c>
      <c r="Q30" s="1322"/>
      <c r="R30" s="1322"/>
      <c r="S30" s="1322"/>
      <c r="T30" s="1322"/>
      <c r="U30" s="1322"/>
      <c r="V30" s="1322"/>
      <c r="W30" s="1322"/>
      <c r="X30" s="1322"/>
      <c r="Y30" s="1322"/>
      <c r="Z30" s="1322"/>
      <c r="AA30" s="1322"/>
      <c r="AB30" s="1322"/>
      <c r="AC30" s="1322"/>
      <c r="AD30" s="1322"/>
      <c r="AE30" s="1329"/>
      <c r="AF30" s="2665"/>
      <c r="AG30" s="2666"/>
      <c r="AH30" s="2666"/>
      <c r="AI30" s="8658"/>
      <c r="AJ30" s="2666"/>
      <c r="AK30" s="2666"/>
      <c r="AL30" s="2131"/>
      <c r="AM30" s="1968"/>
      <c r="AN30" s="1968"/>
      <c r="AO30" s="1968"/>
      <c r="AP30" s="1968"/>
      <c r="AQ30" s="1968"/>
      <c r="AR30" s="1968"/>
      <c r="AS30" s="1968"/>
      <c r="AT30" s="1968"/>
      <c r="AU30" s="1968"/>
      <c r="AV30" s="1968"/>
      <c r="AW30" s="1968"/>
      <c r="AX30" s="1968"/>
      <c r="AY30" s="1968"/>
      <c r="AZ30" s="1968"/>
      <c r="BA30" s="1968"/>
      <c r="BB30" s="1968"/>
      <c r="BC30" s="1968"/>
      <c r="BD30" s="1968"/>
      <c r="BE30" s="1968"/>
      <c r="BF30" s="1968"/>
      <c r="BG30" s="7235"/>
    </row>
    <row customHeight="1" ht="12">
      <c r="A31" s="1312" t="s">
        <v>1060</v>
      </c>
      <c r="B31" s="1312"/>
      <c r="C31" s="1312"/>
      <c r="D31" s="1306"/>
      <c r="E31" s="1316"/>
      <c r="F31" s="2696"/>
      <c r="G31" s="1336"/>
      <c r="H31" s="1336"/>
      <c r="I31" s="2694" t="s">
        <v>1100</v>
      </c>
      <c r="J31" s="2694"/>
      <c r="K31" s="2694"/>
      <c r="L31" s="1319"/>
      <c r="M31" s="1319"/>
      <c r="N31" s="1320"/>
      <c r="O31" s="1320"/>
      <c r="P31" s="1320"/>
      <c r="Q31" s="1320"/>
      <c r="R31" s="1320"/>
      <c r="S31" s="1320"/>
      <c r="T31" s="1320"/>
      <c r="U31" s="1320"/>
      <c r="V31" s="1320"/>
      <c r="W31" s="1320"/>
      <c r="X31" s="1320"/>
      <c r="Y31" s="1320"/>
      <c r="Z31" s="1320"/>
      <c r="AA31" s="1320"/>
      <c r="AB31" s="1320"/>
      <c r="AC31" s="1320"/>
      <c r="AD31" s="1320"/>
      <c r="AE31" s="1320"/>
      <c r="AF31" s="1320"/>
      <c r="AG31" s="1319"/>
      <c r="AH31" s="1319"/>
      <c r="AI31" s="1320"/>
      <c r="AJ31" s="1319"/>
      <c r="AK31" s="1320"/>
      <c r="AL31" s="2131"/>
      <c r="AM31" s="1968"/>
      <c r="AN31" s="1968"/>
      <c r="AO31" s="1968"/>
      <c r="AP31" s="1968"/>
      <c r="AQ31" s="1968"/>
      <c r="AR31" s="1968"/>
      <c r="AS31" s="1968"/>
      <c r="AT31" s="1968"/>
      <c r="AU31" s="1968"/>
      <c r="AV31" s="1968"/>
      <c r="AW31" s="1968"/>
      <c r="AX31" s="1968"/>
      <c r="AY31" s="1968"/>
      <c r="AZ31" s="1968"/>
      <c r="BA31" s="1968"/>
      <c r="BB31" s="1968"/>
      <c r="BC31" s="1968"/>
      <c r="BD31" s="1968"/>
      <c r="BE31" s="1968"/>
      <c r="BF31" s="1968"/>
      <c r="BG31" s="7235"/>
    </row>
    <row customHeight="1" ht="0.75">
      <c r="A32" s="1312" t="s">
        <v>1060</v>
      </c>
      <c r="B32" s="1312"/>
      <c r="C32" s="1312"/>
      <c r="D32" s="1306"/>
      <c r="E32" s="1316"/>
      <c r="F32" s="2695">
        <v>2021</v>
      </c>
      <c r="G32" s="2674"/>
      <c r="H32" s="2699" t="s">
        <v>398</v>
      </c>
      <c r="I32" s="2700"/>
      <c r="J32" s="2701"/>
      <c r="K32" s="2701"/>
      <c r="L32" s="2693"/>
      <c r="M32" s="2427"/>
      <c r="N32" s="2179"/>
      <c r="O32" s="2178"/>
      <c r="P32" s="2179"/>
      <c r="Q32" s="2179"/>
      <c r="R32" s="2179"/>
      <c r="S32" s="2179"/>
      <c r="T32" s="2179"/>
      <c r="U32" s="2179"/>
      <c r="V32" s="2179"/>
      <c r="W32" s="2179"/>
      <c r="X32" s="2179"/>
      <c r="Y32" s="2179"/>
      <c r="Z32" s="2179"/>
      <c r="AA32" s="2179"/>
      <c r="AB32" s="2179"/>
      <c r="AC32" s="2179"/>
      <c r="AD32" s="2179"/>
      <c r="AE32" s="2179"/>
      <c r="AF32" s="2697"/>
      <c r="AG32" s="2693"/>
      <c r="AH32" s="2693"/>
      <c r="AI32" s="2697"/>
      <c r="AJ32" s="2693"/>
      <c r="AK32" s="2693"/>
      <c r="AL32" s="2131"/>
      <c r="AM32" s="1968"/>
      <c r="AN32" s="1968"/>
      <c r="AO32" s="1968"/>
      <c r="AP32" s="1968"/>
      <c r="AQ32" s="1968"/>
      <c r="AR32" s="1968"/>
      <c r="AS32" s="1968"/>
      <c r="AT32" s="1968"/>
      <c r="AU32" s="1968"/>
      <c r="AV32" s="1968"/>
      <c r="AW32" s="1968"/>
      <c r="AX32" s="1968"/>
      <c r="AY32" s="1968"/>
      <c r="AZ32" s="1968"/>
      <c r="BA32" s="1968"/>
      <c r="BB32" s="1968"/>
      <c r="BC32" s="1968"/>
      <c r="BD32" s="1968"/>
      <c r="BE32" s="1968"/>
      <c r="BF32" s="1968"/>
      <c r="BG32" s="7235"/>
    </row>
    <row customHeight="1" ht="0.75">
      <c r="A33" s="1312" t="s">
        <v>1060</v>
      </c>
      <c r="B33" s="1312"/>
      <c r="C33" s="1312"/>
      <c r="D33" s="1306"/>
      <c r="E33" s="1316"/>
      <c r="F33" s="2695"/>
      <c r="G33" s="2674"/>
      <c r="H33" s="2699"/>
      <c r="I33" s="2700"/>
      <c r="J33" s="2701"/>
      <c r="K33" s="2701"/>
      <c r="L33" s="2693"/>
      <c r="M33" s="2427"/>
      <c r="N33" s="2702"/>
      <c r="O33" s="2703"/>
      <c r="P33" s="2747"/>
      <c r="Q33" s="2698"/>
      <c r="R33" s="2698"/>
      <c r="S33" s="2698"/>
      <c r="T33" s="2698"/>
      <c r="U33" s="2698"/>
      <c r="V33" s="2698"/>
      <c r="W33" s="2698"/>
      <c r="X33" s="2698"/>
      <c r="Y33" s="2698"/>
      <c r="Z33" s="2180"/>
      <c r="AA33" s="2181"/>
      <c r="AB33" s="2181"/>
      <c r="AC33" s="2182"/>
      <c r="AD33" s="2182"/>
      <c r="AE33" s="2183"/>
      <c r="AF33" s="2697"/>
      <c r="AG33" s="2693"/>
      <c r="AH33" s="2693"/>
      <c r="AI33" s="2697"/>
      <c r="AJ33" s="2693"/>
      <c r="AK33" s="2693"/>
      <c r="AL33" s="2131"/>
      <c r="AM33" s="1968"/>
      <c r="AN33" s="1968"/>
      <c r="AO33" s="1968"/>
      <c r="AP33" s="1968"/>
      <c r="AQ33" s="1968"/>
      <c r="AR33" s="1968"/>
      <c r="AS33" s="1968"/>
      <c r="AT33" s="1968"/>
      <c r="AU33" s="1968"/>
      <c r="AV33" s="1968"/>
      <c r="AW33" s="1968"/>
      <c r="AX33" s="1968"/>
      <c r="AY33" s="1968"/>
      <c r="AZ33" s="1968"/>
      <c r="BA33" s="1968"/>
      <c r="BB33" s="1968"/>
      <c r="BC33" s="1968"/>
      <c r="BD33" s="1968"/>
      <c r="BE33" s="1968"/>
      <c r="BF33" s="1968"/>
      <c r="BG33" s="7235"/>
    </row>
    <row customHeight="1" ht="0.75">
      <c r="A34" s="1312" t="s">
        <v>1060</v>
      </c>
      <c r="B34" s="1312"/>
      <c r="C34" s="1312"/>
      <c r="D34" s="1306"/>
      <c r="E34" s="1316"/>
      <c r="F34" s="2695"/>
      <c r="G34" s="2674"/>
      <c r="H34" s="2699"/>
      <c r="I34" s="2700"/>
      <c r="J34" s="2701"/>
      <c r="K34" s="2701"/>
      <c r="L34" s="2693"/>
      <c r="M34" s="2427"/>
      <c r="N34" s="2702"/>
      <c r="O34" s="2703"/>
      <c r="P34" s="2748"/>
      <c r="Q34" s="2698"/>
      <c r="R34" s="2698"/>
      <c r="S34" s="2698"/>
      <c r="T34" s="2698"/>
      <c r="U34" s="2698"/>
      <c r="V34" s="2698"/>
      <c r="W34" s="2698"/>
      <c r="X34" s="2698"/>
      <c r="Y34" s="2698"/>
      <c r="Z34" s="2184"/>
      <c r="AA34" s="2185"/>
      <c r="AB34" s="2186"/>
      <c r="AC34" s="2187"/>
      <c r="AD34" s="2186"/>
      <c r="AE34" s="2187"/>
      <c r="AF34" s="2697"/>
      <c r="AG34" s="2693"/>
      <c r="AH34" s="2693"/>
      <c r="AI34" s="2697"/>
      <c r="AJ34" s="2693"/>
      <c r="AK34" s="2693"/>
      <c r="AL34" s="2131"/>
      <c r="AM34" s="1968"/>
      <c r="AN34" s="1968"/>
      <c r="AO34" s="1968"/>
      <c r="AP34" s="1968"/>
      <c r="AQ34" s="1968"/>
      <c r="AR34" s="1968"/>
      <c r="AS34" s="1968"/>
      <c r="AT34" s="1968"/>
      <c r="AU34" s="1968"/>
      <c r="AV34" s="1968"/>
      <c r="AW34" s="1968"/>
      <c r="AX34" s="1968"/>
      <c r="AY34" s="1968"/>
      <c r="AZ34" s="1968"/>
      <c r="BA34" s="1968"/>
      <c r="BB34" s="1968"/>
      <c r="BC34" s="1968"/>
      <c r="BD34" s="1968"/>
      <c r="BE34" s="1968"/>
      <c r="BF34" s="1968"/>
      <c r="BG34" s="7235"/>
    </row>
    <row customHeight="1" ht="0.75">
      <c r="A35" s="1312" t="s">
        <v>1060</v>
      </c>
      <c r="B35" s="1312"/>
      <c r="C35" s="1312"/>
      <c r="D35" s="1306"/>
      <c r="E35" s="1316"/>
      <c r="F35" s="2695"/>
      <c r="G35" s="2674"/>
      <c r="H35" s="2699"/>
      <c r="I35" s="2700"/>
      <c r="J35" s="2701"/>
      <c r="K35" s="2701"/>
      <c r="L35" s="2693"/>
      <c r="M35" s="2427"/>
      <c r="N35" s="2702"/>
      <c r="O35" s="2703"/>
      <c r="P35" s="2749"/>
      <c r="Q35" s="2698"/>
      <c r="R35" s="2698"/>
      <c r="S35" s="2698"/>
      <c r="T35" s="2698"/>
      <c r="U35" s="2698"/>
      <c r="V35" s="2698"/>
      <c r="W35" s="2698"/>
      <c r="X35" s="2698"/>
      <c r="Y35" s="2698"/>
      <c r="Z35" s="2180"/>
      <c r="AA35" s="2181"/>
      <c r="AB35" s="2188"/>
      <c r="AC35" s="2182"/>
      <c r="AD35" s="2182"/>
      <c r="AE35" s="2189"/>
      <c r="AF35" s="2697"/>
      <c r="AG35" s="2693"/>
      <c r="AH35" s="2693"/>
      <c r="AI35" s="2697"/>
      <c r="AJ35" s="2693"/>
      <c r="AK35" s="2693"/>
      <c r="AL35" s="2131"/>
      <c r="AM35" s="1968"/>
      <c r="AN35" s="1968"/>
      <c r="AO35" s="1968"/>
      <c r="AP35" s="1968"/>
      <c r="AQ35" s="1968"/>
      <c r="AR35" s="1968"/>
      <c r="AS35" s="1968"/>
      <c r="AT35" s="1968"/>
      <c r="AU35" s="1968"/>
      <c r="AV35" s="1968"/>
      <c r="AW35" s="1968"/>
      <c r="AX35" s="1968"/>
      <c r="AY35" s="1968"/>
      <c r="AZ35" s="1968"/>
      <c r="BA35" s="1968"/>
      <c r="BB35" s="1968"/>
      <c r="BC35" s="1968"/>
      <c r="BD35" s="1968"/>
      <c r="BE35" s="1968"/>
      <c r="BF35" s="1968"/>
      <c r="BG35" s="7235"/>
    </row>
    <row customHeight="1" ht="0.75">
      <c r="A36" s="1312" t="s">
        <v>1060</v>
      </c>
      <c r="B36" s="1312"/>
      <c r="C36" s="1312"/>
      <c r="D36" s="1306"/>
      <c r="E36" s="1316"/>
      <c r="F36" s="2695"/>
      <c r="G36" s="2674"/>
      <c r="H36" s="2699"/>
      <c r="I36" s="2700"/>
      <c r="J36" s="2701"/>
      <c r="K36" s="2701"/>
      <c r="L36" s="2693"/>
      <c r="M36" s="2427"/>
      <c r="N36" s="2181"/>
      <c r="O36" s="2181"/>
      <c r="P36" s="2188"/>
      <c r="Q36" s="2181"/>
      <c r="R36" s="2181"/>
      <c r="S36" s="2181"/>
      <c r="T36" s="2181"/>
      <c r="U36" s="2181"/>
      <c r="V36" s="2181"/>
      <c r="W36" s="2181"/>
      <c r="X36" s="2181"/>
      <c r="Y36" s="2181"/>
      <c r="Z36" s="2181"/>
      <c r="AA36" s="2181"/>
      <c r="AB36" s="2181"/>
      <c r="AC36" s="2181"/>
      <c r="AD36" s="2181"/>
      <c r="AE36" s="2190"/>
      <c r="AF36" s="2697"/>
      <c r="AG36" s="2693"/>
      <c r="AH36" s="2693"/>
      <c r="AI36" s="2697"/>
      <c r="AJ36" s="2693"/>
      <c r="AK36" s="2693"/>
      <c r="AL36" s="2131"/>
      <c r="AM36" s="1968"/>
      <c r="AN36" s="1968"/>
      <c r="AO36" s="1968"/>
      <c r="AP36" s="1968"/>
      <c r="AQ36" s="1968"/>
      <c r="AR36" s="1968"/>
      <c r="AS36" s="1968"/>
      <c r="AT36" s="1968"/>
      <c r="AU36" s="1968"/>
      <c r="AV36" s="1968"/>
      <c r="AW36" s="1968"/>
      <c r="AX36" s="1968"/>
      <c r="AY36" s="1968"/>
      <c r="AZ36" s="1968"/>
      <c r="BA36" s="1968"/>
      <c r="BB36" s="1968"/>
      <c r="BC36" s="1968"/>
      <c r="BD36" s="1968"/>
      <c r="BE36" s="1968"/>
      <c r="BF36" s="1968"/>
      <c r="BG36" s="7235"/>
    </row>
    <row customHeight="1" ht="11.25">
      <c r="A37" s="1312" t="s">
        <v>1060</v>
      </c>
      <c r="B37" s="1312" t="s">
        <v>22</v>
      </c>
      <c r="C37" s="1312"/>
      <c r="D37" s="1306"/>
      <c r="E37" s="1316"/>
      <c r="F37" s="1974"/>
      <c r="G37" s="7143" t="s">
        <v>106</v>
      </c>
      <c r="H37" s="2674" t="s">
        <v>121</v>
      </c>
      <c r="I37" s="2675" t="s">
        <v>1109</v>
      </c>
      <c r="J37" s="8450" t="s">
        <v>22</v>
      </c>
      <c r="K37" s="2676" t="s">
        <v>1102</v>
      </c>
      <c r="L37" s="2266" t="s">
        <v>19</v>
      </c>
      <c r="M37" s="2267"/>
      <c r="N37" s="2129"/>
      <c r="O37" s="1323" t="s">
        <v>398</v>
      </c>
      <c r="P37" s="1324"/>
      <c r="Q37" s="1324"/>
      <c r="R37" s="1324"/>
      <c r="S37" s="1324"/>
      <c r="T37" s="1324"/>
      <c r="U37" s="1324"/>
      <c r="V37" s="1324"/>
      <c r="W37" s="1324"/>
      <c r="X37" s="1324"/>
      <c r="Y37" s="1324"/>
      <c r="Z37" s="1324"/>
      <c r="AA37" s="1324"/>
      <c r="AB37" s="1324"/>
      <c r="AC37" s="1324"/>
      <c r="AD37" s="1324"/>
      <c r="AE37" s="1324"/>
      <c r="AF37" s="2665">
        <v>2022</v>
      </c>
      <c r="AG37" s="2666" t="s">
        <v>1103</v>
      </c>
      <c r="AH37" s="2666" t="s">
        <v>1104</v>
      </c>
      <c r="AI37" s="8658"/>
      <c r="AJ37" s="2666" t="s">
        <v>1105</v>
      </c>
      <c r="AK37" s="2666" t="s">
        <v>1105</v>
      </c>
      <c r="AL37" s="2131"/>
      <c r="AM37" s="1968"/>
      <c r="AN37" s="1968"/>
      <c r="AO37" s="1968"/>
      <c r="AP37" s="1968"/>
      <c r="AQ37" s="1968"/>
      <c r="AR37" s="1968"/>
      <c r="AS37" s="1968"/>
      <c r="AT37" s="1968"/>
      <c r="AU37" s="1968"/>
      <c r="AV37" s="1968"/>
      <c r="AW37" s="1968"/>
      <c r="AX37" s="1968"/>
      <c r="AY37" s="1968"/>
      <c r="AZ37" s="1968"/>
      <c r="BA37" s="1968"/>
      <c r="BB37" s="1968"/>
      <c r="BC37" s="1968"/>
      <c r="BD37" s="1968"/>
      <c r="BE37" s="1968"/>
      <c r="BF37" s="1968"/>
      <c r="BG37" s="7235"/>
    </row>
    <row customHeight="1" ht="11.25">
      <c r="A38" s="1312" t="s">
        <v>1060</v>
      </c>
      <c r="B38" s="1312"/>
      <c r="C38" s="1312"/>
      <c r="D38" s="1306"/>
      <c r="E38" s="1316"/>
      <c r="F38" s="1974"/>
      <c r="G38" s="1975"/>
      <c r="H38" s="2674" t="s">
        <v>398</v>
      </c>
      <c r="I38" s="2675"/>
      <c r="J38" s="8450"/>
      <c r="K38" s="2676"/>
      <c r="L38" s="2266"/>
      <c r="M38" s="2267"/>
      <c r="N38" s="2667"/>
      <c r="O38" s="2668">
        <v>1</v>
      </c>
      <c r="P38" s="2669" t="s">
        <v>19</v>
      </c>
      <c r="Q38" s="2672" t="s">
        <v>22</v>
      </c>
      <c r="R38" s="2672" t="s">
        <v>22</v>
      </c>
      <c r="S38" s="2672" t="s">
        <v>22</v>
      </c>
      <c r="T38" s="2672" t="s">
        <v>22</v>
      </c>
      <c r="U38" s="2672" t="s">
        <v>22</v>
      </c>
      <c r="V38" s="2672" t="s">
        <v>22</v>
      </c>
      <c r="W38" s="2672" t="s">
        <v>22</v>
      </c>
      <c r="X38" s="2672" t="s">
        <v>22</v>
      </c>
      <c r="Y38" s="2672"/>
      <c r="Z38" s="1321"/>
      <c r="AA38" s="1322"/>
      <c r="AB38" s="1322"/>
      <c r="AC38" s="1326"/>
      <c r="AD38" s="1326"/>
      <c r="AE38" s="1327"/>
      <c r="AF38" s="2665"/>
      <c r="AG38" s="2666"/>
      <c r="AH38" s="2666"/>
      <c r="AI38" s="8658"/>
      <c r="AJ38" s="2666"/>
      <c r="AK38" s="2666"/>
      <c r="AL38" s="2131"/>
      <c r="AM38" s="1968"/>
      <c r="AN38" s="1968"/>
      <c r="AO38" s="1968"/>
      <c r="AP38" s="1968"/>
      <c r="AQ38" s="1968"/>
      <c r="AR38" s="1968"/>
      <c r="AS38" s="1968"/>
      <c r="AT38" s="1968"/>
      <c r="AU38" s="1968"/>
      <c r="AV38" s="1968"/>
      <c r="AW38" s="1968"/>
      <c r="AX38" s="1968"/>
      <c r="AY38" s="1968"/>
      <c r="AZ38" s="1968"/>
      <c r="BA38" s="1968"/>
      <c r="BB38" s="1968"/>
      <c r="BC38" s="1968"/>
      <c r="BD38" s="1968"/>
      <c r="BE38" s="1968"/>
      <c r="BF38" s="1968"/>
      <c r="BG38" s="7235"/>
    </row>
    <row customHeight="1" ht="11.25">
      <c r="A39" s="1312" t="s">
        <v>1060</v>
      </c>
      <c r="B39" s="1312"/>
      <c r="C39" s="1312"/>
      <c r="D39" s="1306"/>
      <c r="E39" s="1316"/>
      <c r="F39" s="1974"/>
      <c r="G39" s="1975"/>
      <c r="H39" s="2674" t="s">
        <v>398</v>
      </c>
      <c r="I39" s="2675"/>
      <c r="J39" s="8450"/>
      <c r="K39" s="2676"/>
      <c r="L39" s="2266"/>
      <c r="M39" s="2267"/>
      <c r="N39" s="2667"/>
      <c r="O39" s="2668"/>
      <c r="P39" s="2670"/>
      <c r="Q39" s="2672"/>
      <c r="R39" s="2672"/>
      <c r="S39" s="2673"/>
      <c r="T39" s="2672"/>
      <c r="U39" s="2672"/>
      <c r="V39" s="2672"/>
      <c r="W39" s="2672"/>
      <c r="X39" s="2672"/>
      <c r="Y39" s="2672"/>
      <c r="Z39" s="1973"/>
      <c r="AA39" s="1939">
        <v>1</v>
      </c>
      <c r="AB39" s="1325" t="s">
        <v>1106</v>
      </c>
      <c r="AC39" s="1315">
        <v>0</v>
      </c>
      <c r="AD39" s="1325" t="str">
        <f>AB39</f>
        <v>  Прибыль направляемая на инвестиции</v>
      </c>
      <c r="AE39" s="1315">
        <v>210.85</v>
      </c>
      <c r="AF39" s="2665"/>
      <c r="AG39" s="2666"/>
      <c r="AH39" s="2666"/>
      <c r="AI39" s="8658"/>
      <c r="AJ39" s="2666"/>
      <c r="AK39" s="2666"/>
      <c r="AL39" s="2131"/>
      <c r="AM39" s="1968"/>
      <c r="AN39" s="1968"/>
      <c r="AO39" s="1968"/>
      <c r="AP39" s="1968"/>
      <c r="AQ39" s="1968"/>
      <c r="AR39" s="1968"/>
      <c r="AS39" s="1968"/>
      <c r="AT39" s="1968"/>
      <c r="AU39" s="1968"/>
      <c r="AV39" s="1968"/>
      <c r="AW39" s="1968"/>
      <c r="AX39" s="1968"/>
      <c r="AY39" s="1968"/>
      <c r="AZ39" s="1968"/>
      <c r="BA39" s="1968"/>
      <c r="BB39" s="1968"/>
      <c r="BC39" s="1968"/>
      <c r="BD39" s="1968"/>
      <c r="BE39" s="1968"/>
      <c r="BF39" s="1968"/>
      <c r="BG39" s="7235"/>
    </row>
    <row customHeight="1" ht="11.25">
      <c r="A40" s="1312" t="s">
        <v>1060</v>
      </c>
      <c r="B40" s="1312"/>
      <c r="C40" s="1312"/>
      <c r="D40" s="1306"/>
      <c r="E40" s="1316"/>
      <c r="F40" s="1974"/>
      <c r="G40" s="1975"/>
      <c r="H40" s="2674" t="s">
        <v>398</v>
      </c>
      <c r="I40" s="2675"/>
      <c r="J40" s="8450"/>
      <c r="K40" s="2676"/>
      <c r="L40" s="2266"/>
      <c r="M40" s="2267"/>
      <c r="N40" s="2667"/>
      <c r="O40" s="2668"/>
      <c r="P40" s="2671"/>
      <c r="Q40" s="2672"/>
      <c r="R40" s="2672"/>
      <c r="S40" s="2673"/>
      <c r="T40" s="2672"/>
      <c r="U40" s="2672"/>
      <c r="V40" s="2672"/>
      <c r="W40" s="2672"/>
      <c r="X40" s="2672"/>
      <c r="Y40" s="2672"/>
      <c r="Z40" s="1321"/>
      <c r="AA40" s="1322"/>
      <c r="AB40" s="1387" t="s">
        <v>1107</v>
      </c>
      <c r="AC40" s="1326"/>
      <c r="AD40" s="1326"/>
      <c r="AE40" s="1328"/>
      <c r="AF40" s="2665"/>
      <c r="AG40" s="2666"/>
      <c r="AH40" s="2666"/>
      <c r="AI40" s="8658"/>
      <c r="AJ40" s="2666"/>
      <c r="AK40" s="2666"/>
      <c r="AL40" s="2131"/>
      <c r="AM40" s="1968"/>
      <c r="AN40" s="1968"/>
      <c r="AO40" s="1968"/>
      <c r="AP40" s="1968"/>
      <c r="AQ40" s="1968"/>
      <c r="AR40" s="1968"/>
      <c r="AS40" s="1968"/>
      <c r="AT40" s="1968"/>
      <c r="AU40" s="1968"/>
      <c r="AV40" s="1968"/>
      <c r="AW40" s="1968"/>
      <c r="AX40" s="1968"/>
      <c r="AY40" s="1968"/>
      <c r="AZ40" s="1968"/>
      <c r="BA40" s="1968"/>
      <c r="BB40" s="1968"/>
      <c r="BC40" s="1968"/>
      <c r="BD40" s="1968"/>
      <c r="BE40" s="1968"/>
      <c r="BF40" s="1968"/>
      <c r="BG40" s="7235"/>
    </row>
    <row customHeight="1" ht="11.25">
      <c r="A41" s="1312" t="s">
        <v>1060</v>
      </c>
      <c r="B41" s="1312"/>
      <c r="C41" s="1312"/>
      <c r="D41" s="1306"/>
      <c r="E41" s="1316"/>
      <c r="F41" s="1974"/>
      <c r="G41" s="1975"/>
      <c r="H41" s="2674" t="s">
        <v>398</v>
      </c>
      <c r="I41" s="2675"/>
      <c r="J41" s="8450"/>
      <c r="K41" s="2676"/>
      <c r="L41" s="2266"/>
      <c r="M41" s="2267"/>
      <c r="N41" s="1321"/>
      <c r="O41" s="1322"/>
      <c r="P41" s="1314" t="s">
        <v>1108</v>
      </c>
      <c r="Q41" s="1322"/>
      <c r="R41" s="1322"/>
      <c r="S41" s="1322"/>
      <c r="T41" s="1322"/>
      <c r="U41" s="1322"/>
      <c r="V41" s="1322"/>
      <c r="W41" s="1322"/>
      <c r="X41" s="1322"/>
      <c r="Y41" s="1322"/>
      <c r="Z41" s="1322"/>
      <c r="AA41" s="1322"/>
      <c r="AB41" s="1322"/>
      <c r="AC41" s="1322"/>
      <c r="AD41" s="1322"/>
      <c r="AE41" s="1329"/>
      <c r="AF41" s="2665"/>
      <c r="AG41" s="2666"/>
      <c r="AH41" s="2666"/>
      <c r="AI41" s="8658"/>
      <c r="AJ41" s="2666"/>
      <c r="AK41" s="2666"/>
      <c r="AL41" s="2131"/>
      <c r="AM41" s="1968"/>
      <c r="AN41" s="1968"/>
      <c r="AO41" s="1968"/>
      <c r="AP41" s="1968"/>
      <c r="AQ41" s="1968"/>
      <c r="AR41" s="1968"/>
      <c r="AS41" s="1968"/>
      <c r="AT41" s="1968"/>
      <c r="AU41" s="1968"/>
      <c r="AV41" s="1968"/>
      <c r="AW41" s="1968"/>
      <c r="AX41" s="1968"/>
      <c r="AY41" s="1968"/>
      <c r="AZ41" s="1968"/>
      <c r="BA41" s="1968"/>
      <c r="BB41" s="1968"/>
      <c r="BC41" s="1968"/>
      <c r="BD41" s="1968"/>
      <c r="BE41" s="1968"/>
      <c r="BF41" s="1968"/>
      <c r="BG41" s="7235"/>
    </row>
    <row customHeight="1" ht="11.25">
      <c r="A42" s="1312" t="s">
        <v>1060</v>
      </c>
      <c r="B42" s="1312" t="s">
        <v>22</v>
      </c>
      <c r="C42" s="1312"/>
      <c r="D42" s="1306"/>
      <c r="E42" s="1316"/>
      <c r="F42" s="1974"/>
      <c r="G42" s="7143" t="s">
        <v>106</v>
      </c>
      <c r="H42" s="2674" t="s">
        <v>105</v>
      </c>
      <c r="I42" s="2675" t="s">
        <v>1101</v>
      </c>
      <c r="J42" s="8450" t="s">
        <v>22</v>
      </c>
      <c r="K42" s="2676" t="s">
        <v>1110</v>
      </c>
      <c r="L42" s="2266" t="s">
        <v>19</v>
      </c>
      <c r="M42" s="2267"/>
      <c r="N42" s="2129"/>
      <c r="O42" s="1323" t="s">
        <v>398</v>
      </c>
      <c r="P42" s="1324"/>
      <c r="Q42" s="1324"/>
      <c r="R42" s="1324"/>
      <c r="S42" s="1324"/>
      <c r="T42" s="1324"/>
      <c r="U42" s="1324"/>
      <c r="V42" s="1324"/>
      <c r="W42" s="1324"/>
      <c r="X42" s="1324"/>
      <c r="Y42" s="1324"/>
      <c r="Z42" s="1324"/>
      <c r="AA42" s="1324"/>
      <c r="AB42" s="1324"/>
      <c r="AC42" s="1324"/>
      <c r="AD42" s="1324"/>
      <c r="AE42" s="1324"/>
      <c r="AF42" s="2665">
        <v>2021</v>
      </c>
      <c r="AG42" s="2666" t="s">
        <v>1103</v>
      </c>
      <c r="AH42" s="2666" t="s">
        <v>1111</v>
      </c>
      <c r="AI42" s="2665">
        <v>2021</v>
      </c>
      <c r="AJ42" s="2666" t="s">
        <v>1103</v>
      </c>
      <c r="AK42" s="2666" t="s">
        <v>1111</v>
      </c>
      <c r="AL42" s="2131"/>
      <c r="AM42" s="1968"/>
      <c r="AN42" s="1968"/>
      <c r="AO42" s="1968"/>
      <c r="AP42" s="1968"/>
      <c r="AQ42" s="1968"/>
      <c r="AR42" s="1968"/>
      <c r="AS42" s="1968"/>
      <c r="AT42" s="1968"/>
      <c r="AU42" s="1968"/>
      <c r="AV42" s="1968"/>
      <c r="AW42" s="1968"/>
      <c r="AX42" s="1968"/>
      <c r="AY42" s="1968"/>
      <c r="AZ42" s="1968"/>
      <c r="BA42" s="1968"/>
      <c r="BB42" s="1968"/>
      <c r="BC42" s="1968"/>
      <c r="BD42" s="1968"/>
      <c r="BE42" s="1968"/>
      <c r="BF42" s="1968"/>
      <c r="BG42" s="7235"/>
    </row>
    <row customHeight="1" ht="11.25">
      <c r="A43" s="1312" t="s">
        <v>1060</v>
      </c>
      <c r="B43" s="1312"/>
      <c r="C43" s="1312"/>
      <c r="D43" s="1306"/>
      <c r="E43" s="1316"/>
      <c r="F43" s="1974"/>
      <c r="G43" s="1975"/>
      <c r="H43" s="2674" t="s">
        <v>121</v>
      </c>
      <c r="I43" s="2675"/>
      <c r="J43" s="8450"/>
      <c r="K43" s="2676"/>
      <c r="L43" s="2266"/>
      <c r="M43" s="2267"/>
      <c r="N43" s="2667"/>
      <c r="O43" s="2668">
        <v>1</v>
      </c>
      <c r="P43" s="2669" t="s">
        <v>19</v>
      </c>
      <c r="Q43" s="2672" t="s">
        <v>22</v>
      </c>
      <c r="R43" s="2672" t="s">
        <v>22</v>
      </c>
      <c r="S43" s="2672" t="s">
        <v>22</v>
      </c>
      <c r="T43" s="2672" t="s">
        <v>22</v>
      </c>
      <c r="U43" s="2672" t="s">
        <v>22</v>
      </c>
      <c r="V43" s="2672" t="s">
        <v>22</v>
      </c>
      <c r="W43" s="2672" t="s">
        <v>22</v>
      </c>
      <c r="X43" s="2672" t="s">
        <v>22</v>
      </c>
      <c r="Y43" s="2672"/>
      <c r="Z43" s="1321"/>
      <c r="AA43" s="1322"/>
      <c r="AB43" s="1322"/>
      <c r="AC43" s="1326"/>
      <c r="AD43" s="1326"/>
      <c r="AE43" s="1327"/>
      <c r="AF43" s="2665"/>
      <c r="AG43" s="2666"/>
      <c r="AH43" s="2666"/>
      <c r="AI43" s="2665"/>
      <c r="AJ43" s="2666"/>
      <c r="AK43" s="2666"/>
      <c r="AL43" s="2131"/>
      <c r="AM43" s="1968"/>
      <c r="AN43" s="1968"/>
      <c r="AO43" s="1968"/>
      <c r="AP43" s="1968"/>
      <c r="AQ43" s="1968"/>
      <c r="AR43" s="1968"/>
      <c r="AS43" s="1968"/>
      <c r="AT43" s="1968"/>
      <c r="AU43" s="1968"/>
      <c r="AV43" s="1968"/>
      <c r="AW43" s="1968"/>
      <c r="AX43" s="1968"/>
      <c r="AY43" s="1968"/>
      <c r="AZ43" s="1968"/>
      <c r="BA43" s="1968"/>
      <c r="BB43" s="1968"/>
      <c r="BC43" s="1968"/>
      <c r="BD43" s="1968"/>
      <c r="BE43" s="1968"/>
      <c r="BF43" s="1968"/>
      <c r="BG43" s="7235"/>
    </row>
    <row customHeight="1" ht="11.25">
      <c r="A44" s="1312" t="s">
        <v>1060</v>
      </c>
      <c r="B44" s="1312"/>
      <c r="C44" s="1312"/>
      <c r="D44" s="1306"/>
      <c r="E44" s="1316"/>
      <c r="F44" s="1974"/>
      <c r="G44" s="1975"/>
      <c r="H44" s="2674" t="s">
        <v>121</v>
      </c>
      <c r="I44" s="2675"/>
      <c r="J44" s="8450"/>
      <c r="K44" s="2676"/>
      <c r="L44" s="2266"/>
      <c r="M44" s="2267"/>
      <c r="N44" s="2667"/>
      <c r="O44" s="2668"/>
      <c r="P44" s="2670"/>
      <c r="Q44" s="2672"/>
      <c r="R44" s="2672"/>
      <c r="S44" s="2673"/>
      <c r="T44" s="2672"/>
      <c r="U44" s="2672"/>
      <c r="V44" s="2672"/>
      <c r="W44" s="2672"/>
      <c r="X44" s="2672"/>
      <c r="Y44" s="2672"/>
      <c r="Z44" s="1973"/>
      <c r="AA44" s="1939">
        <v>1</v>
      </c>
      <c r="AB44" s="1325" t="s">
        <v>1106</v>
      </c>
      <c r="AC44" s="1315">
        <v>8745.9</v>
      </c>
      <c r="AD44" s="1325" t="str">
        <f>AB44</f>
        <v>  Прибыль направляемая на инвестиции</v>
      </c>
      <c r="AE44" s="1315">
        <v>9495.04</v>
      </c>
      <c r="AF44" s="2665"/>
      <c r="AG44" s="2666"/>
      <c r="AH44" s="2666"/>
      <c r="AI44" s="2665"/>
      <c r="AJ44" s="2666"/>
      <c r="AK44" s="2666"/>
      <c r="AL44" s="2131"/>
      <c r="AM44" s="1968"/>
      <c r="AN44" s="1968"/>
      <c r="AO44" s="1968"/>
      <c r="AP44" s="1968"/>
      <c r="AQ44" s="1968"/>
      <c r="AR44" s="1968"/>
      <c r="AS44" s="1968"/>
      <c r="AT44" s="1968"/>
      <c r="AU44" s="1968"/>
      <c r="AV44" s="1968"/>
      <c r="AW44" s="1968"/>
      <c r="AX44" s="1968"/>
      <c r="AY44" s="1968"/>
      <c r="AZ44" s="1968"/>
      <c r="BA44" s="1968"/>
      <c r="BB44" s="1968"/>
      <c r="BC44" s="1968"/>
      <c r="BD44" s="1968"/>
      <c r="BE44" s="1968"/>
      <c r="BF44" s="1968"/>
      <c r="BG44" s="7235"/>
    </row>
    <row customHeight="1" ht="11.25">
      <c r="A45" s="1312" t="s">
        <v>1060</v>
      </c>
      <c r="B45" s="1312"/>
      <c r="C45" s="1312"/>
      <c r="D45" s="1306"/>
      <c r="E45" s="1316"/>
      <c r="F45" s="1974"/>
      <c r="G45" s="1975"/>
      <c r="H45" s="2674" t="s">
        <v>121</v>
      </c>
      <c r="I45" s="2675"/>
      <c r="J45" s="8450"/>
      <c r="K45" s="2676"/>
      <c r="L45" s="2266"/>
      <c r="M45" s="2267"/>
      <c r="N45" s="2667"/>
      <c r="O45" s="2668"/>
      <c r="P45" s="2671"/>
      <c r="Q45" s="2672"/>
      <c r="R45" s="2672"/>
      <c r="S45" s="2673"/>
      <c r="T45" s="2672"/>
      <c r="U45" s="2672"/>
      <c r="V45" s="2672"/>
      <c r="W45" s="2672"/>
      <c r="X45" s="2672"/>
      <c r="Y45" s="2672"/>
      <c r="Z45" s="1321"/>
      <c r="AA45" s="1322"/>
      <c r="AB45" s="1387" t="s">
        <v>1107</v>
      </c>
      <c r="AC45" s="1326"/>
      <c r="AD45" s="1326"/>
      <c r="AE45" s="1328"/>
      <c r="AF45" s="2665"/>
      <c r="AG45" s="2666"/>
      <c r="AH45" s="2666"/>
      <c r="AI45" s="2665"/>
      <c r="AJ45" s="2666"/>
      <c r="AK45" s="2666"/>
      <c r="AL45" s="2131"/>
      <c r="AM45" s="1968"/>
      <c r="AN45" s="1968"/>
      <c r="AO45" s="1968"/>
      <c r="AP45" s="1968"/>
      <c r="AQ45" s="1968"/>
      <c r="AR45" s="1968"/>
      <c r="AS45" s="1968"/>
      <c r="AT45" s="1968"/>
      <c r="AU45" s="1968"/>
      <c r="AV45" s="1968"/>
      <c r="AW45" s="1968"/>
      <c r="AX45" s="1968"/>
      <c r="AY45" s="1968"/>
      <c r="AZ45" s="1968"/>
      <c r="BA45" s="1968"/>
      <c r="BB45" s="1968"/>
      <c r="BC45" s="1968"/>
      <c r="BD45" s="1968"/>
      <c r="BE45" s="1968"/>
      <c r="BF45" s="1968"/>
      <c r="BG45" s="7235"/>
    </row>
    <row customHeight="1" ht="11.25">
      <c r="A46" s="1312" t="s">
        <v>1060</v>
      </c>
      <c r="B46" s="1312"/>
      <c r="C46" s="1312"/>
      <c r="D46" s="1306"/>
      <c r="E46" s="1316"/>
      <c r="F46" s="1974"/>
      <c r="G46" s="1975"/>
      <c r="H46" s="2674" t="s">
        <v>121</v>
      </c>
      <c r="I46" s="2675"/>
      <c r="J46" s="8450"/>
      <c r="K46" s="2676"/>
      <c r="L46" s="2266"/>
      <c r="M46" s="2267"/>
      <c r="N46" s="1321"/>
      <c r="O46" s="1322"/>
      <c r="P46" s="1314" t="s">
        <v>1108</v>
      </c>
      <c r="Q46" s="1322"/>
      <c r="R46" s="1322"/>
      <c r="S46" s="1322"/>
      <c r="T46" s="1322"/>
      <c r="U46" s="1322"/>
      <c r="V46" s="1322"/>
      <c r="W46" s="1322"/>
      <c r="X46" s="1322"/>
      <c r="Y46" s="1322"/>
      <c r="Z46" s="1322"/>
      <c r="AA46" s="1322"/>
      <c r="AB46" s="1322"/>
      <c r="AC46" s="1322"/>
      <c r="AD46" s="1322"/>
      <c r="AE46" s="1329"/>
      <c r="AF46" s="2665"/>
      <c r="AG46" s="2666"/>
      <c r="AH46" s="2666"/>
      <c r="AI46" s="2665"/>
      <c r="AJ46" s="2666"/>
      <c r="AK46" s="2666"/>
      <c r="AL46" s="2131"/>
      <c r="AM46" s="1968"/>
      <c r="AN46" s="1968"/>
      <c r="AO46" s="1968"/>
      <c r="AP46" s="1968"/>
      <c r="AQ46" s="1968"/>
      <c r="AR46" s="1968"/>
      <c r="AS46" s="1968"/>
      <c r="AT46" s="1968"/>
      <c r="AU46" s="1968"/>
      <c r="AV46" s="1968"/>
      <c r="AW46" s="1968"/>
      <c r="AX46" s="1968"/>
      <c r="AY46" s="1968"/>
      <c r="AZ46" s="1968"/>
      <c r="BA46" s="1968"/>
      <c r="BB46" s="1968"/>
      <c r="BC46" s="1968"/>
      <c r="BD46" s="1968"/>
      <c r="BE46" s="1968"/>
      <c r="BF46" s="1968"/>
      <c r="BG46" s="7235"/>
    </row>
    <row customHeight="1" ht="11.25">
      <c r="A47" s="1312" t="s">
        <v>1060</v>
      </c>
      <c r="B47" s="1312" t="s">
        <v>22</v>
      </c>
      <c r="C47" s="1312"/>
      <c r="D47" s="1306"/>
      <c r="E47" s="1316"/>
      <c r="F47" s="1974"/>
      <c r="G47" s="7143" t="s">
        <v>106</v>
      </c>
      <c r="H47" s="2674" t="s">
        <v>91</v>
      </c>
      <c r="I47" s="2675" t="s">
        <v>1101</v>
      </c>
      <c r="J47" s="8450" t="s">
        <v>22</v>
      </c>
      <c r="K47" s="2676" t="s">
        <v>1112</v>
      </c>
      <c r="L47" s="2266" t="s">
        <v>19</v>
      </c>
      <c r="M47" s="2267"/>
      <c r="N47" s="2129"/>
      <c r="O47" s="1323" t="s">
        <v>398</v>
      </c>
      <c r="P47" s="1324"/>
      <c r="Q47" s="1324"/>
      <c r="R47" s="1324"/>
      <c r="S47" s="1324"/>
      <c r="T47" s="1324"/>
      <c r="U47" s="1324"/>
      <c r="V47" s="1324"/>
      <c r="W47" s="1324"/>
      <c r="X47" s="1324"/>
      <c r="Y47" s="1324"/>
      <c r="Z47" s="1324"/>
      <c r="AA47" s="1324"/>
      <c r="AB47" s="1324"/>
      <c r="AC47" s="1324"/>
      <c r="AD47" s="1324"/>
      <c r="AE47" s="1324"/>
      <c r="AF47" s="2665">
        <v>2021</v>
      </c>
      <c r="AG47" s="2666" t="s">
        <v>1103</v>
      </c>
      <c r="AH47" s="2666" t="s">
        <v>1111</v>
      </c>
      <c r="AI47" s="2665">
        <v>2021</v>
      </c>
      <c r="AJ47" s="2666" t="s">
        <v>1103</v>
      </c>
      <c r="AK47" s="2666" t="s">
        <v>1111</v>
      </c>
      <c r="AL47" s="2131"/>
      <c r="AM47" s="1968"/>
      <c r="AN47" s="1968"/>
      <c r="AO47" s="1968"/>
      <c r="AP47" s="1968"/>
      <c r="AQ47" s="1968"/>
      <c r="AR47" s="1968"/>
      <c r="AS47" s="1968"/>
      <c r="AT47" s="1968"/>
      <c r="AU47" s="1968"/>
      <c r="AV47" s="1968"/>
      <c r="AW47" s="1968"/>
      <c r="AX47" s="1968"/>
      <c r="AY47" s="1968"/>
      <c r="AZ47" s="1968"/>
      <c r="BA47" s="1968"/>
      <c r="BB47" s="1968"/>
      <c r="BC47" s="1968"/>
      <c r="BD47" s="1968"/>
      <c r="BE47" s="1968"/>
      <c r="BF47" s="1968"/>
      <c r="BG47" s="7235"/>
    </row>
    <row customHeight="1" ht="11.25">
      <c r="A48" s="1312" t="s">
        <v>1060</v>
      </c>
      <c r="B48" s="1312"/>
      <c r="C48" s="1312"/>
      <c r="D48" s="1306"/>
      <c r="E48" s="1316"/>
      <c r="F48" s="1974"/>
      <c r="G48" s="1975"/>
      <c r="H48" s="2674" t="s">
        <v>105</v>
      </c>
      <c r="I48" s="2675"/>
      <c r="J48" s="8450"/>
      <c r="K48" s="2676"/>
      <c r="L48" s="2266"/>
      <c r="M48" s="2267"/>
      <c r="N48" s="2667"/>
      <c r="O48" s="2668">
        <v>1</v>
      </c>
      <c r="P48" s="2669" t="s">
        <v>63</v>
      </c>
      <c r="Q48" s="8451" t="s">
        <v>1113</v>
      </c>
      <c r="R48" s="8452" t="s">
        <v>1114</v>
      </c>
      <c r="S48" s="8452" t="s">
        <v>113</v>
      </c>
      <c r="T48" s="8452" t="s">
        <v>113</v>
      </c>
      <c r="U48" s="8452" t="s">
        <v>114</v>
      </c>
      <c r="V48" s="8452" t="s">
        <v>1115</v>
      </c>
      <c r="W48" s="8452" t="s">
        <v>1116</v>
      </c>
      <c r="X48" s="8452" t="s">
        <v>1117</v>
      </c>
      <c r="Y48" s="8452" t="s">
        <v>1118</v>
      </c>
      <c r="Z48" s="1321"/>
      <c r="AA48" s="1322"/>
      <c r="AB48" s="1322"/>
      <c r="AC48" s="1326"/>
      <c r="AD48" s="1326"/>
      <c r="AE48" s="1327"/>
      <c r="AF48" s="2665"/>
      <c r="AG48" s="2666"/>
      <c r="AH48" s="2666"/>
      <c r="AI48" s="2665"/>
      <c r="AJ48" s="2666"/>
      <c r="AK48" s="2666"/>
      <c r="AL48" s="2131"/>
      <c r="AM48" s="1968"/>
      <c r="AN48" s="1968"/>
      <c r="AO48" s="1968"/>
      <c r="AP48" s="1968"/>
      <c r="AQ48" s="1968"/>
      <c r="AR48" s="1968"/>
      <c r="AS48" s="1968"/>
      <c r="AT48" s="1968"/>
      <c r="AU48" s="1968"/>
      <c r="AV48" s="1968"/>
      <c r="AW48" s="1968"/>
      <c r="AX48" s="1968"/>
      <c r="AY48" s="1968"/>
      <c r="AZ48" s="1968"/>
      <c r="BA48" s="1968"/>
      <c r="BB48" s="1968"/>
      <c r="BC48" s="1968"/>
      <c r="BD48" s="1968"/>
      <c r="BE48" s="1968"/>
      <c r="BF48" s="1968"/>
      <c r="BG48" s="7235"/>
    </row>
    <row customHeight="1" ht="11.25">
      <c r="A49" s="1312" t="s">
        <v>1060</v>
      </c>
      <c r="B49" s="1312"/>
      <c r="C49" s="1312"/>
      <c r="D49" s="1306"/>
      <c r="E49" s="1316"/>
      <c r="F49" s="1974"/>
      <c r="G49" s="1975"/>
      <c r="H49" s="2674" t="s">
        <v>105</v>
      </c>
      <c r="I49" s="2675"/>
      <c r="J49" s="8450"/>
      <c r="K49" s="2676"/>
      <c r="L49" s="2266"/>
      <c r="M49" s="2267"/>
      <c r="N49" s="2667"/>
      <c r="O49" s="2668"/>
      <c r="P49" s="2670"/>
      <c r="Q49" s="8451"/>
      <c r="R49" s="2672"/>
      <c r="S49" s="2673"/>
      <c r="T49" s="2672"/>
      <c r="U49" s="2672"/>
      <c r="V49" s="2672"/>
      <c r="W49" s="2672"/>
      <c r="X49" s="2672"/>
      <c r="Y49" s="2672"/>
      <c r="Z49" s="1973"/>
      <c r="AA49" s="1939">
        <v>1</v>
      </c>
      <c r="AB49" s="1325" t="s">
        <v>1106</v>
      </c>
      <c r="AC49" s="1315">
        <v>7231.06</v>
      </c>
      <c r="AD49" s="1325" t="str">
        <f>AB49</f>
        <v>  Прибыль направляемая на инвестиции</v>
      </c>
      <c r="AE49" s="1315">
        <v>7129.53</v>
      </c>
      <c r="AF49" s="2665"/>
      <c r="AG49" s="2666"/>
      <c r="AH49" s="2666"/>
      <c r="AI49" s="2665"/>
      <c r="AJ49" s="2666"/>
      <c r="AK49" s="2666"/>
      <c r="AL49" s="2131"/>
      <c r="AM49" s="1968"/>
      <c r="AN49" s="1968"/>
      <c r="AO49" s="1968"/>
      <c r="AP49" s="1968"/>
      <c r="AQ49" s="1968"/>
      <c r="AR49" s="1968"/>
      <c r="AS49" s="1968"/>
      <c r="AT49" s="1968"/>
      <c r="AU49" s="1968"/>
      <c r="AV49" s="1968"/>
      <c r="AW49" s="1968"/>
      <c r="AX49" s="1968"/>
      <c r="AY49" s="1968"/>
      <c r="AZ49" s="1968"/>
      <c r="BA49" s="1968"/>
      <c r="BB49" s="1968"/>
      <c r="BC49" s="1968"/>
      <c r="BD49" s="1968"/>
      <c r="BE49" s="1968"/>
      <c r="BF49" s="1968"/>
      <c r="BG49" s="7235"/>
    </row>
    <row customHeight="1" ht="11.25">
      <c r="A50" s="1312" t="s">
        <v>1060</v>
      </c>
      <c r="B50" s="1312"/>
      <c r="C50" s="1312"/>
      <c r="D50" s="1306"/>
      <c r="E50" s="1316"/>
      <c r="F50" s="1974"/>
      <c r="G50" s="1975"/>
      <c r="H50" s="2674" t="s">
        <v>105</v>
      </c>
      <c r="I50" s="2675"/>
      <c r="J50" s="8450"/>
      <c r="K50" s="2676"/>
      <c r="L50" s="2266"/>
      <c r="M50" s="2267"/>
      <c r="N50" s="2667"/>
      <c r="O50" s="2668"/>
      <c r="P50" s="2671"/>
      <c r="Q50" s="8451"/>
      <c r="R50" s="2672"/>
      <c r="S50" s="2673"/>
      <c r="T50" s="2672"/>
      <c r="U50" s="2672"/>
      <c r="V50" s="2672"/>
      <c r="W50" s="2672"/>
      <c r="X50" s="2672"/>
      <c r="Y50" s="2672"/>
      <c r="Z50" s="1321"/>
      <c r="AA50" s="1322"/>
      <c r="AB50" s="1387" t="s">
        <v>1107</v>
      </c>
      <c r="AC50" s="1326"/>
      <c r="AD50" s="1326"/>
      <c r="AE50" s="1328"/>
      <c r="AF50" s="2665"/>
      <c r="AG50" s="2666"/>
      <c r="AH50" s="2666"/>
      <c r="AI50" s="2665"/>
      <c r="AJ50" s="2666"/>
      <c r="AK50" s="2666"/>
      <c r="AL50" s="2131"/>
      <c r="AM50" s="1968"/>
      <c r="AN50" s="1968"/>
      <c r="AO50" s="1968"/>
      <c r="AP50" s="1968"/>
      <c r="AQ50" s="1968"/>
      <c r="AR50" s="1968"/>
      <c r="AS50" s="1968"/>
      <c r="AT50" s="1968"/>
      <c r="AU50" s="1968"/>
      <c r="AV50" s="1968"/>
      <c r="AW50" s="1968"/>
      <c r="AX50" s="1968"/>
      <c r="AY50" s="1968"/>
      <c r="AZ50" s="1968"/>
      <c r="BA50" s="1968"/>
      <c r="BB50" s="1968"/>
      <c r="BC50" s="1968"/>
      <c r="BD50" s="1968"/>
      <c r="BE50" s="1968"/>
      <c r="BF50" s="1968"/>
      <c r="BG50" s="7235"/>
    </row>
    <row customHeight="1" ht="11.25">
      <c r="A51" s="1312" t="s">
        <v>1060</v>
      </c>
      <c r="B51" s="1312"/>
      <c r="C51" s="1312"/>
      <c r="D51" s="1306"/>
      <c r="E51" s="1316"/>
      <c r="F51" s="1974"/>
      <c r="G51" s="1975"/>
      <c r="H51" s="2674" t="s">
        <v>105</v>
      </c>
      <c r="I51" s="2675"/>
      <c r="J51" s="8450"/>
      <c r="K51" s="2676"/>
      <c r="L51" s="2266"/>
      <c r="M51" s="2267"/>
      <c r="N51" s="1321"/>
      <c r="O51" s="1322"/>
      <c r="P51" s="1314" t="s">
        <v>1108</v>
      </c>
      <c r="Q51" s="1322"/>
      <c r="R51" s="1322"/>
      <c r="S51" s="1322"/>
      <c r="T51" s="1322"/>
      <c r="U51" s="1322"/>
      <c r="V51" s="1322"/>
      <c r="W51" s="1322"/>
      <c r="X51" s="1322"/>
      <c r="Y51" s="1322"/>
      <c r="Z51" s="1322"/>
      <c r="AA51" s="1322"/>
      <c r="AB51" s="1322"/>
      <c r="AC51" s="1322"/>
      <c r="AD51" s="1322"/>
      <c r="AE51" s="1329"/>
      <c r="AF51" s="2665"/>
      <c r="AG51" s="2666"/>
      <c r="AH51" s="2666"/>
      <c r="AI51" s="2665"/>
      <c r="AJ51" s="2666"/>
      <c r="AK51" s="2666"/>
      <c r="AL51" s="2131"/>
      <c r="AM51" s="1968"/>
      <c r="AN51" s="1968"/>
      <c r="AO51" s="1968"/>
      <c r="AP51" s="1968"/>
      <c r="AQ51" s="1968"/>
      <c r="AR51" s="1968"/>
      <c r="AS51" s="1968"/>
      <c r="AT51" s="1968"/>
      <c r="AU51" s="1968"/>
      <c r="AV51" s="1968"/>
      <c r="AW51" s="1968"/>
      <c r="AX51" s="1968"/>
      <c r="AY51" s="1968"/>
      <c r="AZ51" s="1968"/>
      <c r="BA51" s="1968"/>
      <c r="BB51" s="1968"/>
      <c r="BC51" s="1968"/>
      <c r="BD51" s="1968"/>
      <c r="BE51" s="1968"/>
      <c r="BF51" s="1968"/>
      <c r="BG51" s="7235"/>
    </row>
    <row customHeight="1" ht="11.25">
      <c r="A52" s="1312" t="s">
        <v>1060</v>
      </c>
      <c r="B52" s="1312" t="s">
        <v>22</v>
      </c>
      <c r="C52" s="1312"/>
      <c r="D52" s="1306"/>
      <c r="E52" s="1316"/>
      <c r="F52" s="1974"/>
      <c r="G52" s="7143" t="s">
        <v>106</v>
      </c>
      <c r="H52" s="2674" t="s">
        <v>92</v>
      </c>
      <c r="I52" s="2675" t="s">
        <v>1101</v>
      </c>
      <c r="J52" s="8450" t="s">
        <v>22</v>
      </c>
      <c r="K52" s="2676" t="s">
        <v>1119</v>
      </c>
      <c r="L52" s="2266" t="s">
        <v>19</v>
      </c>
      <c r="M52" s="2267"/>
      <c r="N52" s="2129"/>
      <c r="O52" s="1323" t="s">
        <v>398</v>
      </c>
      <c r="P52" s="1324"/>
      <c r="Q52" s="1324"/>
      <c r="R52" s="1324"/>
      <c r="S52" s="1324"/>
      <c r="T52" s="1324"/>
      <c r="U52" s="1324"/>
      <c r="V52" s="1324"/>
      <c r="W52" s="1324"/>
      <c r="X52" s="1324"/>
      <c r="Y52" s="1324"/>
      <c r="Z52" s="1324"/>
      <c r="AA52" s="1324"/>
      <c r="AB52" s="1324"/>
      <c r="AC52" s="1324"/>
      <c r="AD52" s="1324"/>
      <c r="AE52" s="1324"/>
      <c r="AF52" s="2665">
        <v>2021</v>
      </c>
      <c r="AG52" s="2666" t="s">
        <v>1103</v>
      </c>
      <c r="AH52" s="2666" t="s">
        <v>1111</v>
      </c>
      <c r="AI52" s="2665">
        <v>2021</v>
      </c>
      <c r="AJ52" s="2666" t="s">
        <v>1103</v>
      </c>
      <c r="AK52" s="2666" t="s">
        <v>1111</v>
      </c>
      <c r="AL52" s="2131"/>
      <c r="AM52" s="1968"/>
      <c r="AN52" s="1968"/>
      <c r="AO52" s="1968"/>
      <c r="AP52" s="1968"/>
      <c r="AQ52" s="1968"/>
      <c r="AR52" s="1968"/>
      <c r="AS52" s="1968"/>
      <c r="AT52" s="1968"/>
      <c r="AU52" s="1968"/>
      <c r="AV52" s="1968"/>
      <c r="AW52" s="1968"/>
      <c r="AX52" s="1968"/>
      <c r="AY52" s="1968"/>
      <c r="AZ52" s="1968"/>
      <c r="BA52" s="1968"/>
      <c r="BB52" s="1968"/>
      <c r="BC52" s="1968"/>
      <c r="BD52" s="1968"/>
      <c r="BE52" s="1968"/>
      <c r="BF52" s="1968"/>
      <c r="BG52" s="7235"/>
    </row>
    <row customHeight="1" ht="11.25">
      <c r="A53" s="1312" t="s">
        <v>1060</v>
      </c>
      <c r="B53" s="1312"/>
      <c r="C53" s="1312"/>
      <c r="D53" s="1306"/>
      <c r="E53" s="1316"/>
      <c r="F53" s="1974"/>
      <c r="G53" s="1975"/>
      <c r="H53" s="2674" t="s">
        <v>91</v>
      </c>
      <c r="I53" s="2675"/>
      <c r="J53" s="8450"/>
      <c r="K53" s="2676"/>
      <c r="L53" s="2266"/>
      <c r="M53" s="2267"/>
      <c r="N53" s="2667"/>
      <c r="O53" s="2668">
        <v>1</v>
      </c>
      <c r="P53" s="2669" t="s">
        <v>63</v>
      </c>
      <c r="Q53" s="8451" t="s">
        <v>1120</v>
      </c>
      <c r="R53" s="8452" t="s">
        <v>1114</v>
      </c>
      <c r="S53" s="8452" t="s">
        <v>113</v>
      </c>
      <c r="T53" s="8452" t="s">
        <v>113</v>
      </c>
      <c r="U53" s="8452" t="s">
        <v>114</v>
      </c>
      <c r="V53" s="8452" t="s">
        <v>1115</v>
      </c>
      <c r="W53" s="8452" t="s">
        <v>1116</v>
      </c>
      <c r="X53" s="8452" t="s">
        <v>1121</v>
      </c>
      <c r="Y53" s="8452" t="s">
        <v>1122</v>
      </c>
      <c r="Z53" s="1321"/>
      <c r="AA53" s="1322"/>
      <c r="AB53" s="1322"/>
      <c r="AC53" s="1326"/>
      <c r="AD53" s="1326"/>
      <c r="AE53" s="1327"/>
      <c r="AF53" s="2665"/>
      <c r="AG53" s="2666"/>
      <c r="AH53" s="2666"/>
      <c r="AI53" s="2665"/>
      <c r="AJ53" s="2666"/>
      <c r="AK53" s="2666"/>
      <c r="AL53" s="2131"/>
      <c r="AM53" s="1968"/>
      <c r="AN53" s="1968"/>
      <c r="AO53" s="1968"/>
      <c r="AP53" s="1968"/>
      <c r="AQ53" s="1968"/>
      <c r="AR53" s="1968"/>
      <c r="AS53" s="1968"/>
      <c r="AT53" s="1968"/>
      <c r="AU53" s="1968"/>
      <c r="AV53" s="1968"/>
      <c r="AW53" s="1968"/>
      <c r="AX53" s="1968"/>
      <c r="AY53" s="1968"/>
      <c r="AZ53" s="1968"/>
      <c r="BA53" s="1968"/>
      <c r="BB53" s="1968"/>
      <c r="BC53" s="1968"/>
      <c r="BD53" s="1968"/>
      <c r="BE53" s="1968"/>
      <c r="BF53" s="1968"/>
      <c r="BG53" s="7235"/>
    </row>
    <row customHeight="1" ht="11.25">
      <c r="A54" s="1312" t="s">
        <v>1060</v>
      </c>
      <c r="B54" s="1312"/>
      <c r="C54" s="1312"/>
      <c r="D54" s="1306"/>
      <c r="E54" s="1316"/>
      <c r="F54" s="1974"/>
      <c r="G54" s="1975"/>
      <c r="H54" s="2674" t="s">
        <v>91</v>
      </c>
      <c r="I54" s="2675"/>
      <c r="J54" s="8450"/>
      <c r="K54" s="2676"/>
      <c r="L54" s="2266"/>
      <c r="M54" s="2267"/>
      <c r="N54" s="2667"/>
      <c r="O54" s="2668"/>
      <c r="P54" s="2670"/>
      <c r="Q54" s="8451"/>
      <c r="R54" s="2672"/>
      <c r="S54" s="2673"/>
      <c r="T54" s="2672"/>
      <c r="U54" s="2672"/>
      <c r="V54" s="2672"/>
      <c r="W54" s="2672"/>
      <c r="X54" s="2672"/>
      <c r="Y54" s="2672"/>
      <c r="Z54" s="1973"/>
      <c r="AA54" s="1939">
        <v>1</v>
      </c>
      <c r="AB54" s="1325" t="s">
        <v>1106</v>
      </c>
      <c r="AC54" s="1315">
        <v>6495.61</v>
      </c>
      <c r="AD54" s="1325" t="str">
        <f>AB54</f>
        <v>  Прибыль направляемая на инвестиции</v>
      </c>
      <c r="AE54" s="1315">
        <v>5617.77</v>
      </c>
      <c r="AF54" s="2665"/>
      <c r="AG54" s="2666"/>
      <c r="AH54" s="2666"/>
      <c r="AI54" s="2665"/>
      <c r="AJ54" s="2666"/>
      <c r="AK54" s="2666"/>
      <c r="AL54" s="2131"/>
      <c r="AM54" s="1968"/>
      <c r="AN54" s="1968"/>
      <c r="AO54" s="1968"/>
      <c r="AP54" s="1968"/>
      <c r="AQ54" s="1968"/>
      <c r="AR54" s="1968"/>
      <c r="AS54" s="1968"/>
      <c r="AT54" s="1968"/>
      <c r="AU54" s="1968"/>
      <c r="AV54" s="1968"/>
      <c r="AW54" s="1968"/>
      <c r="AX54" s="1968"/>
      <c r="AY54" s="1968"/>
      <c r="AZ54" s="1968"/>
      <c r="BA54" s="1968"/>
      <c r="BB54" s="1968"/>
      <c r="BC54" s="1968"/>
      <c r="BD54" s="1968"/>
      <c r="BE54" s="1968"/>
      <c r="BF54" s="1968"/>
      <c r="BG54" s="7235"/>
    </row>
    <row customHeight="1" ht="11.25">
      <c r="A55" s="1312" t="s">
        <v>1060</v>
      </c>
      <c r="B55" s="1312"/>
      <c r="C55" s="1312"/>
      <c r="D55" s="1306"/>
      <c r="E55" s="1316"/>
      <c r="F55" s="1974"/>
      <c r="G55" s="1975"/>
      <c r="H55" s="2674" t="s">
        <v>91</v>
      </c>
      <c r="I55" s="2675"/>
      <c r="J55" s="8450"/>
      <c r="K55" s="2676"/>
      <c r="L55" s="2266"/>
      <c r="M55" s="2267"/>
      <c r="N55" s="2667"/>
      <c r="O55" s="2668"/>
      <c r="P55" s="2671"/>
      <c r="Q55" s="8451"/>
      <c r="R55" s="2672"/>
      <c r="S55" s="2673"/>
      <c r="T55" s="2672"/>
      <c r="U55" s="2672"/>
      <c r="V55" s="2672"/>
      <c r="W55" s="2672"/>
      <c r="X55" s="2672"/>
      <c r="Y55" s="2672"/>
      <c r="Z55" s="1321"/>
      <c r="AA55" s="1322"/>
      <c r="AB55" s="1387" t="s">
        <v>1107</v>
      </c>
      <c r="AC55" s="1326"/>
      <c r="AD55" s="1326"/>
      <c r="AE55" s="1328"/>
      <c r="AF55" s="2665"/>
      <c r="AG55" s="2666"/>
      <c r="AH55" s="2666"/>
      <c r="AI55" s="2665"/>
      <c r="AJ55" s="2666"/>
      <c r="AK55" s="2666"/>
      <c r="AL55" s="2131"/>
      <c r="AM55" s="1968"/>
      <c r="AN55" s="1968"/>
      <c r="AO55" s="1968"/>
      <c r="AP55" s="1968"/>
      <c r="AQ55" s="1968"/>
      <c r="AR55" s="1968"/>
      <c r="AS55" s="1968"/>
      <c r="AT55" s="1968"/>
      <c r="AU55" s="1968"/>
      <c r="AV55" s="1968"/>
      <c r="AW55" s="1968"/>
      <c r="AX55" s="1968"/>
      <c r="AY55" s="1968"/>
      <c r="AZ55" s="1968"/>
      <c r="BA55" s="1968"/>
      <c r="BB55" s="1968"/>
      <c r="BC55" s="1968"/>
      <c r="BD55" s="1968"/>
      <c r="BE55" s="1968"/>
      <c r="BF55" s="1968"/>
      <c r="BG55" s="7235"/>
    </row>
    <row customHeight="1" ht="11.25">
      <c r="A56" s="1312" t="s">
        <v>1060</v>
      </c>
      <c r="B56" s="1312"/>
      <c r="C56" s="1312"/>
      <c r="D56" s="1306"/>
      <c r="E56" s="1316"/>
      <c r="F56" s="1974"/>
      <c r="G56" s="1975"/>
      <c r="H56" s="2674" t="s">
        <v>91</v>
      </c>
      <c r="I56" s="2675"/>
      <c r="J56" s="8450"/>
      <c r="K56" s="2676"/>
      <c r="L56" s="2266"/>
      <c r="M56" s="2267"/>
      <c r="N56" s="1321"/>
      <c r="O56" s="1322"/>
      <c r="P56" s="1314" t="s">
        <v>1108</v>
      </c>
      <c r="Q56" s="1322"/>
      <c r="R56" s="1322"/>
      <c r="S56" s="1322"/>
      <c r="T56" s="1322"/>
      <c r="U56" s="1322"/>
      <c r="V56" s="1322"/>
      <c r="W56" s="1322"/>
      <c r="X56" s="1322"/>
      <c r="Y56" s="1322"/>
      <c r="Z56" s="1322"/>
      <c r="AA56" s="1322"/>
      <c r="AB56" s="1322"/>
      <c r="AC56" s="1322"/>
      <c r="AD56" s="1322"/>
      <c r="AE56" s="1329"/>
      <c r="AF56" s="2665"/>
      <c r="AG56" s="2666"/>
      <c r="AH56" s="2666"/>
      <c r="AI56" s="2665"/>
      <c r="AJ56" s="2666"/>
      <c r="AK56" s="2666"/>
      <c r="AL56" s="2131"/>
      <c r="AM56" s="1968"/>
      <c r="AN56" s="1968"/>
      <c r="AO56" s="1968"/>
      <c r="AP56" s="1968"/>
      <c r="AQ56" s="1968"/>
      <c r="AR56" s="1968"/>
      <c r="AS56" s="1968"/>
      <c r="AT56" s="1968"/>
      <c r="AU56" s="1968"/>
      <c r="AV56" s="1968"/>
      <c r="AW56" s="1968"/>
      <c r="AX56" s="1968"/>
      <c r="AY56" s="1968"/>
      <c r="AZ56" s="1968"/>
      <c r="BA56" s="1968"/>
      <c r="BB56" s="1968"/>
      <c r="BC56" s="1968"/>
      <c r="BD56" s="1968"/>
      <c r="BE56" s="1968"/>
      <c r="BF56" s="1968"/>
      <c r="BG56" s="7235"/>
    </row>
    <row customHeight="1" ht="11.25">
      <c r="A57" s="1312" t="s">
        <v>1060</v>
      </c>
      <c r="B57" s="1312" t="s">
        <v>22</v>
      </c>
      <c r="C57" s="1312"/>
      <c r="D57" s="1306"/>
      <c r="E57" s="1316"/>
      <c r="F57" s="1974"/>
      <c r="G57" s="7143" t="s">
        <v>106</v>
      </c>
      <c r="H57" s="2674" t="s">
        <v>122</v>
      </c>
      <c r="I57" s="2675" t="s">
        <v>1101</v>
      </c>
      <c r="J57" s="8450" t="s">
        <v>22</v>
      </c>
      <c r="K57" s="2676" t="s">
        <v>1123</v>
      </c>
      <c r="L57" s="2266" t="s">
        <v>19</v>
      </c>
      <c r="M57" s="2267"/>
      <c r="N57" s="2129"/>
      <c r="O57" s="1323" t="s">
        <v>398</v>
      </c>
      <c r="P57" s="1324"/>
      <c r="Q57" s="1324"/>
      <c r="R57" s="1324"/>
      <c r="S57" s="1324"/>
      <c r="T57" s="1324"/>
      <c r="U57" s="1324"/>
      <c r="V57" s="1324"/>
      <c r="W57" s="1324"/>
      <c r="X57" s="1324"/>
      <c r="Y57" s="1324"/>
      <c r="Z57" s="1324"/>
      <c r="AA57" s="1324"/>
      <c r="AB57" s="1324"/>
      <c r="AC57" s="1324"/>
      <c r="AD57" s="1324"/>
      <c r="AE57" s="1324"/>
      <c r="AF57" s="2665">
        <v>2021</v>
      </c>
      <c r="AG57" s="2666" t="s">
        <v>1103</v>
      </c>
      <c r="AH57" s="2666" t="s">
        <v>1111</v>
      </c>
      <c r="AI57" s="2665">
        <v>2021</v>
      </c>
      <c r="AJ57" s="2666" t="s">
        <v>1103</v>
      </c>
      <c r="AK57" s="2666" t="s">
        <v>1111</v>
      </c>
      <c r="AL57" s="2131"/>
      <c r="AM57" s="1968"/>
      <c r="AN57" s="1968"/>
      <c r="AO57" s="1968"/>
      <c r="AP57" s="1968"/>
      <c r="AQ57" s="1968"/>
      <c r="AR57" s="1968"/>
      <c r="AS57" s="1968"/>
      <c r="AT57" s="1968"/>
      <c r="AU57" s="1968"/>
      <c r="AV57" s="1968"/>
      <c r="AW57" s="1968"/>
      <c r="AX57" s="1968"/>
      <c r="AY57" s="1968"/>
      <c r="AZ57" s="1968"/>
      <c r="BA57" s="1968"/>
      <c r="BB57" s="1968"/>
      <c r="BC57" s="1968"/>
      <c r="BD57" s="1968"/>
      <c r="BE57" s="1968"/>
      <c r="BF57" s="1968"/>
      <c r="BG57" s="7235"/>
    </row>
    <row customHeight="1" ht="11.25">
      <c r="A58" s="1312" t="s">
        <v>1060</v>
      </c>
      <c r="B58" s="1312"/>
      <c r="C58" s="1312"/>
      <c r="D58" s="1306"/>
      <c r="E58" s="1316"/>
      <c r="F58" s="1974"/>
      <c r="G58" s="1975"/>
      <c r="H58" s="2674" t="s">
        <v>92</v>
      </c>
      <c r="I58" s="2675"/>
      <c r="J58" s="8450"/>
      <c r="K58" s="2676"/>
      <c r="L58" s="2266"/>
      <c r="M58" s="2267"/>
      <c r="N58" s="2667"/>
      <c r="O58" s="2668">
        <v>1</v>
      </c>
      <c r="P58" s="2669" t="s">
        <v>63</v>
      </c>
      <c r="Q58" s="8451" t="s">
        <v>1124</v>
      </c>
      <c r="R58" s="8452" t="s">
        <v>1114</v>
      </c>
      <c r="S58" s="8452" t="s">
        <v>113</v>
      </c>
      <c r="T58" s="8452" t="s">
        <v>113</v>
      </c>
      <c r="U58" s="8452" t="s">
        <v>114</v>
      </c>
      <c r="V58" s="8452" t="s">
        <v>1115</v>
      </c>
      <c r="W58" s="8452" t="s">
        <v>1116</v>
      </c>
      <c r="X58" s="8452" t="s">
        <v>1125</v>
      </c>
      <c r="Y58" s="8452" t="s">
        <v>1126</v>
      </c>
      <c r="Z58" s="1321"/>
      <c r="AA58" s="1322"/>
      <c r="AB58" s="1322"/>
      <c r="AC58" s="1326"/>
      <c r="AD58" s="1326"/>
      <c r="AE58" s="1327"/>
      <c r="AF58" s="2665"/>
      <c r="AG58" s="2666"/>
      <c r="AH58" s="2666"/>
      <c r="AI58" s="2665"/>
      <c r="AJ58" s="2666"/>
      <c r="AK58" s="2666"/>
      <c r="AL58" s="2131"/>
      <c r="AM58" s="1968"/>
      <c r="AN58" s="1968"/>
      <c r="AO58" s="1968"/>
      <c r="AP58" s="1968"/>
      <c r="AQ58" s="1968"/>
      <c r="AR58" s="1968"/>
      <c r="AS58" s="1968"/>
      <c r="AT58" s="1968"/>
      <c r="AU58" s="1968"/>
      <c r="AV58" s="1968"/>
      <c r="AW58" s="1968"/>
      <c r="AX58" s="1968"/>
      <c r="AY58" s="1968"/>
      <c r="AZ58" s="1968"/>
      <c r="BA58" s="1968"/>
      <c r="BB58" s="1968"/>
      <c r="BC58" s="1968"/>
      <c r="BD58" s="1968"/>
      <c r="BE58" s="1968"/>
      <c r="BF58" s="1968"/>
      <c r="BG58" s="7235"/>
    </row>
    <row customHeight="1" ht="11.25">
      <c r="A59" s="1312" t="s">
        <v>1060</v>
      </c>
      <c r="B59" s="1312"/>
      <c r="C59" s="1312"/>
      <c r="D59" s="1306"/>
      <c r="E59" s="1316"/>
      <c r="F59" s="1974"/>
      <c r="G59" s="1975"/>
      <c r="H59" s="2674" t="s">
        <v>92</v>
      </c>
      <c r="I59" s="2675"/>
      <c r="J59" s="8450"/>
      <c r="K59" s="2676"/>
      <c r="L59" s="2266"/>
      <c r="M59" s="2267"/>
      <c r="N59" s="2667"/>
      <c r="O59" s="2668"/>
      <c r="P59" s="2670"/>
      <c r="Q59" s="8451"/>
      <c r="R59" s="2672"/>
      <c r="S59" s="2673"/>
      <c r="T59" s="2672"/>
      <c r="U59" s="2672"/>
      <c r="V59" s="2672"/>
      <c r="W59" s="2672"/>
      <c r="X59" s="2672"/>
      <c r="Y59" s="2672"/>
      <c r="Z59" s="1973"/>
      <c r="AA59" s="1939">
        <v>1</v>
      </c>
      <c r="AB59" s="1325" t="s">
        <v>1106</v>
      </c>
      <c r="AC59" s="1315">
        <v>6596.64</v>
      </c>
      <c r="AD59" s="1325" t="str">
        <f>AB59</f>
        <v>  Прибыль направляемая на инвестиции</v>
      </c>
      <c r="AE59" s="1315">
        <v>5873.78</v>
      </c>
      <c r="AF59" s="2665"/>
      <c r="AG59" s="2666"/>
      <c r="AH59" s="2666"/>
      <c r="AI59" s="2665"/>
      <c r="AJ59" s="2666"/>
      <c r="AK59" s="2666"/>
      <c r="AL59" s="2131"/>
      <c r="AM59" s="1968"/>
      <c r="AN59" s="1968"/>
      <c r="AO59" s="1968"/>
      <c r="AP59" s="1968"/>
      <c r="AQ59" s="1968"/>
      <c r="AR59" s="1968"/>
      <c r="AS59" s="1968"/>
      <c r="AT59" s="1968"/>
      <c r="AU59" s="1968"/>
      <c r="AV59" s="1968"/>
      <c r="AW59" s="1968"/>
      <c r="AX59" s="1968"/>
      <c r="AY59" s="1968"/>
      <c r="AZ59" s="1968"/>
      <c r="BA59" s="1968"/>
      <c r="BB59" s="1968"/>
      <c r="BC59" s="1968"/>
      <c r="BD59" s="1968"/>
      <c r="BE59" s="1968"/>
      <c r="BF59" s="1968"/>
      <c r="BG59" s="7235"/>
    </row>
    <row customHeight="1" ht="11.25">
      <c r="A60" s="1312" t="s">
        <v>1060</v>
      </c>
      <c r="B60" s="1312"/>
      <c r="C60" s="1312"/>
      <c r="D60" s="1306"/>
      <c r="E60" s="1316"/>
      <c r="F60" s="1974"/>
      <c r="G60" s="1975"/>
      <c r="H60" s="2674" t="s">
        <v>92</v>
      </c>
      <c r="I60" s="2675"/>
      <c r="J60" s="8450"/>
      <c r="K60" s="2676"/>
      <c r="L60" s="2266"/>
      <c r="M60" s="2267"/>
      <c r="N60" s="2667"/>
      <c r="O60" s="2668"/>
      <c r="P60" s="2671"/>
      <c r="Q60" s="8451"/>
      <c r="R60" s="2672"/>
      <c r="S60" s="2673"/>
      <c r="T60" s="2672"/>
      <c r="U60" s="2672"/>
      <c r="V60" s="2672"/>
      <c r="W60" s="2672"/>
      <c r="X60" s="2672"/>
      <c r="Y60" s="2672"/>
      <c r="Z60" s="1321"/>
      <c r="AA60" s="1322"/>
      <c r="AB60" s="1387" t="s">
        <v>1107</v>
      </c>
      <c r="AC60" s="1326"/>
      <c r="AD60" s="1326"/>
      <c r="AE60" s="1328"/>
      <c r="AF60" s="2665"/>
      <c r="AG60" s="2666"/>
      <c r="AH60" s="2666"/>
      <c r="AI60" s="2665"/>
      <c r="AJ60" s="2666"/>
      <c r="AK60" s="2666"/>
      <c r="AL60" s="2131"/>
      <c r="AM60" s="1968"/>
      <c r="AN60" s="1968"/>
      <c r="AO60" s="1968"/>
      <c r="AP60" s="1968"/>
      <c r="AQ60" s="1968"/>
      <c r="AR60" s="1968"/>
      <c r="AS60" s="1968"/>
      <c r="AT60" s="1968"/>
      <c r="AU60" s="1968"/>
      <c r="AV60" s="1968"/>
      <c r="AW60" s="1968"/>
      <c r="AX60" s="1968"/>
      <c r="AY60" s="1968"/>
      <c r="AZ60" s="1968"/>
      <c r="BA60" s="1968"/>
      <c r="BB60" s="1968"/>
      <c r="BC60" s="1968"/>
      <c r="BD60" s="1968"/>
      <c r="BE60" s="1968"/>
      <c r="BF60" s="1968"/>
      <c r="BG60" s="7235"/>
    </row>
    <row customHeight="1" ht="11.25">
      <c r="A61" s="1312" t="s">
        <v>1060</v>
      </c>
      <c r="B61" s="1312"/>
      <c r="C61" s="1312"/>
      <c r="D61" s="1306"/>
      <c r="E61" s="1316"/>
      <c r="F61" s="1974"/>
      <c r="G61" s="1975"/>
      <c r="H61" s="2674" t="s">
        <v>92</v>
      </c>
      <c r="I61" s="2675"/>
      <c r="J61" s="8450"/>
      <c r="K61" s="2676"/>
      <c r="L61" s="2266"/>
      <c r="M61" s="2267"/>
      <c r="N61" s="1321"/>
      <c r="O61" s="1322"/>
      <c r="P61" s="1314" t="s">
        <v>1108</v>
      </c>
      <c r="Q61" s="1322"/>
      <c r="R61" s="1322"/>
      <c r="S61" s="1322"/>
      <c r="T61" s="1322"/>
      <c r="U61" s="1322"/>
      <c r="V61" s="1322"/>
      <c r="W61" s="1322"/>
      <c r="X61" s="1322"/>
      <c r="Y61" s="1322"/>
      <c r="Z61" s="1322"/>
      <c r="AA61" s="1322"/>
      <c r="AB61" s="1322"/>
      <c r="AC61" s="1322"/>
      <c r="AD61" s="1322"/>
      <c r="AE61" s="1329"/>
      <c r="AF61" s="2665"/>
      <c r="AG61" s="2666"/>
      <c r="AH61" s="2666"/>
      <c r="AI61" s="2665"/>
      <c r="AJ61" s="2666"/>
      <c r="AK61" s="2666"/>
      <c r="AL61" s="2131"/>
      <c r="AM61" s="1968"/>
      <c r="AN61" s="1968"/>
      <c r="AO61" s="1968"/>
      <c r="AP61" s="1968"/>
      <c r="AQ61" s="1968"/>
      <c r="AR61" s="1968"/>
      <c r="AS61" s="1968"/>
      <c r="AT61" s="1968"/>
      <c r="AU61" s="1968"/>
      <c r="AV61" s="1968"/>
      <c r="AW61" s="1968"/>
      <c r="AX61" s="1968"/>
      <c r="AY61" s="1968"/>
      <c r="AZ61" s="1968"/>
      <c r="BA61" s="1968"/>
      <c r="BB61" s="1968"/>
      <c r="BC61" s="1968"/>
      <c r="BD61" s="1968"/>
      <c r="BE61" s="1968"/>
      <c r="BF61" s="1968"/>
      <c r="BG61" s="7235"/>
    </row>
    <row customHeight="1" ht="11.25">
      <c r="A62" s="1312" t="s">
        <v>1060</v>
      </c>
      <c r="B62" s="1312" t="s">
        <v>22</v>
      </c>
      <c r="C62" s="1312"/>
      <c r="D62" s="1306"/>
      <c r="E62" s="1316"/>
      <c r="F62" s="1974"/>
      <c r="G62" s="7143" t="s">
        <v>106</v>
      </c>
      <c r="H62" s="2674" t="s">
        <v>93</v>
      </c>
      <c r="I62" s="2675" t="s">
        <v>1101</v>
      </c>
      <c r="J62" s="8450" t="s">
        <v>22</v>
      </c>
      <c r="K62" s="2676" t="s">
        <v>1127</v>
      </c>
      <c r="L62" s="2266" t="s">
        <v>19</v>
      </c>
      <c r="M62" s="2267"/>
      <c r="N62" s="2129"/>
      <c r="O62" s="1323" t="s">
        <v>398</v>
      </c>
      <c r="P62" s="1324"/>
      <c r="Q62" s="1324"/>
      <c r="R62" s="1324"/>
      <c r="S62" s="1324"/>
      <c r="T62" s="1324"/>
      <c r="U62" s="1324"/>
      <c r="V62" s="1324"/>
      <c r="W62" s="1324"/>
      <c r="X62" s="1324"/>
      <c r="Y62" s="1324"/>
      <c r="Z62" s="1324"/>
      <c r="AA62" s="1324"/>
      <c r="AB62" s="1324"/>
      <c r="AC62" s="1324"/>
      <c r="AD62" s="1324"/>
      <c r="AE62" s="1324"/>
      <c r="AF62" s="2665">
        <v>2021</v>
      </c>
      <c r="AG62" s="2666" t="s">
        <v>1103</v>
      </c>
      <c r="AH62" s="2666" t="s">
        <v>1111</v>
      </c>
      <c r="AI62" s="2665">
        <v>2021</v>
      </c>
      <c r="AJ62" s="2666" t="s">
        <v>1103</v>
      </c>
      <c r="AK62" s="2666" t="s">
        <v>1111</v>
      </c>
      <c r="AL62" s="2131"/>
      <c r="AM62" s="1968"/>
      <c r="AN62" s="1968"/>
      <c r="AO62" s="1968"/>
      <c r="AP62" s="1968"/>
      <c r="AQ62" s="1968"/>
      <c r="AR62" s="1968"/>
      <c r="AS62" s="1968"/>
      <c r="AT62" s="1968"/>
      <c r="AU62" s="1968"/>
      <c r="AV62" s="1968"/>
      <c r="AW62" s="1968"/>
      <c r="AX62" s="1968"/>
      <c r="AY62" s="1968"/>
      <c r="AZ62" s="1968"/>
      <c r="BA62" s="1968"/>
      <c r="BB62" s="1968"/>
      <c r="BC62" s="1968"/>
      <c r="BD62" s="1968"/>
      <c r="BE62" s="1968"/>
      <c r="BF62" s="1968"/>
      <c r="BG62" s="7235"/>
    </row>
    <row customHeight="1" ht="11.25">
      <c r="A63" s="1312" t="s">
        <v>1060</v>
      </c>
      <c r="B63" s="1312"/>
      <c r="C63" s="1312"/>
      <c r="D63" s="1306"/>
      <c r="E63" s="1316"/>
      <c r="F63" s="1974"/>
      <c r="G63" s="1975"/>
      <c r="H63" s="2674" t="s">
        <v>122</v>
      </c>
      <c r="I63" s="2675"/>
      <c r="J63" s="8450"/>
      <c r="K63" s="2676"/>
      <c r="L63" s="2266"/>
      <c r="M63" s="2267"/>
      <c r="N63" s="2667"/>
      <c r="O63" s="2668">
        <v>1</v>
      </c>
      <c r="P63" s="2669" t="s">
        <v>63</v>
      </c>
      <c r="Q63" s="8451" t="s">
        <v>1128</v>
      </c>
      <c r="R63" s="8452" t="s">
        <v>1114</v>
      </c>
      <c r="S63" s="8452" t="s">
        <v>113</v>
      </c>
      <c r="T63" s="8452" t="s">
        <v>113</v>
      </c>
      <c r="U63" s="8452" t="s">
        <v>114</v>
      </c>
      <c r="V63" s="8452" t="s">
        <v>1115</v>
      </c>
      <c r="W63" s="8452" t="s">
        <v>1116</v>
      </c>
      <c r="X63" s="8452" t="s">
        <v>1129</v>
      </c>
      <c r="Y63" s="8452" t="s">
        <v>1130</v>
      </c>
      <c r="Z63" s="1321"/>
      <c r="AA63" s="1322"/>
      <c r="AB63" s="1322"/>
      <c r="AC63" s="1326"/>
      <c r="AD63" s="1326"/>
      <c r="AE63" s="1327"/>
      <c r="AF63" s="2665"/>
      <c r="AG63" s="2666"/>
      <c r="AH63" s="2666"/>
      <c r="AI63" s="2665"/>
      <c r="AJ63" s="2666"/>
      <c r="AK63" s="2666"/>
      <c r="AL63" s="2131"/>
      <c r="AM63" s="1968"/>
      <c r="AN63" s="1968"/>
      <c r="AO63" s="1968"/>
      <c r="AP63" s="1968"/>
      <c r="AQ63" s="1968"/>
      <c r="AR63" s="1968"/>
      <c r="AS63" s="1968"/>
      <c r="AT63" s="1968"/>
      <c r="AU63" s="1968"/>
      <c r="AV63" s="1968"/>
      <c r="AW63" s="1968"/>
      <c r="AX63" s="1968"/>
      <c r="AY63" s="1968"/>
      <c r="AZ63" s="1968"/>
      <c r="BA63" s="1968"/>
      <c r="BB63" s="1968"/>
      <c r="BC63" s="1968"/>
      <c r="BD63" s="1968"/>
      <c r="BE63" s="1968"/>
      <c r="BF63" s="1968"/>
      <c r="BG63" s="7235"/>
    </row>
    <row customHeight="1" ht="11.25">
      <c r="A64" s="1312" t="s">
        <v>1060</v>
      </c>
      <c r="B64" s="1312"/>
      <c r="C64" s="1312"/>
      <c r="D64" s="1306"/>
      <c r="E64" s="1316"/>
      <c r="F64" s="1974"/>
      <c r="G64" s="1975"/>
      <c r="H64" s="2674" t="s">
        <v>122</v>
      </c>
      <c r="I64" s="2675"/>
      <c r="J64" s="8450"/>
      <c r="K64" s="2676"/>
      <c r="L64" s="2266"/>
      <c r="M64" s="2267"/>
      <c r="N64" s="2667"/>
      <c r="O64" s="2668"/>
      <c r="P64" s="2670"/>
      <c r="Q64" s="8451"/>
      <c r="R64" s="2672"/>
      <c r="S64" s="2673"/>
      <c r="T64" s="2672"/>
      <c r="U64" s="2672"/>
      <c r="V64" s="2672"/>
      <c r="W64" s="2672"/>
      <c r="X64" s="2672"/>
      <c r="Y64" s="2672"/>
      <c r="Z64" s="1973"/>
      <c r="AA64" s="1939">
        <v>1</v>
      </c>
      <c r="AB64" s="1325" t="s">
        <v>1131</v>
      </c>
      <c r="AC64" s="1315">
        <v>10875.67</v>
      </c>
      <c r="AD64" s="1325" t="str">
        <f>AB64</f>
        <v>      Прочие амортизационные отчисления</v>
      </c>
      <c r="AE64" s="1315">
        <v>11294.07</v>
      </c>
      <c r="AF64" s="2665"/>
      <c r="AG64" s="2666"/>
      <c r="AH64" s="2666"/>
      <c r="AI64" s="2665"/>
      <c r="AJ64" s="2666"/>
      <c r="AK64" s="2666"/>
      <c r="AL64" s="2131"/>
      <c r="AM64" s="1968"/>
      <c r="AN64" s="1968"/>
      <c r="AO64" s="1968"/>
      <c r="AP64" s="1968"/>
      <c r="AQ64" s="1968"/>
      <c r="AR64" s="1968"/>
      <c r="AS64" s="1968"/>
      <c r="AT64" s="1968"/>
      <c r="AU64" s="1968"/>
      <c r="AV64" s="1968"/>
      <c r="AW64" s="1968"/>
      <c r="AX64" s="1968"/>
      <c r="AY64" s="1968"/>
      <c r="AZ64" s="1968"/>
      <c r="BA64" s="1968"/>
      <c r="BB64" s="1968"/>
      <c r="BC64" s="1968"/>
      <c r="BD64" s="1968"/>
      <c r="BE64" s="1968"/>
      <c r="BF64" s="1968"/>
      <c r="BG64" s="7235"/>
    </row>
    <row customHeight="1" ht="11.25">
      <c r="A65" s="1312" t="s">
        <v>1060</v>
      </c>
      <c r="B65" s="1312"/>
      <c r="C65" s="1312"/>
      <c r="D65" s="1306"/>
      <c r="E65" s="1316"/>
      <c r="F65" s="1974"/>
      <c r="G65" s="1975"/>
      <c r="H65" s="2674" t="s">
        <v>122</v>
      </c>
      <c r="I65" s="2675"/>
      <c r="J65" s="8450"/>
      <c r="K65" s="2676"/>
      <c r="L65" s="2266"/>
      <c r="M65" s="2267"/>
      <c r="N65" s="2667"/>
      <c r="O65" s="2668"/>
      <c r="P65" s="2671"/>
      <c r="Q65" s="8451"/>
      <c r="R65" s="2672"/>
      <c r="S65" s="2673"/>
      <c r="T65" s="2672"/>
      <c r="U65" s="2672"/>
      <c r="V65" s="2672"/>
      <c r="W65" s="2672"/>
      <c r="X65" s="2672"/>
      <c r="Y65" s="2672"/>
      <c r="Z65" s="1321"/>
      <c r="AA65" s="1322"/>
      <c r="AB65" s="1387" t="s">
        <v>1107</v>
      </c>
      <c r="AC65" s="1326"/>
      <c r="AD65" s="1326"/>
      <c r="AE65" s="1328"/>
      <c r="AF65" s="2665"/>
      <c r="AG65" s="2666"/>
      <c r="AH65" s="2666"/>
      <c r="AI65" s="2665"/>
      <c r="AJ65" s="2666"/>
      <c r="AK65" s="2666"/>
      <c r="AL65" s="2131"/>
      <c r="AM65" s="1968"/>
      <c r="AN65" s="1968"/>
      <c r="AO65" s="1968"/>
      <c r="AP65" s="1968"/>
      <c r="AQ65" s="1968"/>
      <c r="AR65" s="1968"/>
      <c r="AS65" s="1968"/>
      <c r="AT65" s="1968"/>
      <c r="AU65" s="1968"/>
      <c r="AV65" s="1968"/>
      <c r="AW65" s="1968"/>
      <c r="AX65" s="1968"/>
      <c r="AY65" s="1968"/>
      <c r="AZ65" s="1968"/>
      <c r="BA65" s="1968"/>
      <c r="BB65" s="1968"/>
      <c r="BC65" s="1968"/>
      <c r="BD65" s="1968"/>
      <c r="BE65" s="1968"/>
      <c r="BF65" s="1968"/>
      <c r="BG65" s="7235"/>
    </row>
    <row customHeight="1" ht="11.25">
      <c r="A66" s="1312" t="s">
        <v>1060</v>
      </c>
      <c r="B66" s="1312"/>
      <c r="C66" s="1312"/>
      <c r="D66" s="1306"/>
      <c r="E66" s="1316"/>
      <c r="F66" s="1974"/>
      <c r="G66" s="1975"/>
      <c r="H66" s="2674" t="s">
        <v>122</v>
      </c>
      <c r="I66" s="2675"/>
      <c r="J66" s="8450"/>
      <c r="K66" s="2676"/>
      <c r="L66" s="2266"/>
      <c r="M66" s="2267"/>
      <c r="N66" s="1321"/>
      <c r="O66" s="1322"/>
      <c r="P66" s="1314" t="s">
        <v>1108</v>
      </c>
      <c r="Q66" s="1322"/>
      <c r="R66" s="1322"/>
      <c r="S66" s="1322"/>
      <c r="T66" s="1322"/>
      <c r="U66" s="1322"/>
      <c r="V66" s="1322"/>
      <c r="W66" s="1322"/>
      <c r="X66" s="1322"/>
      <c r="Y66" s="1322"/>
      <c r="Z66" s="1322"/>
      <c r="AA66" s="1322"/>
      <c r="AB66" s="1322"/>
      <c r="AC66" s="1322"/>
      <c r="AD66" s="1322"/>
      <c r="AE66" s="1329"/>
      <c r="AF66" s="2665"/>
      <c r="AG66" s="2666"/>
      <c r="AH66" s="2666"/>
      <c r="AI66" s="2665"/>
      <c r="AJ66" s="2666"/>
      <c r="AK66" s="2666"/>
      <c r="AL66" s="2131"/>
      <c r="AM66" s="1968"/>
      <c r="AN66" s="1968"/>
      <c r="AO66" s="1968"/>
      <c r="AP66" s="1968"/>
      <c r="AQ66" s="1968"/>
      <c r="AR66" s="1968"/>
      <c r="AS66" s="1968"/>
      <c r="AT66" s="1968"/>
      <c r="AU66" s="1968"/>
      <c r="AV66" s="1968"/>
      <c r="AW66" s="1968"/>
      <c r="AX66" s="1968"/>
      <c r="AY66" s="1968"/>
      <c r="AZ66" s="1968"/>
      <c r="BA66" s="1968"/>
      <c r="BB66" s="1968"/>
      <c r="BC66" s="1968"/>
      <c r="BD66" s="1968"/>
      <c r="BE66" s="1968"/>
      <c r="BF66" s="1968"/>
      <c r="BG66" s="7235"/>
    </row>
    <row customHeight="1" ht="11.25">
      <c r="A67" s="1312" t="s">
        <v>1060</v>
      </c>
      <c r="B67" s="1312" t="s">
        <v>22</v>
      </c>
      <c r="C67" s="1312"/>
      <c r="D67" s="1306"/>
      <c r="E67" s="1316"/>
      <c r="F67" s="1974"/>
      <c r="G67" s="7143" t="s">
        <v>106</v>
      </c>
      <c r="H67" s="2674" t="s">
        <v>94</v>
      </c>
      <c r="I67" s="2675" t="s">
        <v>1101</v>
      </c>
      <c r="J67" s="8450" t="s">
        <v>22</v>
      </c>
      <c r="K67" s="2676" t="s">
        <v>1132</v>
      </c>
      <c r="L67" s="2266" t="s">
        <v>19</v>
      </c>
      <c r="M67" s="2267"/>
      <c r="N67" s="2129"/>
      <c r="O67" s="1323" t="s">
        <v>398</v>
      </c>
      <c r="P67" s="1324"/>
      <c r="Q67" s="1324"/>
      <c r="R67" s="1324"/>
      <c r="S67" s="1324"/>
      <c r="T67" s="1324"/>
      <c r="U67" s="1324"/>
      <c r="V67" s="1324"/>
      <c r="W67" s="1324"/>
      <c r="X67" s="1324"/>
      <c r="Y67" s="1324"/>
      <c r="Z67" s="1324"/>
      <c r="AA67" s="1324"/>
      <c r="AB67" s="1324"/>
      <c r="AC67" s="1324"/>
      <c r="AD67" s="1324"/>
      <c r="AE67" s="1324"/>
      <c r="AF67" s="2665">
        <v>2021</v>
      </c>
      <c r="AG67" s="2666" t="s">
        <v>1103</v>
      </c>
      <c r="AH67" s="2666" t="s">
        <v>1111</v>
      </c>
      <c r="AI67" s="2665">
        <v>2021</v>
      </c>
      <c r="AJ67" s="2666" t="s">
        <v>1103</v>
      </c>
      <c r="AK67" s="2666" t="s">
        <v>1111</v>
      </c>
      <c r="AL67" s="2131"/>
      <c r="AM67" s="1968"/>
      <c r="AN67" s="1968"/>
      <c r="AO67" s="1968"/>
      <c r="AP67" s="1968"/>
      <c r="AQ67" s="1968"/>
      <c r="AR67" s="1968"/>
      <c r="AS67" s="1968"/>
      <c r="AT67" s="1968"/>
      <c r="AU67" s="1968"/>
      <c r="AV67" s="1968"/>
      <c r="AW67" s="1968"/>
      <c r="AX67" s="1968"/>
      <c r="AY67" s="1968"/>
      <c r="AZ67" s="1968"/>
      <c r="BA67" s="1968"/>
      <c r="BB67" s="1968"/>
      <c r="BC67" s="1968"/>
      <c r="BD67" s="1968"/>
      <c r="BE67" s="1968"/>
      <c r="BF67" s="1968"/>
      <c r="BG67" s="7235"/>
    </row>
    <row customHeight="1" ht="11.25">
      <c r="A68" s="1312" t="s">
        <v>1060</v>
      </c>
      <c r="B68" s="1312"/>
      <c r="C68" s="1312"/>
      <c r="D68" s="1306"/>
      <c r="E68" s="1316"/>
      <c r="F68" s="1974"/>
      <c r="G68" s="1975"/>
      <c r="H68" s="2674" t="s">
        <v>93</v>
      </c>
      <c r="I68" s="2675"/>
      <c r="J68" s="8450"/>
      <c r="K68" s="2676"/>
      <c r="L68" s="2266"/>
      <c r="M68" s="2267"/>
      <c r="N68" s="2667"/>
      <c r="O68" s="2668">
        <v>1</v>
      </c>
      <c r="P68" s="2669" t="s">
        <v>63</v>
      </c>
      <c r="Q68" s="8451" t="s">
        <v>1120</v>
      </c>
      <c r="R68" s="8452" t="s">
        <v>1114</v>
      </c>
      <c r="S68" s="8452" t="s">
        <v>113</v>
      </c>
      <c r="T68" s="8452" t="s">
        <v>113</v>
      </c>
      <c r="U68" s="8452" t="s">
        <v>114</v>
      </c>
      <c r="V68" s="8452" t="s">
        <v>1115</v>
      </c>
      <c r="W68" s="8452" t="s">
        <v>1116</v>
      </c>
      <c r="X68" s="8452" t="s">
        <v>1121</v>
      </c>
      <c r="Y68" s="8452" t="s">
        <v>1122</v>
      </c>
      <c r="Z68" s="1321"/>
      <c r="AA68" s="1322"/>
      <c r="AB68" s="1322"/>
      <c r="AC68" s="1326"/>
      <c r="AD68" s="1326"/>
      <c r="AE68" s="1327"/>
      <c r="AF68" s="2665"/>
      <c r="AG68" s="2666"/>
      <c r="AH68" s="2666"/>
      <c r="AI68" s="2665"/>
      <c r="AJ68" s="2666"/>
      <c r="AK68" s="2666"/>
      <c r="AL68" s="2131"/>
      <c r="AM68" s="1968"/>
      <c r="AN68" s="1968"/>
      <c r="AO68" s="1968"/>
      <c r="AP68" s="1968"/>
      <c r="AQ68" s="1968"/>
      <c r="AR68" s="1968"/>
      <c r="AS68" s="1968"/>
      <c r="AT68" s="1968"/>
      <c r="AU68" s="1968"/>
      <c r="AV68" s="1968"/>
      <c r="AW68" s="1968"/>
      <c r="AX68" s="1968"/>
      <c r="AY68" s="1968"/>
      <c r="AZ68" s="1968"/>
      <c r="BA68" s="1968"/>
      <c r="BB68" s="1968"/>
      <c r="BC68" s="1968"/>
      <c r="BD68" s="1968"/>
      <c r="BE68" s="1968"/>
      <c r="BF68" s="1968"/>
      <c r="BG68" s="7235"/>
    </row>
    <row customHeight="1" ht="11.25">
      <c r="A69" s="1312" t="s">
        <v>1060</v>
      </c>
      <c r="B69" s="1312"/>
      <c r="C69" s="1312"/>
      <c r="D69" s="1306"/>
      <c r="E69" s="1316"/>
      <c r="F69" s="1974"/>
      <c r="G69" s="1975"/>
      <c r="H69" s="2674" t="s">
        <v>93</v>
      </c>
      <c r="I69" s="2675"/>
      <c r="J69" s="8450"/>
      <c r="K69" s="2676"/>
      <c r="L69" s="2266"/>
      <c r="M69" s="2267"/>
      <c r="N69" s="2667"/>
      <c r="O69" s="2668"/>
      <c r="P69" s="2670"/>
      <c r="Q69" s="8451"/>
      <c r="R69" s="2672"/>
      <c r="S69" s="2673"/>
      <c r="T69" s="2672"/>
      <c r="U69" s="2672"/>
      <c r="V69" s="2672"/>
      <c r="W69" s="2672"/>
      <c r="X69" s="2672"/>
      <c r="Y69" s="2672"/>
      <c r="Z69" s="1973"/>
      <c r="AA69" s="1939">
        <v>1</v>
      </c>
      <c r="AB69" s="1325" t="s">
        <v>1131</v>
      </c>
      <c r="AC69" s="1315">
        <v>12314</v>
      </c>
      <c r="AD69" s="1325" t="str">
        <f>AB69</f>
        <v>      Прочие амортизационные отчисления</v>
      </c>
      <c r="AE69" s="1315">
        <v>11909</v>
      </c>
      <c r="AF69" s="2665"/>
      <c r="AG69" s="2666"/>
      <c r="AH69" s="2666"/>
      <c r="AI69" s="2665"/>
      <c r="AJ69" s="2666"/>
      <c r="AK69" s="2666"/>
      <c r="AL69" s="2131"/>
      <c r="AM69" s="1968"/>
      <c r="AN69" s="1968"/>
      <c r="AO69" s="1968"/>
      <c r="AP69" s="1968"/>
      <c r="AQ69" s="1968"/>
      <c r="AR69" s="1968"/>
      <c r="AS69" s="1968"/>
      <c r="AT69" s="1968"/>
      <c r="AU69" s="1968"/>
      <c r="AV69" s="1968"/>
      <c r="AW69" s="1968"/>
      <c r="AX69" s="1968"/>
      <c r="AY69" s="1968"/>
      <c r="AZ69" s="1968"/>
      <c r="BA69" s="1968"/>
      <c r="BB69" s="1968"/>
      <c r="BC69" s="1968"/>
      <c r="BD69" s="1968"/>
      <c r="BE69" s="1968"/>
      <c r="BF69" s="1968"/>
      <c r="BG69" s="7235"/>
    </row>
    <row customHeight="1" ht="11.25">
      <c r="A70" s="1312" t="s">
        <v>1060</v>
      </c>
      <c r="B70" s="1312"/>
      <c r="C70" s="1312"/>
      <c r="D70" s="1306"/>
      <c r="E70" s="1316"/>
      <c r="F70" s="1975"/>
      <c r="G70" s="1975"/>
      <c r="H70" s="1975"/>
      <c r="I70" s="1975"/>
      <c r="J70" s="1975"/>
      <c r="K70" s="1975"/>
      <c r="L70" s="1975"/>
      <c r="M70" s="1975"/>
      <c r="N70" s="1975"/>
      <c r="O70" s="1975"/>
      <c r="P70" s="1975"/>
      <c r="Q70" s="1975"/>
      <c r="R70" s="1975"/>
      <c r="S70" s="1975"/>
      <c r="T70" s="1975"/>
      <c r="U70" s="1975"/>
      <c r="V70" s="1975"/>
      <c r="W70" s="1975"/>
      <c r="X70" s="1975"/>
      <c r="Y70" s="1975"/>
      <c r="Z70" s="7143" t="s">
        <v>106</v>
      </c>
      <c r="AA70" s="1959" t="s">
        <v>105</v>
      </c>
      <c r="AB70" s="1325" t="s">
        <v>1106</v>
      </c>
      <c r="AC70" s="1315">
        <v>194.3</v>
      </c>
      <c r="AD70" s="1325" t="str">
        <f>AB70</f>
        <v>  Прибыль направляемая на инвестиции</v>
      </c>
      <c r="AE70" s="1315">
        <v>194.47</v>
      </c>
      <c r="AF70" s="2232"/>
      <c r="AG70" s="1904"/>
      <c r="AH70" s="1904"/>
      <c r="AI70" s="2232"/>
      <c r="AJ70" s="1904"/>
      <c r="AK70" s="2130"/>
      <c r="AL70" s="2131"/>
      <c r="AM70" s="1968"/>
      <c r="AN70" s="1968"/>
      <c r="AO70" s="1968"/>
      <c r="AP70" s="1968"/>
      <c r="AQ70" s="1968"/>
      <c r="AR70" s="1968"/>
      <c r="AS70" s="1968"/>
      <c r="AT70" s="1968"/>
      <c r="AU70" s="1968"/>
      <c r="AV70" s="1968"/>
      <c r="AW70" s="1968"/>
      <c r="AX70" s="1968"/>
      <c r="AY70" s="1968"/>
      <c r="AZ70" s="1968"/>
      <c r="BA70" s="1968"/>
      <c r="BB70" s="1968"/>
      <c r="BC70" s="1968"/>
      <c r="BD70" s="1968"/>
      <c r="BE70" s="1968"/>
      <c r="BF70" s="1968"/>
      <c r="BG70" s="7235"/>
    </row>
    <row customHeight="1" ht="11.25">
      <c r="A71" s="1312" t="s">
        <v>1060</v>
      </c>
      <c r="B71" s="1312"/>
      <c r="C71" s="1312"/>
      <c r="D71" s="1306"/>
      <c r="E71" s="1316"/>
      <c r="F71" s="1974"/>
      <c r="G71" s="1975"/>
      <c r="H71" s="2674" t="s">
        <v>93</v>
      </c>
      <c r="I71" s="2675"/>
      <c r="J71" s="8450"/>
      <c r="K71" s="2676"/>
      <c r="L71" s="2266"/>
      <c r="M71" s="2267"/>
      <c r="N71" s="2667"/>
      <c r="O71" s="2668"/>
      <c r="P71" s="2671"/>
      <c r="Q71" s="8451"/>
      <c r="R71" s="2672"/>
      <c r="S71" s="2673"/>
      <c r="T71" s="2672"/>
      <c r="U71" s="2672"/>
      <c r="V71" s="2672"/>
      <c r="W71" s="2672"/>
      <c r="X71" s="2672"/>
      <c r="Y71" s="2672"/>
      <c r="Z71" s="1321"/>
      <c r="AA71" s="1322"/>
      <c r="AB71" s="1387" t="s">
        <v>1107</v>
      </c>
      <c r="AC71" s="1326"/>
      <c r="AD71" s="1326"/>
      <c r="AE71" s="1328"/>
      <c r="AF71" s="2665"/>
      <c r="AG71" s="2666"/>
      <c r="AH71" s="2666"/>
      <c r="AI71" s="2665"/>
      <c r="AJ71" s="2666"/>
      <c r="AK71" s="2666"/>
      <c r="AL71" s="2131"/>
      <c r="AM71" s="1968"/>
      <c r="AN71" s="1968"/>
      <c r="AO71" s="1968"/>
      <c r="AP71" s="1968"/>
      <c r="AQ71" s="1968"/>
      <c r="AR71" s="1968"/>
      <c r="AS71" s="1968"/>
      <c r="AT71" s="1968"/>
      <c r="AU71" s="1968"/>
      <c r="AV71" s="1968"/>
      <c r="AW71" s="1968"/>
      <c r="AX71" s="1968"/>
      <c r="AY71" s="1968"/>
      <c r="AZ71" s="1968"/>
      <c r="BA71" s="1968"/>
      <c r="BB71" s="1968"/>
      <c r="BC71" s="1968"/>
      <c r="BD71" s="1968"/>
      <c r="BE71" s="1968"/>
      <c r="BF71" s="1968"/>
      <c r="BG71" s="7235"/>
    </row>
    <row customHeight="1" ht="11.25">
      <c r="A72" s="1312" t="s">
        <v>1060</v>
      </c>
      <c r="B72" s="1312"/>
      <c r="C72" s="1312"/>
      <c r="D72" s="1306"/>
      <c r="E72" s="1316"/>
      <c r="F72" s="1974"/>
      <c r="G72" s="1975"/>
      <c r="H72" s="2674" t="s">
        <v>93</v>
      </c>
      <c r="I72" s="2675"/>
      <c r="J72" s="8450"/>
      <c r="K72" s="2676"/>
      <c r="L72" s="2266"/>
      <c r="M72" s="2267"/>
      <c r="N72" s="1321"/>
      <c r="O72" s="1322"/>
      <c r="P72" s="1314" t="s">
        <v>1108</v>
      </c>
      <c r="Q72" s="1322"/>
      <c r="R72" s="1322"/>
      <c r="S72" s="1322"/>
      <c r="T72" s="1322"/>
      <c r="U72" s="1322"/>
      <c r="V72" s="1322"/>
      <c r="W72" s="1322"/>
      <c r="X72" s="1322"/>
      <c r="Y72" s="1322"/>
      <c r="Z72" s="1322"/>
      <c r="AA72" s="1322"/>
      <c r="AB72" s="1322"/>
      <c r="AC72" s="1322"/>
      <c r="AD72" s="1322"/>
      <c r="AE72" s="1329"/>
      <c r="AF72" s="2665"/>
      <c r="AG72" s="2666"/>
      <c r="AH72" s="2666"/>
      <c r="AI72" s="2665"/>
      <c r="AJ72" s="2666"/>
      <c r="AK72" s="2666"/>
      <c r="AL72" s="2131"/>
      <c r="AM72" s="1968"/>
      <c r="AN72" s="1968"/>
      <c r="AO72" s="1968"/>
      <c r="AP72" s="1968"/>
      <c r="AQ72" s="1968"/>
      <c r="AR72" s="1968"/>
      <c r="AS72" s="1968"/>
      <c r="AT72" s="1968"/>
      <c r="AU72" s="1968"/>
      <c r="AV72" s="1968"/>
      <c r="AW72" s="1968"/>
      <c r="AX72" s="1968"/>
      <c r="AY72" s="1968"/>
      <c r="AZ72" s="1968"/>
      <c r="BA72" s="1968"/>
      <c r="BB72" s="1968"/>
      <c r="BC72" s="1968"/>
      <c r="BD72" s="1968"/>
      <c r="BE72" s="1968"/>
      <c r="BF72" s="1968"/>
      <c r="BG72" s="7235"/>
    </row>
    <row customHeight="1" ht="11.25">
      <c r="A73" s="1312" t="s">
        <v>1060</v>
      </c>
      <c r="B73" s="1312" t="s">
        <v>22</v>
      </c>
      <c r="C73" s="1312"/>
      <c r="D73" s="1306"/>
      <c r="E73" s="1316"/>
      <c r="F73" s="1974"/>
      <c r="G73" s="7143" t="s">
        <v>106</v>
      </c>
      <c r="H73" s="2674" t="s">
        <v>123</v>
      </c>
      <c r="I73" s="2675" t="s">
        <v>1101</v>
      </c>
      <c r="J73" s="8450" t="s">
        <v>22</v>
      </c>
      <c r="K73" s="2676" t="s">
        <v>1133</v>
      </c>
      <c r="L73" s="2266" t="s">
        <v>19</v>
      </c>
      <c r="M73" s="2267"/>
      <c r="N73" s="2129"/>
      <c r="O73" s="1323" t="s">
        <v>398</v>
      </c>
      <c r="P73" s="1324"/>
      <c r="Q73" s="1324"/>
      <c r="R73" s="1324"/>
      <c r="S73" s="1324"/>
      <c r="T73" s="1324"/>
      <c r="U73" s="1324"/>
      <c r="V73" s="1324"/>
      <c r="W73" s="1324"/>
      <c r="X73" s="1324"/>
      <c r="Y73" s="1324"/>
      <c r="Z73" s="1324"/>
      <c r="AA73" s="1324"/>
      <c r="AB73" s="1324"/>
      <c r="AC73" s="1324"/>
      <c r="AD73" s="1324"/>
      <c r="AE73" s="1324"/>
      <c r="AF73" s="2665">
        <v>2021</v>
      </c>
      <c r="AG73" s="2666" t="s">
        <v>1103</v>
      </c>
      <c r="AH73" s="2666" t="s">
        <v>1111</v>
      </c>
      <c r="AI73" s="2665">
        <v>2021</v>
      </c>
      <c r="AJ73" s="2666" t="s">
        <v>1103</v>
      </c>
      <c r="AK73" s="2666" t="s">
        <v>1111</v>
      </c>
      <c r="AL73" s="2131"/>
      <c r="AM73" s="1968"/>
      <c r="AN73" s="1968"/>
      <c r="AO73" s="1968"/>
      <c r="AP73" s="1968"/>
      <c r="AQ73" s="1968"/>
      <c r="AR73" s="1968"/>
      <c r="AS73" s="1968"/>
      <c r="AT73" s="1968"/>
      <c r="AU73" s="1968"/>
      <c r="AV73" s="1968"/>
      <c r="AW73" s="1968"/>
      <c r="AX73" s="1968"/>
      <c r="AY73" s="1968"/>
      <c r="AZ73" s="1968"/>
      <c r="BA73" s="1968"/>
      <c r="BB73" s="1968"/>
      <c r="BC73" s="1968"/>
      <c r="BD73" s="1968"/>
      <c r="BE73" s="1968"/>
      <c r="BF73" s="1968"/>
      <c r="BG73" s="7235"/>
    </row>
    <row customHeight="1" ht="11.25">
      <c r="A74" s="1312" t="s">
        <v>1060</v>
      </c>
      <c r="B74" s="1312"/>
      <c r="C74" s="1312"/>
      <c r="D74" s="1306"/>
      <c r="E74" s="1316"/>
      <c r="F74" s="1974"/>
      <c r="G74" s="1975"/>
      <c r="H74" s="2674" t="s">
        <v>94</v>
      </c>
      <c r="I74" s="2675"/>
      <c r="J74" s="8450"/>
      <c r="K74" s="2676"/>
      <c r="L74" s="2266"/>
      <c r="M74" s="2267"/>
      <c r="N74" s="2667"/>
      <c r="O74" s="2668">
        <v>1</v>
      </c>
      <c r="P74" s="2669" t="s">
        <v>63</v>
      </c>
      <c r="Q74" s="8451" t="s">
        <v>1134</v>
      </c>
      <c r="R74" s="8452" t="s">
        <v>1114</v>
      </c>
      <c r="S74" s="8452" t="s">
        <v>113</v>
      </c>
      <c r="T74" s="8452" t="s">
        <v>113</v>
      </c>
      <c r="U74" s="8452" t="s">
        <v>114</v>
      </c>
      <c r="V74" s="8452" t="s">
        <v>1115</v>
      </c>
      <c r="W74" s="8452" t="s">
        <v>1116</v>
      </c>
      <c r="X74" s="8452" t="s">
        <v>1135</v>
      </c>
      <c r="Y74" s="8452" t="s">
        <v>1136</v>
      </c>
      <c r="Z74" s="1321"/>
      <c r="AA74" s="1322"/>
      <c r="AB74" s="1322"/>
      <c r="AC74" s="1326"/>
      <c r="AD74" s="1326"/>
      <c r="AE74" s="1327"/>
      <c r="AF74" s="2665"/>
      <c r="AG74" s="2666"/>
      <c r="AH74" s="2666"/>
      <c r="AI74" s="2665"/>
      <c r="AJ74" s="2666"/>
      <c r="AK74" s="2666"/>
      <c r="AL74" s="2131"/>
      <c r="AM74" s="1968"/>
      <c r="AN74" s="1968"/>
      <c r="AO74" s="1968"/>
      <c r="AP74" s="1968"/>
      <c r="AQ74" s="1968"/>
      <c r="AR74" s="1968"/>
      <c r="AS74" s="1968"/>
      <c r="AT74" s="1968"/>
      <c r="AU74" s="1968"/>
      <c r="AV74" s="1968"/>
      <c r="AW74" s="1968"/>
      <c r="AX74" s="1968"/>
      <c r="AY74" s="1968"/>
      <c r="AZ74" s="1968"/>
      <c r="BA74" s="1968"/>
      <c r="BB74" s="1968"/>
      <c r="BC74" s="1968"/>
      <c r="BD74" s="1968"/>
      <c r="BE74" s="1968"/>
      <c r="BF74" s="1968"/>
      <c r="BG74" s="7235"/>
    </row>
    <row customHeight="1" ht="11.25">
      <c r="A75" s="1312" t="s">
        <v>1060</v>
      </c>
      <c r="B75" s="1312"/>
      <c r="C75" s="1312"/>
      <c r="D75" s="1306"/>
      <c r="E75" s="1316"/>
      <c r="F75" s="1974"/>
      <c r="G75" s="1975"/>
      <c r="H75" s="2674" t="s">
        <v>94</v>
      </c>
      <c r="I75" s="2675"/>
      <c r="J75" s="8450"/>
      <c r="K75" s="2676"/>
      <c r="L75" s="2266"/>
      <c r="M75" s="2267"/>
      <c r="N75" s="2667"/>
      <c r="O75" s="2668"/>
      <c r="P75" s="2670"/>
      <c r="Q75" s="8451"/>
      <c r="R75" s="2672"/>
      <c r="S75" s="2673"/>
      <c r="T75" s="2672"/>
      <c r="U75" s="2672"/>
      <c r="V75" s="2672"/>
      <c r="W75" s="2672"/>
      <c r="X75" s="2672"/>
      <c r="Y75" s="2672"/>
      <c r="Z75" s="1973"/>
      <c r="AA75" s="1939">
        <v>1</v>
      </c>
      <c r="AB75" s="1325" t="s">
        <v>1106</v>
      </c>
      <c r="AC75" s="1315">
        <v>8108.28</v>
      </c>
      <c r="AD75" s="1325" t="str">
        <f>AB75</f>
        <v>  Прибыль направляемая на инвестиции</v>
      </c>
      <c r="AE75" s="1315">
        <v>8209.55</v>
      </c>
      <c r="AF75" s="2665"/>
      <c r="AG75" s="2666"/>
      <c r="AH75" s="2666"/>
      <c r="AI75" s="2665"/>
      <c r="AJ75" s="2666"/>
      <c r="AK75" s="2666"/>
      <c r="AL75" s="2131"/>
      <c r="AM75" s="1968"/>
      <c r="AN75" s="1968"/>
      <c r="AO75" s="1968"/>
      <c r="AP75" s="1968"/>
      <c r="AQ75" s="1968"/>
      <c r="AR75" s="1968"/>
      <c r="AS75" s="1968"/>
      <c r="AT75" s="1968"/>
      <c r="AU75" s="1968"/>
      <c r="AV75" s="1968"/>
      <c r="AW75" s="1968"/>
      <c r="AX75" s="1968"/>
      <c r="AY75" s="1968"/>
      <c r="AZ75" s="1968"/>
      <c r="BA75" s="1968"/>
      <c r="BB75" s="1968"/>
      <c r="BC75" s="1968"/>
      <c r="BD75" s="1968"/>
      <c r="BE75" s="1968"/>
      <c r="BF75" s="1968"/>
      <c r="BG75" s="7235"/>
    </row>
    <row customHeight="1" ht="11.25">
      <c r="A76" s="1312" t="s">
        <v>1060</v>
      </c>
      <c r="B76" s="1312"/>
      <c r="C76" s="1312"/>
      <c r="D76" s="1306"/>
      <c r="E76" s="1316"/>
      <c r="F76" s="1974"/>
      <c r="G76" s="1975"/>
      <c r="H76" s="2674" t="s">
        <v>94</v>
      </c>
      <c r="I76" s="2675"/>
      <c r="J76" s="8450"/>
      <c r="K76" s="2676"/>
      <c r="L76" s="2266"/>
      <c r="M76" s="2267"/>
      <c r="N76" s="2667"/>
      <c r="O76" s="2668"/>
      <c r="P76" s="2671"/>
      <c r="Q76" s="8451"/>
      <c r="R76" s="2672"/>
      <c r="S76" s="2673"/>
      <c r="T76" s="2672"/>
      <c r="U76" s="2672"/>
      <c r="V76" s="2672"/>
      <c r="W76" s="2672"/>
      <c r="X76" s="2672"/>
      <c r="Y76" s="2672"/>
      <c r="Z76" s="1321"/>
      <c r="AA76" s="1322"/>
      <c r="AB76" s="1387" t="s">
        <v>1107</v>
      </c>
      <c r="AC76" s="1326"/>
      <c r="AD76" s="1326"/>
      <c r="AE76" s="1328"/>
      <c r="AF76" s="2665"/>
      <c r="AG76" s="2666"/>
      <c r="AH76" s="2666"/>
      <c r="AI76" s="2665"/>
      <c r="AJ76" s="2666"/>
      <c r="AK76" s="2666"/>
      <c r="AL76" s="2131"/>
      <c r="AM76" s="1968"/>
      <c r="AN76" s="1968"/>
      <c r="AO76" s="1968"/>
      <c r="AP76" s="1968"/>
      <c r="AQ76" s="1968"/>
      <c r="AR76" s="1968"/>
      <c r="AS76" s="1968"/>
      <c r="AT76" s="1968"/>
      <c r="AU76" s="1968"/>
      <c r="AV76" s="1968"/>
      <c r="AW76" s="1968"/>
      <c r="AX76" s="1968"/>
      <c r="AY76" s="1968"/>
      <c r="AZ76" s="1968"/>
      <c r="BA76" s="1968"/>
      <c r="BB76" s="1968"/>
      <c r="BC76" s="1968"/>
      <c r="BD76" s="1968"/>
      <c r="BE76" s="1968"/>
      <c r="BF76" s="1968"/>
      <c r="BG76" s="7235"/>
    </row>
    <row customHeight="1" ht="11.25">
      <c r="A77" s="1312" t="s">
        <v>1060</v>
      </c>
      <c r="B77" s="1312"/>
      <c r="C77" s="1312"/>
      <c r="D77" s="1306"/>
      <c r="E77" s="1316"/>
      <c r="F77" s="1974"/>
      <c r="G77" s="1975"/>
      <c r="H77" s="2674" t="s">
        <v>94</v>
      </c>
      <c r="I77" s="2675"/>
      <c r="J77" s="8450"/>
      <c r="K77" s="2676"/>
      <c r="L77" s="2266"/>
      <c r="M77" s="2267"/>
      <c r="N77" s="1321"/>
      <c r="O77" s="1322"/>
      <c r="P77" s="1314" t="s">
        <v>1108</v>
      </c>
      <c r="Q77" s="1322"/>
      <c r="R77" s="1322"/>
      <c r="S77" s="1322"/>
      <c r="T77" s="1322"/>
      <c r="U77" s="1322"/>
      <c r="V77" s="1322"/>
      <c r="W77" s="1322"/>
      <c r="X77" s="1322"/>
      <c r="Y77" s="1322"/>
      <c r="Z77" s="1322"/>
      <c r="AA77" s="1322"/>
      <c r="AB77" s="1322"/>
      <c r="AC77" s="1322"/>
      <c r="AD77" s="1322"/>
      <c r="AE77" s="1329"/>
      <c r="AF77" s="2665"/>
      <c r="AG77" s="2666"/>
      <c r="AH77" s="2666"/>
      <c r="AI77" s="2665"/>
      <c r="AJ77" s="2666"/>
      <c r="AK77" s="2666"/>
      <c r="AL77" s="2131"/>
      <c r="AM77" s="1968"/>
      <c r="AN77" s="1968"/>
      <c r="AO77" s="1968"/>
      <c r="AP77" s="1968"/>
      <c r="AQ77" s="1968"/>
      <c r="AR77" s="1968"/>
      <c r="AS77" s="1968"/>
      <c r="AT77" s="1968"/>
      <c r="AU77" s="1968"/>
      <c r="AV77" s="1968"/>
      <c r="AW77" s="1968"/>
      <c r="AX77" s="1968"/>
      <c r="AY77" s="1968"/>
      <c r="AZ77" s="1968"/>
      <c r="BA77" s="1968"/>
      <c r="BB77" s="1968"/>
      <c r="BC77" s="1968"/>
      <c r="BD77" s="1968"/>
      <c r="BE77" s="1968"/>
      <c r="BF77" s="1968"/>
      <c r="BG77" s="7235"/>
    </row>
    <row customHeight="1" ht="11.25">
      <c r="A78" s="1312" t="s">
        <v>1060</v>
      </c>
      <c r="B78" s="1312" t="s">
        <v>22</v>
      </c>
      <c r="C78" s="1312"/>
      <c r="D78" s="1306"/>
      <c r="E78" s="1316"/>
      <c r="F78" s="1974"/>
      <c r="G78" s="7143" t="s">
        <v>106</v>
      </c>
      <c r="H78" s="2674" t="s">
        <v>172</v>
      </c>
      <c r="I78" s="2675" t="s">
        <v>1101</v>
      </c>
      <c r="J78" s="8450" t="s">
        <v>22</v>
      </c>
      <c r="K78" s="2676" t="s">
        <v>1137</v>
      </c>
      <c r="L78" s="2266" t="s">
        <v>19</v>
      </c>
      <c r="M78" s="2267"/>
      <c r="N78" s="2129"/>
      <c r="O78" s="1323" t="s">
        <v>398</v>
      </c>
      <c r="P78" s="1324"/>
      <c r="Q78" s="1324"/>
      <c r="R78" s="1324"/>
      <c r="S78" s="1324"/>
      <c r="T78" s="1324"/>
      <c r="U78" s="1324"/>
      <c r="V78" s="1324"/>
      <c r="W78" s="1324"/>
      <c r="X78" s="1324"/>
      <c r="Y78" s="1324"/>
      <c r="Z78" s="1324"/>
      <c r="AA78" s="1324"/>
      <c r="AB78" s="1324"/>
      <c r="AC78" s="1324"/>
      <c r="AD78" s="1324"/>
      <c r="AE78" s="1324"/>
      <c r="AF78" s="2665">
        <v>2021</v>
      </c>
      <c r="AG78" s="2666" t="s">
        <v>1103</v>
      </c>
      <c r="AH78" s="2666" t="s">
        <v>1111</v>
      </c>
      <c r="AI78" s="2665">
        <v>2021</v>
      </c>
      <c r="AJ78" s="2666" t="s">
        <v>1103</v>
      </c>
      <c r="AK78" s="2666" t="s">
        <v>1111</v>
      </c>
      <c r="AL78" s="2131"/>
      <c r="AM78" s="1968"/>
      <c r="AN78" s="1968"/>
      <c r="AO78" s="1968"/>
      <c r="AP78" s="1968"/>
      <c r="AQ78" s="1968"/>
      <c r="AR78" s="1968"/>
      <c r="AS78" s="1968"/>
      <c r="AT78" s="1968"/>
      <c r="AU78" s="1968"/>
      <c r="AV78" s="1968"/>
      <c r="AW78" s="1968"/>
      <c r="AX78" s="1968"/>
      <c r="AY78" s="1968"/>
      <c r="AZ78" s="1968"/>
      <c r="BA78" s="1968"/>
      <c r="BB78" s="1968"/>
      <c r="BC78" s="1968"/>
      <c r="BD78" s="1968"/>
      <c r="BE78" s="1968"/>
      <c r="BF78" s="1968"/>
      <c r="BG78" s="7235"/>
    </row>
    <row customHeight="1" ht="11.25">
      <c r="A79" s="1312" t="s">
        <v>1060</v>
      </c>
      <c r="B79" s="1312"/>
      <c r="C79" s="1312"/>
      <c r="D79" s="1306"/>
      <c r="E79" s="1316"/>
      <c r="F79" s="1974"/>
      <c r="G79" s="1975"/>
      <c r="H79" s="2674" t="s">
        <v>123</v>
      </c>
      <c r="I79" s="2675"/>
      <c r="J79" s="8450"/>
      <c r="K79" s="2676"/>
      <c r="L79" s="2266"/>
      <c r="M79" s="2267"/>
      <c r="N79" s="2667"/>
      <c r="O79" s="2668">
        <v>1</v>
      </c>
      <c r="P79" s="2669" t="s">
        <v>19</v>
      </c>
      <c r="Q79" s="2672" t="s">
        <v>22</v>
      </c>
      <c r="R79" s="2672" t="s">
        <v>22</v>
      </c>
      <c r="S79" s="2672" t="s">
        <v>22</v>
      </c>
      <c r="T79" s="2672" t="s">
        <v>22</v>
      </c>
      <c r="U79" s="2672" t="s">
        <v>22</v>
      </c>
      <c r="V79" s="2672" t="s">
        <v>22</v>
      </c>
      <c r="W79" s="2672" t="s">
        <v>22</v>
      </c>
      <c r="X79" s="2672" t="s">
        <v>22</v>
      </c>
      <c r="Y79" s="2672"/>
      <c r="Z79" s="1321"/>
      <c r="AA79" s="1322"/>
      <c r="AB79" s="1322"/>
      <c r="AC79" s="1326"/>
      <c r="AD79" s="1326"/>
      <c r="AE79" s="1327"/>
      <c r="AF79" s="2665"/>
      <c r="AG79" s="2666"/>
      <c r="AH79" s="2666"/>
      <c r="AI79" s="2665"/>
      <c r="AJ79" s="2666"/>
      <c r="AK79" s="2666"/>
      <c r="AL79" s="2131"/>
      <c r="AM79" s="1968"/>
      <c r="AN79" s="1968"/>
      <c r="AO79" s="1968"/>
      <c r="AP79" s="1968"/>
      <c r="AQ79" s="1968"/>
      <c r="AR79" s="1968"/>
      <c r="AS79" s="1968"/>
      <c r="AT79" s="1968"/>
      <c r="AU79" s="1968"/>
      <c r="AV79" s="1968"/>
      <c r="AW79" s="1968"/>
      <c r="AX79" s="1968"/>
      <c r="AY79" s="1968"/>
      <c r="AZ79" s="1968"/>
      <c r="BA79" s="1968"/>
      <c r="BB79" s="1968"/>
      <c r="BC79" s="1968"/>
      <c r="BD79" s="1968"/>
      <c r="BE79" s="1968"/>
      <c r="BF79" s="1968"/>
      <c r="BG79" s="7235"/>
    </row>
    <row customHeight="1" ht="11.25">
      <c r="A80" s="1312" t="s">
        <v>1060</v>
      </c>
      <c r="B80" s="1312"/>
      <c r="C80" s="1312"/>
      <c r="D80" s="1306"/>
      <c r="E80" s="1316"/>
      <c r="F80" s="1974"/>
      <c r="G80" s="1975"/>
      <c r="H80" s="2674" t="s">
        <v>123</v>
      </c>
      <c r="I80" s="2675"/>
      <c r="J80" s="8450"/>
      <c r="K80" s="2676"/>
      <c r="L80" s="2266"/>
      <c r="M80" s="2267"/>
      <c r="N80" s="2667"/>
      <c r="O80" s="2668"/>
      <c r="P80" s="2670"/>
      <c r="Q80" s="2672"/>
      <c r="R80" s="2672"/>
      <c r="S80" s="2673"/>
      <c r="T80" s="2672"/>
      <c r="U80" s="2672"/>
      <c r="V80" s="2672"/>
      <c r="W80" s="2672"/>
      <c r="X80" s="2672"/>
      <c r="Y80" s="2672"/>
      <c r="Z80" s="1973"/>
      <c r="AA80" s="1939">
        <v>1</v>
      </c>
      <c r="AB80" s="1325" t="s">
        <v>1106</v>
      </c>
      <c r="AC80" s="1315">
        <v>7495</v>
      </c>
      <c r="AD80" s="1325" t="str">
        <f>AB80</f>
        <v>  Прибыль направляемая на инвестиции</v>
      </c>
      <c r="AE80" s="1315">
        <v>7495</v>
      </c>
      <c r="AF80" s="2665"/>
      <c r="AG80" s="2666"/>
      <c r="AH80" s="2666"/>
      <c r="AI80" s="2665"/>
      <c r="AJ80" s="2666"/>
      <c r="AK80" s="2666"/>
      <c r="AL80" s="2131"/>
      <c r="AM80" s="1968"/>
      <c r="AN80" s="1968"/>
      <c r="AO80" s="1968"/>
      <c r="AP80" s="1968"/>
      <c r="AQ80" s="1968"/>
      <c r="AR80" s="1968"/>
      <c r="AS80" s="1968"/>
      <c r="AT80" s="1968"/>
      <c r="AU80" s="1968"/>
      <c r="AV80" s="1968"/>
      <c r="AW80" s="1968"/>
      <c r="AX80" s="1968"/>
      <c r="AY80" s="1968"/>
      <c r="AZ80" s="1968"/>
      <c r="BA80" s="1968"/>
      <c r="BB80" s="1968"/>
      <c r="BC80" s="1968"/>
      <c r="BD80" s="1968"/>
      <c r="BE80" s="1968"/>
      <c r="BF80" s="1968"/>
      <c r="BG80" s="7235"/>
    </row>
    <row customHeight="1" ht="11.25">
      <c r="A81" s="1312" t="s">
        <v>1060</v>
      </c>
      <c r="B81" s="1312"/>
      <c r="C81" s="1312"/>
      <c r="D81" s="1306"/>
      <c r="E81" s="1316"/>
      <c r="F81" s="1974"/>
      <c r="G81" s="1975"/>
      <c r="H81" s="2674" t="s">
        <v>123</v>
      </c>
      <c r="I81" s="2675"/>
      <c r="J81" s="8450"/>
      <c r="K81" s="2676"/>
      <c r="L81" s="2266"/>
      <c r="M81" s="2267"/>
      <c r="N81" s="2667"/>
      <c r="O81" s="2668"/>
      <c r="P81" s="2671"/>
      <c r="Q81" s="2672"/>
      <c r="R81" s="2672"/>
      <c r="S81" s="2673"/>
      <c r="T81" s="2672"/>
      <c r="U81" s="2672"/>
      <c r="V81" s="2672"/>
      <c r="W81" s="2672"/>
      <c r="X81" s="2672"/>
      <c r="Y81" s="2672"/>
      <c r="Z81" s="1321"/>
      <c r="AA81" s="1322"/>
      <c r="AB81" s="1387" t="s">
        <v>1107</v>
      </c>
      <c r="AC81" s="1326"/>
      <c r="AD81" s="1326"/>
      <c r="AE81" s="1328"/>
      <c r="AF81" s="2665"/>
      <c r="AG81" s="2666"/>
      <c r="AH81" s="2666"/>
      <c r="AI81" s="2665"/>
      <c r="AJ81" s="2666"/>
      <c r="AK81" s="2666"/>
      <c r="AL81" s="2131"/>
      <c r="AM81" s="1968"/>
      <c r="AN81" s="1968"/>
      <c r="AO81" s="1968"/>
      <c r="AP81" s="1968"/>
      <c r="AQ81" s="1968"/>
      <c r="AR81" s="1968"/>
      <c r="AS81" s="1968"/>
      <c r="AT81" s="1968"/>
      <c r="AU81" s="1968"/>
      <c r="AV81" s="1968"/>
      <c r="AW81" s="1968"/>
      <c r="AX81" s="1968"/>
      <c r="AY81" s="1968"/>
      <c r="AZ81" s="1968"/>
      <c r="BA81" s="1968"/>
      <c r="BB81" s="1968"/>
      <c r="BC81" s="1968"/>
      <c r="BD81" s="1968"/>
      <c r="BE81" s="1968"/>
      <c r="BF81" s="1968"/>
      <c r="BG81" s="7235"/>
    </row>
    <row customHeight="1" ht="11.25">
      <c r="A82" s="1312" t="s">
        <v>1060</v>
      </c>
      <c r="B82" s="1312"/>
      <c r="C82" s="1312"/>
      <c r="D82" s="1306"/>
      <c r="E82" s="1316"/>
      <c r="F82" s="1974"/>
      <c r="G82" s="1975"/>
      <c r="H82" s="2674" t="s">
        <v>123</v>
      </c>
      <c r="I82" s="2675"/>
      <c r="J82" s="8450"/>
      <c r="K82" s="2676"/>
      <c r="L82" s="2266"/>
      <c r="M82" s="2267"/>
      <c r="N82" s="1321"/>
      <c r="O82" s="1322"/>
      <c r="P82" s="1314" t="s">
        <v>1108</v>
      </c>
      <c r="Q82" s="1322"/>
      <c r="R82" s="1322"/>
      <c r="S82" s="1322"/>
      <c r="T82" s="1322"/>
      <c r="U82" s="1322"/>
      <c r="V82" s="1322"/>
      <c r="W82" s="1322"/>
      <c r="X82" s="1322"/>
      <c r="Y82" s="1322"/>
      <c r="Z82" s="1322"/>
      <c r="AA82" s="1322"/>
      <c r="AB82" s="1322"/>
      <c r="AC82" s="1322"/>
      <c r="AD82" s="1322"/>
      <c r="AE82" s="1329"/>
      <c r="AF82" s="2665"/>
      <c r="AG82" s="2666"/>
      <c r="AH82" s="2666"/>
      <c r="AI82" s="2665"/>
      <c r="AJ82" s="2666"/>
      <c r="AK82" s="2666"/>
      <c r="AL82" s="2131"/>
      <c r="AM82" s="1968"/>
      <c r="AN82" s="1968"/>
      <c r="AO82" s="1968"/>
      <c r="AP82" s="1968"/>
      <c r="AQ82" s="1968"/>
      <c r="AR82" s="1968"/>
      <c r="AS82" s="1968"/>
      <c r="AT82" s="1968"/>
      <c r="AU82" s="1968"/>
      <c r="AV82" s="1968"/>
      <c r="AW82" s="1968"/>
      <c r="AX82" s="1968"/>
      <c r="AY82" s="1968"/>
      <c r="AZ82" s="1968"/>
      <c r="BA82" s="1968"/>
      <c r="BB82" s="1968"/>
      <c r="BC82" s="1968"/>
      <c r="BD82" s="1968"/>
      <c r="BE82" s="1968"/>
      <c r="BF82" s="1968"/>
      <c r="BG82" s="7235"/>
    </row>
    <row customHeight="1" ht="11.25">
      <c r="A83" s="1312" t="s">
        <v>1060</v>
      </c>
      <c r="B83" s="1312" t="s">
        <v>22</v>
      </c>
      <c r="C83" s="1312"/>
      <c r="D83" s="1306"/>
      <c r="E83" s="1316"/>
      <c r="F83" s="1974"/>
      <c r="G83" s="7143" t="s">
        <v>106</v>
      </c>
      <c r="H83" s="2674" t="s">
        <v>173</v>
      </c>
      <c r="I83" s="2675" t="s">
        <v>1101</v>
      </c>
      <c r="J83" s="8450" t="s">
        <v>22</v>
      </c>
      <c r="K83" s="2676" t="s">
        <v>1138</v>
      </c>
      <c r="L83" s="2266" t="s">
        <v>19</v>
      </c>
      <c r="M83" s="2267"/>
      <c r="N83" s="2129"/>
      <c r="O83" s="1323" t="s">
        <v>398</v>
      </c>
      <c r="P83" s="1324"/>
      <c r="Q83" s="1324"/>
      <c r="R83" s="1324"/>
      <c r="S83" s="1324"/>
      <c r="T83" s="1324"/>
      <c r="U83" s="1324"/>
      <c r="V83" s="1324"/>
      <c r="W83" s="1324"/>
      <c r="X83" s="1324"/>
      <c r="Y83" s="1324"/>
      <c r="Z83" s="1324"/>
      <c r="AA83" s="1324"/>
      <c r="AB83" s="1324"/>
      <c r="AC83" s="1324"/>
      <c r="AD83" s="1324"/>
      <c r="AE83" s="1324"/>
      <c r="AF83" s="2665">
        <v>2021</v>
      </c>
      <c r="AG83" s="2666" t="s">
        <v>1103</v>
      </c>
      <c r="AH83" s="2666" t="s">
        <v>1111</v>
      </c>
      <c r="AI83" s="2665">
        <v>2021</v>
      </c>
      <c r="AJ83" s="2666" t="s">
        <v>1103</v>
      </c>
      <c r="AK83" s="2666" t="s">
        <v>1111</v>
      </c>
      <c r="AL83" s="2131"/>
      <c r="AM83" s="1968"/>
      <c r="AN83" s="1968"/>
      <c r="AO83" s="1968"/>
      <c r="AP83" s="1968"/>
      <c r="AQ83" s="1968"/>
      <c r="AR83" s="1968"/>
      <c r="AS83" s="1968"/>
      <c r="AT83" s="1968"/>
      <c r="AU83" s="1968"/>
      <c r="AV83" s="1968"/>
      <c r="AW83" s="1968"/>
      <c r="AX83" s="1968"/>
      <c r="AY83" s="1968"/>
      <c r="AZ83" s="1968"/>
      <c r="BA83" s="1968"/>
      <c r="BB83" s="1968"/>
      <c r="BC83" s="1968"/>
      <c r="BD83" s="1968"/>
      <c r="BE83" s="1968"/>
      <c r="BF83" s="1968"/>
      <c r="BG83" s="7235"/>
    </row>
    <row customHeight="1" ht="11.25">
      <c r="A84" s="1312" t="s">
        <v>1060</v>
      </c>
      <c r="B84" s="1312"/>
      <c r="C84" s="1312"/>
      <c r="D84" s="1306"/>
      <c r="E84" s="1316"/>
      <c r="F84" s="1974"/>
      <c r="G84" s="1975"/>
      <c r="H84" s="2674" t="s">
        <v>172</v>
      </c>
      <c r="I84" s="2675"/>
      <c r="J84" s="8450"/>
      <c r="K84" s="2676"/>
      <c r="L84" s="2266"/>
      <c r="M84" s="2267"/>
      <c r="N84" s="2667"/>
      <c r="O84" s="2668">
        <v>1</v>
      </c>
      <c r="P84" s="2669" t="s">
        <v>63</v>
      </c>
      <c r="Q84" s="8451" t="s">
        <v>1139</v>
      </c>
      <c r="R84" s="8452" t="s">
        <v>1114</v>
      </c>
      <c r="S84" s="8452" t="s">
        <v>113</v>
      </c>
      <c r="T84" s="8452" t="s">
        <v>113</v>
      </c>
      <c r="U84" s="8452" t="s">
        <v>114</v>
      </c>
      <c r="V84" s="8452" t="s">
        <v>1115</v>
      </c>
      <c r="W84" s="8452" t="s">
        <v>1116</v>
      </c>
      <c r="X84" s="8452" t="s">
        <v>1140</v>
      </c>
      <c r="Y84" s="8452" t="s">
        <v>1141</v>
      </c>
      <c r="Z84" s="1321"/>
      <c r="AA84" s="1322"/>
      <c r="AB84" s="1322"/>
      <c r="AC84" s="1326"/>
      <c r="AD84" s="1326"/>
      <c r="AE84" s="1327"/>
      <c r="AF84" s="2665"/>
      <c r="AG84" s="2666"/>
      <c r="AH84" s="2666"/>
      <c r="AI84" s="2665"/>
      <c r="AJ84" s="2666"/>
      <c r="AK84" s="2666"/>
      <c r="AL84" s="2131"/>
      <c r="AM84" s="1968"/>
      <c r="AN84" s="1968"/>
      <c r="AO84" s="1968"/>
      <c r="AP84" s="1968"/>
      <c r="AQ84" s="1968"/>
      <c r="AR84" s="1968"/>
      <c r="AS84" s="1968"/>
      <c r="AT84" s="1968"/>
      <c r="AU84" s="1968"/>
      <c r="AV84" s="1968"/>
      <c r="AW84" s="1968"/>
      <c r="AX84" s="1968"/>
      <c r="AY84" s="1968"/>
      <c r="AZ84" s="1968"/>
      <c r="BA84" s="1968"/>
      <c r="BB84" s="1968"/>
      <c r="BC84" s="1968"/>
      <c r="BD84" s="1968"/>
      <c r="BE84" s="1968"/>
      <c r="BF84" s="1968"/>
      <c r="BG84" s="7235"/>
    </row>
    <row customHeight="1" ht="11.25">
      <c r="A85" s="1312" t="s">
        <v>1060</v>
      </c>
      <c r="B85" s="1312"/>
      <c r="C85" s="1312"/>
      <c r="D85" s="1306"/>
      <c r="E85" s="1316"/>
      <c r="F85" s="1974"/>
      <c r="G85" s="1975"/>
      <c r="H85" s="2674" t="s">
        <v>172</v>
      </c>
      <c r="I85" s="2675"/>
      <c r="J85" s="8450"/>
      <c r="K85" s="2676"/>
      <c r="L85" s="2266"/>
      <c r="M85" s="2267"/>
      <c r="N85" s="2667"/>
      <c r="O85" s="2668"/>
      <c r="P85" s="2670"/>
      <c r="Q85" s="8451"/>
      <c r="R85" s="2672"/>
      <c r="S85" s="2673"/>
      <c r="T85" s="2672"/>
      <c r="U85" s="2672"/>
      <c r="V85" s="2672"/>
      <c r="W85" s="2672"/>
      <c r="X85" s="2672"/>
      <c r="Y85" s="2672"/>
      <c r="Z85" s="1973"/>
      <c r="AA85" s="1939">
        <v>1</v>
      </c>
      <c r="AB85" s="1325" t="s">
        <v>1106</v>
      </c>
      <c r="AC85" s="1315">
        <v>1592.1</v>
      </c>
      <c r="AD85" s="1325" t="str">
        <f>AB85</f>
        <v>  Прибыль направляемая на инвестиции</v>
      </c>
      <c r="AE85" s="1315">
        <v>1192.98</v>
      </c>
      <c r="AF85" s="2665"/>
      <c r="AG85" s="2666"/>
      <c r="AH85" s="2666"/>
      <c r="AI85" s="2665"/>
      <c r="AJ85" s="2666"/>
      <c r="AK85" s="2666"/>
      <c r="AL85" s="2131"/>
      <c r="AM85" s="1968"/>
      <c r="AN85" s="1968"/>
      <c r="AO85" s="1968"/>
      <c r="AP85" s="1968"/>
      <c r="AQ85" s="1968"/>
      <c r="AR85" s="1968"/>
      <c r="AS85" s="1968"/>
      <c r="AT85" s="1968"/>
      <c r="AU85" s="1968"/>
      <c r="AV85" s="1968"/>
      <c r="AW85" s="1968"/>
      <c r="AX85" s="1968"/>
      <c r="AY85" s="1968"/>
      <c r="AZ85" s="1968"/>
      <c r="BA85" s="1968"/>
      <c r="BB85" s="1968"/>
      <c r="BC85" s="1968"/>
      <c r="BD85" s="1968"/>
      <c r="BE85" s="1968"/>
      <c r="BF85" s="1968"/>
      <c r="BG85" s="7235"/>
    </row>
    <row customHeight="1" ht="11.25">
      <c r="A86" s="1312" t="s">
        <v>1060</v>
      </c>
      <c r="B86" s="1312"/>
      <c r="C86" s="1312"/>
      <c r="D86" s="1306"/>
      <c r="E86" s="1316"/>
      <c r="F86" s="1974"/>
      <c r="G86" s="1975"/>
      <c r="H86" s="2674" t="s">
        <v>172</v>
      </c>
      <c r="I86" s="2675"/>
      <c r="J86" s="8450"/>
      <c r="K86" s="2676"/>
      <c r="L86" s="2266"/>
      <c r="M86" s="2267"/>
      <c r="N86" s="2667"/>
      <c r="O86" s="2668"/>
      <c r="P86" s="2671"/>
      <c r="Q86" s="8451"/>
      <c r="R86" s="2672"/>
      <c r="S86" s="2673"/>
      <c r="T86" s="2672"/>
      <c r="U86" s="2672"/>
      <c r="V86" s="2672"/>
      <c r="W86" s="2672"/>
      <c r="X86" s="2672"/>
      <c r="Y86" s="2672"/>
      <c r="Z86" s="1321"/>
      <c r="AA86" s="1322"/>
      <c r="AB86" s="1387" t="s">
        <v>1107</v>
      </c>
      <c r="AC86" s="1326"/>
      <c r="AD86" s="1326"/>
      <c r="AE86" s="1328"/>
      <c r="AF86" s="2665"/>
      <c r="AG86" s="2666"/>
      <c r="AH86" s="2666"/>
      <c r="AI86" s="2665"/>
      <c r="AJ86" s="2666"/>
      <c r="AK86" s="2666"/>
      <c r="AL86" s="2131"/>
      <c r="AM86" s="1968"/>
      <c r="AN86" s="1968"/>
      <c r="AO86" s="1968"/>
      <c r="AP86" s="1968"/>
      <c r="AQ86" s="1968"/>
      <c r="AR86" s="1968"/>
      <c r="AS86" s="1968"/>
      <c r="AT86" s="1968"/>
      <c r="AU86" s="1968"/>
      <c r="AV86" s="1968"/>
      <c r="AW86" s="1968"/>
      <c r="AX86" s="1968"/>
      <c r="AY86" s="1968"/>
      <c r="AZ86" s="1968"/>
      <c r="BA86" s="1968"/>
      <c r="BB86" s="1968"/>
      <c r="BC86" s="1968"/>
      <c r="BD86" s="1968"/>
      <c r="BE86" s="1968"/>
      <c r="BF86" s="1968"/>
      <c r="BG86" s="7235"/>
    </row>
    <row customHeight="1" ht="11.25">
      <c r="A87" s="1312" t="s">
        <v>1060</v>
      </c>
      <c r="B87" s="1312"/>
      <c r="C87" s="1312"/>
      <c r="D87" s="1306"/>
      <c r="E87" s="1316"/>
      <c r="F87" s="1974"/>
      <c r="G87" s="1975"/>
      <c r="H87" s="2674" t="s">
        <v>172</v>
      </c>
      <c r="I87" s="2675"/>
      <c r="J87" s="8450"/>
      <c r="K87" s="2676"/>
      <c r="L87" s="2266"/>
      <c r="M87" s="2267"/>
      <c r="N87" s="1321"/>
      <c r="O87" s="1322"/>
      <c r="P87" s="1314" t="s">
        <v>1108</v>
      </c>
      <c r="Q87" s="1322"/>
      <c r="R87" s="1322"/>
      <c r="S87" s="1322"/>
      <c r="T87" s="1322"/>
      <c r="U87" s="1322"/>
      <c r="V87" s="1322"/>
      <c r="W87" s="1322"/>
      <c r="X87" s="1322"/>
      <c r="Y87" s="1322"/>
      <c r="Z87" s="1322"/>
      <c r="AA87" s="1322"/>
      <c r="AB87" s="1322"/>
      <c r="AC87" s="1322"/>
      <c r="AD87" s="1322"/>
      <c r="AE87" s="1329"/>
      <c r="AF87" s="2665"/>
      <c r="AG87" s="2666"/>
      <c r="AH87" s="2666"/>
      <c r="AI87" s="2665"/>
      <c r="AJ87" s="2666"/>
      <c r="AK87" s="2666"/>
      <c r="AL87" s="2131"/>
      <c r="AM87" s="1968"/>
      <c r="AN87" s="1968"/>
      <c r="AO87" s="1968"/>
      <c r="AP87" s="1968"/>
      <c r="AQ87" s="1968"/>
      <c r="AR87" s="1968"/>
      <c r="AS87" s="1968"/>
      <c r="AT87" s="1968"/>
      <c r="AU87" s="1968"/>
      <c r="AV87" s="1968"/>
      <c r="AW87" s="1968"/>
      <c r="AX87" s="1968"/>
      <c r="AY87" s="1968"/>
      <c r="AZ87" s="1968"/>
      <c r="BA87" s="1968"/>
      <c r="BB87" s="1968"/>
      <c r="BC87" s="1968"/>
      <c r="BD87" s="1968"/>
      <c r="BE87" s="1968"/>
      <c r="BF87" s="1968"/>
      <c r="BG87" s="7235"/>
    </row>
    <row customHeight="1" ht="11.25">
      <c r="A88" s="1312" t="s">
        <v>1060</v>
      </c>
      <c r="B88" s="1312" t="s">
        <v>22</v>
      </c>
      <c r="C88" s="1312"/>
      <c r="D88" s="1306"/>
      <c r="E88" s="1316"/>
      <c r="F88" s="1974"/>
      <c r="G88" s="7143" t="s">
        <v>106</v>
      </c>
      <c r="H88" s="2674" t="s">
        <v>174</v>
      </c>
      <c r="I88" s="2675" t="s">
        <v>1101</v>
      </c>
      <c r="J88" s="8450" t="s">
        <v>22</v>
      </c>
      <c r="K88" s="2676" t="s">
        <v>1142</v>
      </c>
      <c r="L88" s="2266" t="s">
        <v>19</v>
      </c>
      <c r="M88" s="2267"/>
      <c r="N88" s="2129"/>
      <c r="O88" s="1323" t="s">
        <v>398</v>
      </c>
      <c r="P88" s="1324"/>
      <c r="Q88" s="1324"/>
      <c r="R88" s="1324"/>
      <c r="S88" s="1324"/>
      <c r="T88" s="1324"/>
      <c r="U88" s="1324"/>
      <c r="V88" s="1324"/>
      <c r="W88" s="1324"/>
      <c r="X88" s="1324"/>
      <c r="Y88" s="1324"/>
      <c r="Z88" s="1324"/>
      <c r="AA88" s="1324"/>
      <c r="AB88" s="1324"/>
      <c r="AC88" s="1324"/>
      <c r="AD88" s="1324"/>
      <c r="AE88" s="1324"/>
      <c r="AF88" s="2665">
        <v>2021</v>
      </c>
      <c r="AG88" s="2666" t="s">
        <v>1103</v>
      </c>
      <c r="AH88" s="2666" t="s">
        <v>1111</v>
      </c>
      <c r="AI88" s="2665">
        <v>2021</v>
      </c>
      <c r="AJ88" s="2666" t="s">
        <v>1103</v>
      </c>
      <c r="AK88" s="2666" t="s">
        <v>1111</v>
      </c>
      <c r="AL88" s="2131"/>
      <c r="AM88" s="1968"/>
      <c r="AN88" s="1968"/>
      <c r="AO88" s="1968"/>
      <c r="AP88" s="1968"/>
      <c r="AQ88" s="1968"/>
      <c r="AR88" s="1968"/>
      <c r="AS88" s="1968"/>
      <c r="AT88" s="1968"/>
      <c r="AU88" s="1968"/>
      <c r="AV88" s="1968"/>
      <c r="AW88" s="1968"/>
      <c r="AX88" s="1968"/>
      <c r="AY88" s="1968"/>
      <c r="AZ88" s="1968"/>
      <c r="BA88" s="1968"/>
      <c r="BB88" s="1968"/>
      <c r="BC88" s="1968"/>
      <c r="BD88" s="1968"/>
      <c r="BE88" s="1968"/>
      <c r="BF88" s="1968"/>
      <c r="BG88" s="7235"/>
    </row>
    <row customHeight="1" ht="11.25">
      <c r="A89" s="1312" t="s">
        <v>1060</v>
      </c>
      <c r="B89" s="1312"/>
      <c r="C89" s="1312"/>
      <c r="D89" s="1306"/>
      <c r="E89" s="1316"/>
      <c r="F89" s="1974"/>
      <c r="G89" s="1975"/>
      <c r="H89" s="2674" t="s">
        <v>173</v>
      </c>
      <c r="I89" s="2675"/>
      <c r="J89" s="8450"/>
      <c r="K89" s="2676"/>
      <c r="L89" s="2266"/>
      <c r="M89" s="2267"/>
      <c r="N89" s="2667"/>
      <c r="O89" s="2668">
        <v>1</v>
      </c>
      <c r="P89" s="2669" t="s">
        <v>63</v>
      </c>
      <c r="Q89" s="8451" t="s">
        <v>1143</v>
      </c>
      <c r="R89" s="8452" t="s">
        <v>1114</v>
      </c>
      <c r="S89" s="8452" t="s">
        <v>113</v>
      </c>
      <c r="T89" s="8452" t="s">
        <v>113</v>
      </c>
      <c r="U89" s="8452" t="s">
        <v>114</v>
      </c>
      <c r="V89" s="8452" t="s">
        <v>1115</v>
      </c>
      <c r="W89" s="8452" t="s">
        <v>1116</v>
      </c>
      <c r="X89" s="8452" t="s">
        <v>1144</v>
      </c>
      <c r="Y89" s="8452" t="s">
        <v>1145</v>
      </c>
      <c r="Z89" s="1321"/>
      <c r="AA89" s="1322"/>
      <c r="AB89" s="1322"/>
      <c r="AC89" s="1326"/>
      <c r="AD89" s="1326"/>
      <c r="AE89" s="1327"/>
      <c r="AF89" s="2665"/>
      <c r="AG89" s="2666"/>
      <c r="AH89" s="2666"/>
      <c r="AI89" s="2665"/>
      <c r="AJ89" s="2666"/>
      <c r="AK89" s="2666"/>
      <c r="AL89" s="2131"/>
      <c r="AM89" s="1968"/>
      <c r="AN89" s="1968"/>
      <c r="AO89" s="1968"/>
      <c r="AP89" s="1968"/>
      <c r="AQ89" s="1968"/>
      <c r="AR89" s="1968"/>
      <c r="AS89" s="1968"/>
      <c r="AT89" s="1968"/>
      <c r="AU89" s="1968"/>
      <c r="AV89" s="1968"/>
      <c r="AW89" s="1968"/>
      <c r="AX89" s="1968"/>
      <c r="AY89" s="1968"/>
      <c r="AZ89" s="1968"/>
      <c r="BA89" s="1968"/>
      <c r="BB89" s="1968"/>
      <c r="BC89" s="1968"/>
      <c r="BD89" s="1968"/>
      <c r="BE89" s="1968"/>
      <c r="BF89" s="1968"/>
      <c r="BG89" s="7235"/>
    </row>
    <row customHeight="1" ht="11.25">
      <c r="A90" s="1312" t="s">
        <v>1060</v>
      </c>
      <c r="B90" s="1312"/>
      <c r="C90" s="1312"/>
      <c r="D90" s="1306"/>
      <c r="E90" s="1316"/>
      <c r="F90" s="1974"/>
      <c r="G90" s="1975"/>
      <c r="H90" s="2674" t="s">
        <v>173</v>
      </c>
      <c r="I90" s="2675"/>
      <c r="J90" s="8450"/>
      <c r="K90" s="2676"/>
      <c r="L90" s="2266"/>
      <c r="M90" s="2267"/>
      <c r="N90" s="2667"/>
      <c r="O90" s="2668"/>
      <c r="P90" s="2670"/>
      <c r="Q90" s="8451"/>
      <c r="R90" s="2672"/>
      <c r="S90" s="2673"/>
      <c r="T90" s="2672"/>
      <c r="U90" s="2672"/>
      <c r="V90" s="2672"/>
      <c r="W90" s="2672"/>
      <c r="X90" s="2672"/>
      <c r="Y90" s="2672"/>
      <c r="Z90" s="1973"/>
      <c r="AA90" s="1939">
        <v>1</v>
      </c>
      <c r="AB90" s="1325" t="s">
        <v>1106</v>
      </c>
      <c r="AC90" s="1315">
        <v>1373.82</v>
      </c>
      <c r="AD90" s="1325" t="str">
        <f>AB90</f>
        <v>  Прибыль направляемая на инвестиции</v>
      </c>
      <c r="AE90" s="1315">
        <v>985.85</v>
      </c>
      <c r="AF90" s="2665"/>
      <c r="AG90" s="2666"/>
      <c r="AH90" s="2666"/>
      <c r="AI90" s="2665"/>
      <c r="AJ90" s="2666"/>
      <c r="AK90" s="2666"/>
      <c r="AL90" s="2131"/>
      <c r="AM90" s="1968"/>
      <c r="AN90" s="1968"/>
      <c r="AO90" s="1968"/>
      <c r="AP90" s="1968"/>
      <c r="AQ90" s="1968"/>
      <c r="AR90" s="1968"/>
      <c r="AS90" s="1968"/>
      <c r="AT90" s="1968"/>
      <c r="AU90" s="1968"/>
      <c r="AV90" s="1968"/>
      <c r="AW90" s="1968"/>
      <c r="AX90" s="1968"/>
      <c r="AY90" s="1968"/>
      <c r="AZ90" s="1968"/>
      <c r="BA90" s="1968"/>
      <c r="BB90" s="1968"/>
      <c r="BC90" s="1968"/>
      <c r="BD90" s="1968"/>
      <c r="BE90" s="1968"/>
      <c r="BF90" s="1968"/>
      <c r="BG90" s="7235"/>
    </row>
    <row customHeight="1" ht="11.25">
      <c r="A91" s="1312" t="s">
        <v>1060</v>
      </c>
      <c r="B91" s="1312"/>
      <c r="C91" s="1312"/>
      <c r="D91" s="1306"/>
      <c r="E91" s="1316"/>
      <c r="F91" s="1974"/>
      <c r="G91" s="1975"/>
      <c r="H91" s="2674" t="s">
        <v>173</v>
      </c>
      <c r="I91" s="2675"/>
      <c r="J91" s="8450"/>
      <c r="K91" s="2676"/>
      <c r="L91" s="2266"/>
      <c r="M91" s="2267"/>
      <c r="N91" s="2667"/>
      <c r="O91" s="2668"/>
      <c r="P91" s="2671"/>
      <c r="Q91" s="8451"/>
      <c r="R91" s="2672"/>
      <c r="S91" s="2673"/>
      <c r="T91" s="2672"/>
      <c r="U91" s="2672"/>
      <c r="V91" s="2672"/>
      <c r="W91" s="2672"/>
      <c r="X91" s="2672"/>
      <c r="Y91" s="2672"/>
      <c r="Z91" s="1321"/>
      <c r="AA91" s="1322"/>
      <c r="AB91" s="1387" t="s">
        <v>1107</v>
      </c>
      <c r="AC91" s="1326"/>
      <c r="AD91" s="1326"/>
      <c r="AE91" s="1328"/>
      <c r="AF91" s="2665"/>
      <c r="AG91" s="2666"/>
      <c r="AH91" s="2666"/>
      <c r="AI91" s="2665"/>
      <c r="AJ91" s="2666"/>
      <c r="AK91" s="2666"/>
      <c r="AL91" s="2131"/>
      <c r="AM91" s="1968"/>
      <c r="AN91" s="1968"/>
      <c r="AO91" s="1968"/>
      <c r="AP91" s="1968"/>
      <c r="AQ91" s="1968"/>
      <c r="AR91" s="1968"/>
      <c r="AS91" s="1968"/>
      <c r="AT91" s="1968"/>
      <c r="AU91" s="1968"/>
      <c r="AV91" s="1968"/>
      <c r="AW91" s="1968"/>
      <c r="AX91" s="1968"/>
      <c r="AY91" s="1968"/>
      <c r="AZ91" s="1968"/>
      <c r="BA91" s="1968"/>
      <c r="BB91" s="1968"/>
      <c r="BC91" s="1968"/>
      <c r="BD91" s="1968"/>
      <c r="BE91" s="1968"/>
      <c r="BF91" s="1968"/>
      <c r="BG91" s="7235"/>
    </row>
    <row customHeight="1" ht="11.25">
      <c r="A92" s="1312" t="s">
        <v>1060</v>
      </c>
      <c r="B92" s="1312"/>
      <c r="C92" s="1312"/>
      <c r="D92" s="1306"/>
      <c r="E92" s="1316"/>
      <c r="F92" s="1974"/>
      <c r="G92" s="1975"/>
      <c r="H92" s="2674" t="s">
        <v>173</v>
      </c>
      <c r="I92" s="2675"/>
      <c r="J92" s="8450"/>
      <c r="K92" s="2676"/>
      <c r="L92" s="2266"/>
      <c r="M92" s="2267"/>
      <c r="N92" s="1321"/>
      <c r="O92" s="1322"/>
      <c r="P92" s="1314" t="s">
        <v>1108</v>
      </c>
      <c r="Q92" s="1322"/>
      <c r="R92" s="1322"/>
      <c r="S92" s="1322"/>
      <c r="T92" s="1322"/>
      <c r="U92" s="1322"/>
      <c r="V92" s="1322"/>
      <c r="W92" s="1322"/>
      <c r="X92" s="1322"/>
      <c r="Y92" s="1322"/>
      <c r="Z92" s="1322"/>
      <c r="AA92" s="1322"/>
      <c r="AB92" s="1322"/>
      <c r="AC92" s="1322"/>
      <c r="AD92" s="1322"/>
      <c r="AE92" s="1329"/>
      <c r="AF92" s="2665"/>
      <c r="AG92" s="2666"/>
      <c r="AH92" s="2666"/>
      <c r="AI92" s="2665"/>
      <c r="AJ92" s="2666"/>
      <c r="AK92" s="2666"/>
      <c r="AL92" s="2131"/>
      <c r="AM92" s="1968"/>
      <c r="AN92" s="1968"/>
      <c r="AO92" s="1968"/>
      <c r="AP92" s="1968"/>
      <c r="AQ92" s="1968"/>
      <c r="AR92" s="1968"/>
      <c r="AS92" s="1968"/>
      <c r="AT92" s="1968"/>
      <c r="AU92" s="1968"/>
      <c r="AV92" s="1968"/>
      <c r="AW92" s="1968"/>
      <c r="AX92" s="1968"/>
      <c r="AY92" s="1968"/>
      <c r="AZ92" s="1968"/>
      <c r="BA92" s="1968"/>
      <c r="BB92" s="1968"/>
      <c r="BC92" s="1968"/>
      <c r="BD92" s="1968"/>
      <c r="BE92" s="1968"/>
      <c r="BF92" s="1968"/>
      <c r="BG92" s="7235"/>
    </row>
    <row customHeight="1" ht="11.25">
      <c r="A93" s="1312" t="s">
        <v>1060</v>
      </c>
      <c r="B93" s="1312" t="s">
        <v>22</v>
      </c>
      <c r="C93" s="1312"/>
      <c r="D93" s="1306"/>
      <c r="E93" s="1316"/>
      <c r="F93" s="1974"/>
      <c r="G93" s="7143" t="s">
        <v>106</v>
      </c>
      <c r="H93" s="2674" t="s">
        <v>175</v>
      </c>
      <c r="I93" s="2675" t="s">
        <v>1101</v>
      </c>
      <c r="J93" s="8450" t="s">
        <v>22</v>
      </c>
      <c r="K93" s="2676" t="s">
        <v>1146</v>
      </c>
      <c r="L93" s="2266" t="s">
        <v>19</v>
      </c>
      <c r="M93" s="2267"/>
      <c r="N93" s="2129"/>
      <c r="O93" s="1323" t="s">
        <v>398</v>
      </c>
      <c r="P93" s="1324"/>
      <c r="Q93" s="1324"/>
      <c r="R93" s="1324"/>
      <c r="S93" s="1324"/>
      <c r="T93" s="1324"/>
      <c r="U93" s="1324"/>
      <c r="V93" s="1324"/>
      <c r="W93" s="1324"/>
      <c r="X93" s="1324"/>
      <c r="Y93" s="1324"/>
      <c r="Z93" s="1324"/>
      <c r="AA93" s="1324"/>
      <c r="AB93" s="1324"/>
      <c r="AC93" s="1324"/>
      <c r="AD93" s="1324"/>
      <c r="AE93" s="1324"/>
      <c r="AF93" s="2665">
        <v>2021</v>
      </c>
      <c r="AG93" s="2666" t="s">
        <v>1103</v>
      </c>
      <c r="AH93" s="2666" t="s">
        <v>1111</v>
      </c>
      <c r="AI93" s="2665">
        <v>2021</v>
      </c>
      <c r="AJ93" s="2666" t="s">
        <v>1103</v>
      </c>
      <c r="AK93" s="2666" t="s">
        <v>1111</v>
      </c>
      <c r="AL93" s="2131"/>
      <c r="AM93" s="1968"/>
      <c r="AN93" s="1968"/>
      <c r="AO93" s="1968"/>
      <c r="AP93" s="1968"/>
      <c r="AQ93" s="1968"/>
      <c r="AR93" s="1968"/>
      <c r="AS93" s="1968"/>
      <c r="AT93" s="1968"/>
      <c r="AU93" s="1968"/>
      <c r="AV93" s="1968"/>
      <c r="AW93" s="1968"/>
      <c r="AX93" s="1968"/>
      <c r="AY93" s="1968"/>
      <c r="AZ93" s="1968"/>
      <c r="BA93" s="1968"/>
      <c r="BB93" s="1968"/>
      <c r="BC93" s="1968"/>
      <c r="BD93" s="1968"/>
      <c r="BE93" s="1968"/>
      <c r="BF93" s="1968"/>
      <c r="BG93" s="7235"/>
    </row>
    <row customHeight="1" ht="11.25">
      <c r="A94" s="1312" t="s">
        <v>1060</v>
      </c>
      <c r="B94" s="1312"/>
      <c r="C94" s="1312"/>
      <c r="D94" s="1306"/>
      <c r="E94" s="1316"/>
      <c r="F94" s="1974"/>
      <c r="G94" s="1975"/>
      <c r="H94" s="2674" t="s">
        <v>174</v>
      </c>
      <c r="I94" s="2675"/>
      <c r="J94" s="8450"/>
      <c r="K94" s="2676"/>
      <c r="L94" s="2266"/>
      <c r="M94" s="2267"/>
      <c r="N94" s="2667"/>
      <c r="O94" s="2668">
        <v>1</v>
      </c>
      <c r="P94" s="2669" t="s">
        <v>63</v>
      </c>
      <c r="Q94" s="8451" t="s">
        <v>1147</v>
      </c>
      <c r="R94" s="8452" t="s">
        <v>1114</v>
      </c>
      <c r="S94" s="8452" t="s">
        <v>113</v>
      </c>
      <c r="T94" s="8452" t="s">
        <v>113</v>
      </c>
      <c r="U94" s="8452" t="s">
        <v>114</v>
      </c>
      <c r="V94" s="8452" t="s">
        <v>1115</v>
      </c>
      <c r="W94" s="8452" t="s">
        <v>1116</v>
      </c>
      <c r="X94" s="8452" t="s">
        <v>1148</v>
      </c>
      <c r="Y94" s="8452" t="s">
        <v>1149</v>
      </c>
      <c r="Z94" s="1321"/>
      <c r="AA94" s="1322"/>
      <c r="AB94" s="1322"/>
      <c r="AC94" s="1326"/>
      <c r="AD94" s="1326"/>
      <c r="AE94" s="1327"/>
      <c r="AF94" s="2665"/>
      <c r="AG94" s="2666"/>
      <c r="AH94" s="2666"/>
      <c r="AI94" s="2665"/>
      <c r="AJ94" s="2666"/>
      <c r="AK94" s="2666"/>
      <c r="AL94" s="2131"/>
      <c r="AM94" s="1968"/>
      <c r="AN94" s="1968"/>
      <c r="AO94" s="1968"/>
      <c r="AP94" s="1968"/>
      <c r="AQ94" s="1968"/>
      <c r="AR94" s="1968"/>
      <c r="AS94" s="1968"/>
      <c r="AT94" s="1968"/>
      <c r="AU94" s="1968"/>
      <c r="AV94" s="1968"/>
      <c r="AW94" s="1968"/>
      <c r="AX94" s="1968"/>
      <c r="AY94" s="1968"/>
      <c r="AZ94" s="1968"/>
      <c r="BA94" s="1968"/>
      <c r="BB94" s="1968"/>
      <c r="BC94" s="1968"/>
      <c r="BD94" s="1968"/>
      <c r="BE94" s="1968"/>
      <c r="BF94" s="1968"/>
      <c r="BG94" s="7235"/>
    </row>
    <row customHeight="1" ht="11.25">
      <c r="A95" s="1312" t="s">
        <v>1060</v>
      </c>
      <c r="B95" s="1312"/>
      <c r="C95" s="1312"/>
      <c r="D95" s="1306"/>
      <c r="E95" s="1316"/>
      <c r="F95" s="1974"/>
      <c r="G95" s="1975"/>
      <c r="H95" s="2674" t="s">
        <v>174</v>
      </c>
      <c r="I95" s="2675"/>
      <c r="J95" s="8450"/>
      <c r="K95" s="2676"/>
      <c r="L95" s="2266"/>
      <c r="M95" s="2267"/>
      <c r="N95" s="2667"/>
      <c r="O95" s="2668"/>
      <c r="P95" s="2670"/>
      <c r="Q95" s="8451"/>
      <c r="R95" s="2672"/>
      <c r="S95" s="2673"/>
      <c r="T95" s="2672"/>
      <c r="U95" s="2672"/>
      <c r="V95" s="2672"/>
      <c r="W95" s="2672"/>
      <c r="X95" s="2672"/>
      <c r="Y95" s="2672"/>
      <c r="Z95" s="1973"/>
      <c r="AA95" s="1939">
        <v>1</v>
      </c>
      <c r="AB95" s="1325" t="s">
        <v>1106</v>
      </c>
      <c r="AC95" s="1315">
        <v>2392.62</v>
      </c>
      <c r="AD95" s="1325" t="str">
        <f>AB95</f>
        <v>  Прибыль направляемая на инвестиции</v>
      </c>
      <c r="AE95" s="1315">
        <v>2234.52</v>
      </c>
      <c r="AF95" s="2665"/>
      <c r="AG95" s="2666"/>
      <c r="AH95" s="2666"/>
      <c r="AI95" s="2665"/>
      <c r="AJ95" s="2666"/>
      <c r="AK95" s="2666"/>
      <c r="AL95" s="2131"/>
      <c r="AM95" s="1968"/>
      <c r="AN95" s="1968"/>
      <c r="AO95" s="1968"/>
      <c r="AP95" s="1968"/>
      <c r="AQ95" s="1968"/>
      <c r="AR95" s="1968"/>
      <c r="AS95" s="1968"/>
      <c r="AT95" s="1968"/>
      <c r="AU95" s="1968"/>
      <c r="AV95" s="1968"/>
      <c r="AW95" s="1968"/>
      <c r="AX95" s="1968"/>
      <c r="AY95" s="1968"/>
      <c r="AZ95" s="1968"/>
      <c r="BA95" s="1968"/>
      <c r="BB95" s="1968"/>
      <c r="BC95" s="1968"/>
      <c r="BD95" s="1968"/>
      <c r="BE95" s="1968"/>
      <c r="BF95" s="1968"/>
      <c r="BG95" s="7235"/>
    </row>
    <row customHeight="1" ht="11.25">
      <c r="A96" s="1312" t="s">
        <v>1060</v>
      </c>
      <c r="B96" s="1312"/>
      <c r="C96" s="1312"/>
      <c r="D96" s="1306"/>
      <c r="E96" s="1316"/>
      <c r="F96" s="1974"/>
      <c r="G96" s="1975"/>
      <c r="H96" s="2674" t="s">
        <v>174</v>
      </c>
      <c r="I96" s="2675"/>
      <c r="J96" s="8450"/>
      <c r="K96" s="2676"/>
      <c r="L96" s="2266"/>
      <c r="M96" s="2267"/>
      <c r="N96" s="2667"/>
      <c r="O96" s="2668"/>
      <c r="P96" s="2671"/>
      <c r="Q96" s="8451"/>
      <c r="R96" s="2672"/>
      <c r="S96" s="2673"/>
      <c r="T96" s="2672"/>
      <c r="U96" s="2672"/>
      <c r="V96" s="2672"/>
      <c r="W96" s="2672"/>
      <c r="X96" s="2672"/>
      <c r="Y96" s="2672"/>
      <c r="Z96" s="1321"/>
      <c r="AA96" s="1322"/>
      <c r="AB96" s="1387" t="s">
        <v>1107</v>
      </c>
      <c r="AC96" s="1326"/>
      <c r="AD96" s="1326"/>
      <c r="AE96" s="1328"/>
      <c r="AF96" s="2665"/>
      <c r="AG96" s="2666"/>
      <c r="AH96" s="2666"/>
      <c r="AI96" s="2665"/>
      <c r="AJ96" s="2666"/>
      <c r="AK96" s="2666"/>
      <c r="AL96" s="2131"/>
      <c r="AM96" s="1968"/>
      <c r="AN96" s="1968"/>
      <c r="AO96" s="1968"/>
      <c r="AP96" s="1968"/>
      <c r="AQ96" s="1968"/>
      <c r="AR96" s="1968"/>
      <c r="AS96" s="1968"/>
      <c r="AT96" s="1968"/>
      <c r="AU96" s="1968"/>
      <c r="AV96" s="1968"/>
      <c r="AW96" s="1968"/>
      <c r="AX96" s="1968"/>
      <c r="AY96" s="1968"/>
      <c r="AZ96" s="1968"/>
      <c r="BA96" s="1968"/>
      <c r="BB96" s="1968"/>
      <c r="BC96" s="1968"/>
      <c r="BD96" s="1968"/>
      <c r="BE96" s="1968"/>
      <c r="BF96" s="1968"/>
      <c r="BG96" s="7235"/>
    </row>
    <row customHeight="1" ht="11.25">
      <c r="A97" s="1312" t="s">
        <v>1060</v>
      </c>
      <c r="B97" s="1312"/>
      <c r="C97" s="1312"/>
      <c r="D97" s="1306"/>
      <c r="E97" s="1316"/>
      <c r="F97" s="1974"/>
      <c r="G97" s="1975"/>
      <c r="H97" s="2674" t="s">
        <v>174</v>
      </c>
      <c r="I97" s="2675"/>
      <c r="J97" s="8450"/>
      <c r="K97" s="2676"/>
      <c r="L97" s="2266"/>
      <c r="M97" s="2267"/>
      <c r="N97" s="1321"/>
      <c r="O97" s="1322"/>
      <c r="P97" s="1314" t="s">
        <v>1108</v>
      </c>
      <c r="Q97" s="1322"/>
      <c r="R97" s="1322"/>
      <c r="S97" s="1322"/>
      <c r="T97" s="1322"/>
      <c r="U97" s="1322"/>
      <c r="V97" s="1322"/>
      <c r="W97" s="1322"/>
      <c r="X97" s="1322"/>
      <c r="Y97" s="1322"/>
      <c r="Z97" s="1322"/>
      <c r="AA97" s="1322"/>
      <c r="AB97" s="1322"/>
      <c r="AC97" s="1322"/>
      <c r="AD97" s="1322"/>
      <c r="AE97" s="1329"/>
      <c r="AF97" s="2665"/>
      <c r="AG97" s="2666"/>
      <c r="AH97" s="2666"/>
      <c r="AI97" s="2665"/>
      <c r="AJ97" s="2666"/>
      <c r="AK97" s="2666"/>
      <c r="AL97" s="2131"/>
      <c r="AM97" s="1968"/>
      <c r="AN97" s="1968"/>
      <c r="AO97" s="1968"/>
      <c r="AP97" s="1968"/>
      <c r="AQ97" s="1968"/>
      <c r="AR97" s="1968"/>
      <c r="AS97" s="1968"/>
      <c r="AT97" s="1968"/>
      <c r="AU97" s="1968"/>
      <c r="AV97" s="1968"/>
      <c r="AW97" s="1968"/>
      <c r="AX97" s="1968"/>
      <c r="AY97" s="1968"/>
      <c r="AZ97" s="1968"/>
      <c r="BA97" s="1968"/>
      <c r="BB97" s="1968"/>
      <c r="BC97" s="1968"/>
      <c r="BD97" s="1968"/>
      <c r="BE97" s="1968"/>
      <c r="BF97" s="1968"/>
      <c r="BG97" s="7235"/>
    </row>
    <row customHeight="1" ht="12">
      <c r="A98" s="1312" t="s">
        <v>1060</v>
      </c>
      <c r="B98" s="1312"/>
      <c r="C98" s="1312"/>
      <c r="D98" s="1306"/>
      <c r="E98" s="1316"/>
      <c r="F98" s="2696"/>
      <c r="G98" s="1336"/>
      <c r="H98" s="1336"/>
      <c r="I98" s="2694" t="s">
        <v>1100</v>
      </c>
      <c r="J98" s="2694"/>
      <c r="K98" s="2694"/>
      <c r="L98" s="1319"/>
      <c r="M98" s="1319"/>
      <c r="N98" s="1320"/>
      <c r="O98" s="1320"/>
      <c r="P98" s="1320"/>
      <c r="Q98" s="1320"/>
      <c r="R98" s="1320"/>
      <c r="S98" s="1320"/>
      <c r="T98" s="1320"/>
      <c r="U98" s="1320"/>
      <c r="V98" s="1320"/>
      <c r="W98" s="1320"/>
      <c r="X98" s="1320"/>
      <c r="Y98" s="1320"/>
      <c r="Z98" s="1320"/>
      <c r="AA98" s="1320"/>
      <c r="AB98" s="1320"/>
      <c r="AC98" s="1320"/>
      <c r="AD98" s="1320"/>
      <c r="AE98" s="1320"/>
      <c r="AF98" s="1320"/>
      <c r="AG98" s="1319"/>
      <c r="AH98" s="1319"/>
      <c r="AI98" s="1320"/>
      <c r="AJ98" s="1319"/>
      <c r="AK98" s="1320"/>
      <c r="AL98" s="2131"/>
      <c r="AM98" s="1968"/>
      <c r="AN98" s="1968"/>
      <c r="AO98" s="1968"/>
      <c r="AP98" s="1968"/>
      <c r="AQ98" s="1968"/>
      <c r="AR98" s="1968"/>
      <c r="AS98" s="1968"/>
      <c r="AT98" s="1968"/>
      <c r="AU98" s="1968"/>
      <c r="AV98" s="1968"/>
      <c r="AW98" s="1968"/>
      <c r="AX98" s="1968"/>
      <c r="AY98" s="1968"/>
      <c r="AZ98" s="1968"/>
      <c r="BA98" s="1968"/>
      <c r="BB98" s="1968"/>
      <c r="BC98" s="1968"/>
      <c r="BD98" s="1968"/>
      <c r="BE98" s="1968"/>
      <c r="BF98" s="1968"/>
      <c r="BG98" s="7235"/>
    </row>
    <row customHeight="1" ht="0.75">
      <c r="A99" s="1312" t="s">
        <v>1060</v>
      </c>
      <c r="B99" s="1312"/>
      <c r="C99" s="1312"/>
      <c r="D99" s="1306"/>
      <c r="E99" s="1316"/>
      <c r="F99" s="2695">
        <v>2022</v>
      </c>
      <c r="G99" s="2674"/>
      <c r="H99" s="2699" t="s">
        <v>398</v>
      </c>
      <c r="I99" s="2700"/>
      <c r="J99" s="2701"/>
      <c r="K99" s="2701"/>
      <c r="L99" s="2693"/>
      <c r="M99" s="2427"/>
      <c r="N99" s="2179"/>
      <c r="O99" s="2178"/>
      <c r="P99" s="2179"/>
      <c r="Q99" s="2179"/>
      <c r="R99" s="2179"/>
      <c r="S99" s="2179"/>
      <c r="T99" s="2179"/>
      <c r="U99" s="2179"/>
      <c r="V99" s="2179"/>
      <c r="W99" s="2179"/>
      <c r="X99" s="2179"/>
      <c r="Y99" s="2179"/>
      <c r="Z99" s="2179"/>
      <c r="AA99" s="2179"/>
      <c r="AB99" s="2179"/>
      <c r="AC99" s="2179"/>
      <c r="AD99" s="2179"/>
      <c r="AE99" s="2179"/>
      <c r="AF99" s="2697"/>
      <c r="AG99" s="2693"/>
      <c r="AH99" s="2693"/>
      <c r="AI99" s="2697"/>
      <c r="AJ99" s="2693"/>
      <c r="AK99" s="2693"/>
      <c r="AL99" s="2131"/>
      <c r="AM99" s="1968"/>
      <c r="AN99" s="1968"/>
      <c r="AO99" s="1968"/>
      <c r="AP99" s="1968"/>
      <c r="AQ99" s="1968"/>
      <c r="AR99" s="1968"/>
      <c r="AS99" s="1968"/>
      <c r="AT99" s="1968"/>
      <c r="AU99" s="1968"/>
      <c r="AV99" s="1968"/>
      <c r="AW99" s="1968"/>
      <c r="AX99" s="1968"/>
      <c r="AY99" s="1968"/>
      <c r="AZ99" s="1968"/>
      <c r="BA99" s="1968"/>
      <c r="BB99" s="1968"/>
      <c r="BC99" s="1968"/>
      <c r="BD99" s="1968"/>
      <c r="BE99" s="1968"/>
      <c r="BF99" s="1968"/>
      <c r="BG99" s="7235"/>
    </row>
    <row customHeight="1" ht="0.75">
      <c r="A100" s="1312" t="s">
        <v>1060</v>
      </c>
      <c r="B100" s="1312"/>
      <c r="C100" s="1312"/>
      <c r="D100" s="1306"/>
      <c r="E100" s="1316"/>
      <c r="F100" s="2695"/>
      <c r="G100" s="2674"/>
      <c r="H100" s="2699"/>
      <c r="I100" s="2700"/>
      <c r="J100" s="2701"/>
      <c r="K100" s="2701"/>
      <c r="L100" s="2693"/>
      <c r="M100" s="2427"/>
      <c r="N100" s="2702"/>
      <c r="O100" s="2703"/>
      <c r="P100" s="2747"/>
      <c r="Q100" s="2698"/>
      <c r="R100" s="2698"/>
      <c r="S100" s="2698"/>
      <c r="T100" s="2698"/>
      <c r="U100" s="2698"/>
      <c r="V100" s="2698"/>
      <c r="W100" s="2698"/>
      <c r="X100" s="2698"/>
      <c r="Y100" s="2698"/>
      <c r="Z100" s="2180"/>
      <c r="AA100" s="2181"/>
      <c r="AB100" s="2181"/>
      <c r="AC100" s="2182"/>
      <c r="AD100" s="2182"/>
      <c r="AE100" s="2183"/>
      <c r="AF100" s="2697"/>
      <c r="AG100" s="2693"/>
      <c r="AH100" s="2693"/>
      <c r="AI100" s="2697"/>
      <c r="AJ100" s="2693"/>
      <c r="AK100" s="2693"/>
      <c r="AL100" s="2131"/>
      <c r="AM100" s="1968"/>
      <c r="AN100" s="1968"/>
      <c r="AO100" s="1968"/>
      <c r="AP100" s="1968"/>
      <c r="AQ100" s="1968"/>
      <c r="AR100" s="1968"/>
      <c r="AS100" s="1968"/>
      <c r="AT100" s="1968"/>
      <c r="AU100" s="1968"/>
      <c r="AV100" s="1968"/>
      <c r="AW100" s="1968"/>
      <c r="AX100" s="1968"/>
      <c r="AY100" s="1968"/>
      <c r="AZ100" s="1968"/>
      <c r="BA100" s="1968"/>
      <c r="BB100" s="1968"/>
      <c r="BC100" s="1968"/>
      <c r="BD100" s="1968"/>
      <c r="BE100" s="1968"/>
      <c r="BF100" s="1968"/>
      <c r="BG100" s="7235"/>
    </row>
    <row customHeight="1" ht="0.75">
      <c r="A101" s="1312" t="s">
        <v>1060</v>
      </c>
      <c r="B101" s="1312"/>
      <c r="C101" s="1312"/>
      <c r="D101" s="1306"/>
      <c r="E101" s="1316"/>
      <c r="F101" s="2695"/>
      <c r="G101" s="2674"/>
      <c r="H101" s="2699"/>
      <c r="I101" s="2700"/>
      <c r="J101" s="2701"/>
      <c r="K101" s="2701"/>
      <c r="L101" s="2693"/>
      <c r="M101" s="2427"/>
      <c r="N101" s="2702"/>
      <c r="O101" s="2703"/>
      <c r="P101" s="2748"/>
      <c r="Q101" s="2698"/>
      <c r="R101" s="2698"/>
      <c r="S101" s="2698"/>
      <c r="T101" s="2698"/>
      <c r="U101" s="2698"/>
      <c r="V101" s="2698"/>
      <c r="W101" s="2698"/>
      <c r="X101" s="2698"/>
      <c r="Y101" s="2698"/>
      <c r="Z101" s="2184"/>
      <c r="AA101" s="2185"/>
      <c r="AB101" s="2186"/>
      <c r="AC101" s="2187"/>
      <c r="AD101" s="2186"/>
      <c r="AE101" s="2187"/>
      <c r="AF101" s="2697"/>
      <c r="AG101" s="2693"/>
      <c r="AH101" s="2693"/>
      <c r="AI101" s="2697"/>
      <c r="AJ101" s="2693"/>
      <c r="AK101" s="2693"/>
      <c r="AL101" s="2131"/>
      <c r="AM101" s="1968"/>
      <c r="AN101" s="1968"/>
      <c r="AO101" s="1968"/>
      <c r="AP101" s="1968"/>
      <c r="AQ101" s="1968"/>
      <c r="AR101" s="1968"/>
      <c r="AS101" s="1968"/>
      <c r="AT101" s="1968"/>
      <c r="AU101" s="1968"/>
      <c r="AV101" s="1968"/>
      <c r="AW101" s="1968"/>
      <c r="AX101" s="1968"/>
      <c r="AY101" s="1968"/>
      <c r="AZ101" s="1968"/>
      <c r="BA101" s="1968"/>
      <c r="BB101" s="1968"/>
      <c r="BC101" s="1968"/>
      <c r="BD101" s="1968"/>
      <c r="BE101" s="1968"/>
      <c r="BF101" s="1968"/>
      <c r="BG101" s="7235"/>
    </row>
    <row customHeight="1" ht="0.75">
      <c r="A102" s="1312" t="s">
        <v>1060</v>
      </c>
      <c r="B102" s="1312"/>
      <c r="C102" s="1312"/>
      <c r="D102" s="1306"/>
      <c r="E102" s="1316"/>
      <c r="F102" s="2695"/>
      <c r="G102" s="2674"/>
      <c r="H102" s="2699"/>
      <c r="I102" s="2700"/>
      <c r="J102" s="2701"/>
      <c r="K102" s="2701"/>
      <c r="L102" s="2693"/>
      <c r="M102" s="2427"/>
      <c r="N102" s="2702"/>
      <c r="O102" s="2703"/>
      <c r="P102" s="2749"/>
      <c r="Q102" s="2698"/>
      <c r="R102" s="2698"/>
      <c r="S102" s="2698"/>
      <c r="T102" s="2698"/>
      <c r="U102" s="2698"/>
      <c r="V102" s="2698"/>
      <c r="W102" s="2698"/>
      <c r="X102" s="2698"/>
      <c r="Y102" s="2698"/>
      <c r="Z102" s="2180"/>
      <c r="AA102" s="2181"/>
      <c r="AB102" s="2188"/>
      <c r="AC102" s="2182"/>
      <c r="AD102" s="2182"/>
      <c r="AE102" s="2189"/>
      <c r="AF102" s="2697"/>
      <c r="AG102" s="2693"/>
      <c r="AH102" s="2693"/>
      <c r="AI102" s="2697"/>
      <c r="AJ102" s="2693"/>
      <c r="AK102" s="2693"/>
      <c r="AL102" s="2131"/>
      <c r="AM102" s="1968"/>
      <c r="AN102" s="1968"/>
      <c r="AO102" s="1968"/>
      <c r="AP102" s="1968"/>
      <c r="AQ102" s="1968"/>
      <c r="AR102" s="1968"/>
      <c r="AS102" s="1968"/>
      <c r="AT102" s="1968"/>
      <c r="AU102" s="1968"/>
      <c r="AV102" s="1968"/>
      <c r="AW102" s="1968"/>
      <c r="AX102" s="1968"/>
      <c r="AY102" s="1968"/>
      <c r="AZ102" s="1968"/>
      <c r="BA102" s="1968"/>
      <c r="BB102" s="1968"/>
      <c r="BC102" s="1968"/>
      <c r="BD102" s="1968"/>
      <c r="BE102" s="1968"/>
      <c r="BF102" s="1968"/>
      <c r="BG102" s="7235"/>
    </row>
    <row customHeight="1" ht="0.75">
      <c r="A103" s="1312" t="s">
        <v>1060</v>
      </c>
      <c r="B103" s="1312"/>
      <c r="C103" s="1312"/>
      <c r="D103" s="1306"/>
      <c r="E103" s="1316"/>
      <c r="F103" s="2695"/>
      <c r="G103" s="2674"/>
      <c r="H103" s="2699"/>
      <c r="I103" s="2700"/>
      <c r="J103" s="2701"/>
      <c r="K103" s="2701"/>
      <c r="L103" s="2693"/>
      <c r="M103" s="2427"/>
      <c r="N103" s="2181"/>
      <c r="O103" s="2181"/>
      <c r="P103" s="2188"/>
      <c r="Q103" s="2181"/>
      <c r="R103" s="2181"/>
      <c r="S103" s="2181"/>
      <c r="T103" s="2181"/>
      <c r="U103" s="2181"/>
      <c r="V103" s="2181"/>
      <c r="W103" s="2181"/>
      <c r="X103" s="2181"/>
      <c r="Y103" s="2181"/>
      <c r="Z103" s="2181"/>
      <c r="AA103" s="2181"/>
      <c r="AB103" s="2181"/>
      <c r="AC103" s="2181"/>
      <c r="AD103" s="2181"/>
      <c r="AE103" s="2190"/>
      <c r="AF103" s="2697"/>
      <c r="AG103" s="2693"/>
      <c r="AH103" s="2693"/>
      <c r="AI103" s="2697"/>
      <c r="AJ103" s="2693"/>
      <c r="AK103" s="2693"/>
      <c r="AL103" s="2131"/>
      <c r="AM103" s="1968"/>
      <c r="AN103" s="1968"/>
      <c r="AO103" s="1968"/>
      <c r="AP103" s="1968"/>
      <c r="AQ103" s="1968"/>
      <c r="AR103" s="1968"/>
      <c r="AS103" s="1968"/>
      <c r="AT103" s="1968"/>
      <c r="AU103" s="1968"/>
      <c r="AV103" s="1968"/>
      <c r="AW103" s="1968"/>
      <c r="AX103" s="1968"/>
      <c r="AY103" s="1968"/>
      <c r="AZ103" s="1968"/>
      <c r="BA103" s="1968"/>
      <c r="BB103" s="1968"/>
      <c r="BC103" s="1968"/>
      <c r="BD103" s="1968"/>
      <c r="BE103" s="1968"/>
      <c r="BF103" s="1968"/>
      <c r="BG103" s="7235"/>
    </row>
    <row customHeight="1" ht="11.25">
      <c r="A104" s="1312" t="s">
        <v>1060</v>
      </c>
      <c r="B104" s="1312" t="s">
        <v>22</v>
      </c>
      <c r="C104" s="1312"/>
      <c r="D104" s="1306"/>
      <c r="E104" s="1316"/>
      <c r="F104" s="1974"/>
      <c r="G104" s="7143" t="s">
        <v>106</v>
      </c>
      <c r="H104" s="2674" t="s">
        <v>121</v>
      </c>
      <c r="I104" s="2675" t="s">
        <v>1101</v>
      </c>
      <c r="J104" s="8450" t="s">
        <v>22</v>
      </c>
      <c r="K104" s="2676" t="s">
        <v>1150</v>
      </c>
      <c r="L104" s="2266" t="s">
        <v>19</v>
      </c>
      <c r="M104" s="2267"/>
      <c r="N104" s="2129"/>
      <c r="O104" s="1323" t="s">
        <v>398</v>
      </c>
      <c r="P104" s="1324"/>
      <c r="Q104" s="1324"/>
      <c r="R104" s="1324"/>
      <c r="S104" s="1324"/>
      <c r="T104" s="1324"/>
      <c r="U104" s="1324"/>
      <c r="V104" s="1324"/>
      <c r="W104" s="1324"/>
      <c r="X104" s="1324"/>
      <c r="Y104" s="1324"/>
      <c r="Z104" s="1324"/>
      <c r="AA104" s="1324"/>
      <c r="AB104" s="1324"/>
      <c r="AC104" s="1324"/>
      <c r="AD104" s="1324"/>
      <c r="AE104" s="1324"/>
      <c r="AF104" s="2665">
        <v>2023</v>
      </c>
      <c r="AG104" s="2666" t="s">
        <v>1103</v>
      </c>
      <c r="AH104" s="2666" t="s">
        <v>1151</v>
      </c>
      <c r="AI104" s="8658"/>
      <c r="AJ104" s="2666" t="s">
        <v>1105</v>
      </c>
      <c r="AK104" s="2666" t="s">
        <v>1105</v>
      </c>
      <c r="AL104" s="2131"/>
      <c r="AM104" s="1968"/>
      <c r="AN104" s="1968"/>
      <c r="AO104" s="1968"/>
      <c r="AP104" s="1968"/>
      <c r="AQ104" s="1968"/>
      <c r="AR104" s="1968"/>
      <c r="AS104" s="1968"/>
      <c r="AT104" s="1968"/>
      <c r="AU104" s="1968"/>
      <c r="AV104" s="1968"/>
      <c r="AW104" s="1968"/>
      <c r="AX104" s="1968"/>
      <c r="AY104" s="1968"/>
      <c r="AZ104" s="1968"/>
      <c r="BA104" s="1968"/>
      <c r="BB104" s="1968"/>
      <c r="BC104" s="1968"/>
      <c r="BD104" s="1968"/>
      <c r="BE104" s="1968"/>
      <c r="BF104" s="1968"/>
      <c r="BG104" s="7235"/>
    </row>
    <row customHeight="1" ht="11.25">
      <c r="A105" s="1312" t="s">
        <v>1060</v>
      </c>
      <c r="B105" s="1312"/>
      <c r="C105" s="1312"/>
      <c r="D105" s="1306"/>
      <c r="E105" s="1316"/>
      <c r="F105" s="1974"/>
      <c r="G105" s="1975"/>
      <c r="H105" s="2674" t="s">
        <v>398</v>
      </c>
      <c r="I105" s="2675"/>
      <c r="J105" s="8450"/>
      <c r="K105" s="2676"/>
      <c r="L105" s="2266"/>
      <c r="M105" s="2267"/>
      <c r="N105" s="2667"/>
      <c r="O105" s="2668">
        <v>1</v>
      </c>
      <c r="P105" s="2669" t="s">
        <v>19</v>
      </c>
      <c r="Q105" s="2672" t="s">
        <v>22</v>
      </c>
      <c r="R105" s="2672" t="s">
        <v>22</v>
      </c>
      <c r="S105" s="2672" t="s">
        <v>22</v>
      </c>
      <c r="T105" s="2672" t="s">
        <v>22</v>
      </c>
      <c r="U105" s="2672" t="s">
        <v>22</v>
      </c>
      <c r="V105" s="2672" t="s">
        <v>22</v>
      </c>
      <c r="W105" s="2672" t="s">
        <v>22</v>
      </c>
      <c r="X105" s="2672" t="s">
        <v>22</v>
      </c>
      <c r="Y105" s="2672"/>
      <c r="Z105" s="1321"/>
      <c r="AA105" s="1322"/>
      <c r="AB105" s="1322"/>
      <c r="AC105" s="1326"/>
      <c r="AD105" s="1326"/>
      <c r="AE105" s="1327"/>
      <c r="AF105" s="2665"/>
      <c r="AG105" s="2666"/>
      <c r="AH105" s="2666"/>
      <c r="AI105" s="8658"/>
      <c r="AJ105" s="2666"/>
      <c r="AK105" s="2666"/>
      <c r="AL105" s="2131"/>
      <c r="AM105" s="1968"/>
      <c r="AN105" s="1968"/>
      <c r="AO105" s="1968"/>
      <c r="AP105" s="1968"/>
      <c r="AQ105" s="1968"/>
      <c r="AR105" s="1968"/>
      <c r="AS105" s="1968"/>
      <c r="AT105" s="1968"/>
      <c r="AU105" s="1968"/>
      <c r="AV105" s="1968"/>
      <c r="AW105" s="1968"/>
      <c r="AX105" s="1968"/>
      <c r="AY105" s="1968"/>
      <c r="AZ105" s="1968"/>
      <c r="BA105" s="1968"/>
      <c r="BB105" s="1968"/>
      <c r="BC105" s="1968"/>
      <c r="BD105" s="1968"/>
      <c r="BE105" s="1968"/>
      <c r="BF105" s="1968"/>
      <c r="BG105" s="7235"/>
    </row>
    <row customHeight="1" ht="11.25">
      <c r="A106" s="1312" t="s">
        <v>1060</v>
      </c>
      <c r="B106" s="1312"/>
      <c r="C106" s="1312"/>
      <c r="D106" s="1306"/>
      <c r="E106" s="1316"/>
      <c r="F106" s="1974"/>
      <c r="G106" s="1975"/>
      <c r="H106" s="2674" t="s">
        <v>398</v>
      </c>
      <c r="I106" s="2675"/>
      <c r="J106" s="8450"/>
      <c r="K106" s="2676"/>
      <c r="L106" s="2266"/>
      <c r="M106" s="2267"/>
      <c r="N106" s="2667"/>
      <c r="O106" s="2668"/>
      <c r="P106" s="2670"/>
      <c r="Q106" s="2672"/>
      <c r="R106" s="2672"/>
      <c r="S106" s="2673"/>
      <c r="T106" s="2672"/>
      <c r="U106" s="2672"/>
      <c r="V106" s="2672"/>
      <c r="W106" s="2672"/>
      <c r="X106" s="2672"/>
      <c r="Y106" s="2672"/>
      <c r="Z106" s="1973"/>
      <c r="AA106" s="1939">
        <v>1</v>
      </c>
      <c r="AB106" s="1325" t="s">
        <v>1131</v>
      </c>
      <c r="AC106" s="1315">
        <v>9097</v>
      </c>
      <c r="AD106" s="1325" t="str">
        <f>AB106</f>
        <v>      Прочие амортизационные отчисления</v>
      </c>
      <c r="AE106" s="1315">
        <v>9096.83</v>
      </c>
      <c r="AF106" s="2665"/>
      <c r="AG106" s="2666"/>
      <c r="AH106" s="2666"/>
      <c r="AI106" s="8658"/>
      <c r="AJ106" s="2666"/>
      <c r="AK106" s="2666"/>
      <c r="AL106" s="2131"/>
      <c r="AM106" s="1968"/>
      <c r="AN106" s="1968"/>
      <c r="AO106" s="1968"/>
      <c r="AP106" s="1968"/>
      <c r="AQ106" s="1968"/>
      <c r="AR106" s="1968"/>
      <c r="AS106" s="1968"/>
      <c r="AT106" s="1968"/>
      <c r="AU106" s="1968"/>
      <c r="AV106" s="1968"/>
      <c r="AW106" s="1968"/>
      <c r="AX106" s="1968"/>
      <c r="AY106" s="1968"/>
      <c r="AZ106" s="1968"/>
      <c r="BA106" s="1968"/>
      <c r="BB106" s="1968"/>
      <c r="BC106" s="1968"/>
      <c r="BD106" s="1968"/>
      <c r="BE106" s="1968"/>
      <c r="BF106" s="1968"/>
      <c r="BG106" s="7235"/>
    </row>
    <row customHeight="1" ht="11.25">
      <c r="A107" s="1312" t="s">
        <v>1060</v>
      </c>
      <c r="B107" s="1312"/>
      <c r="C107" s="1312"/>
      <c r="D107" s="1306"/>
      <c r="E107" s="1316"/>
      <c r="F107" s="1975"/>
      <c r="G107" s="1975"/>
      <c r="H107" s="1975"/>
      <c r="I107" s="1975"/>
      <c r="J107" s="1975"/>
      <c r="K107" s="1975"/>
      <c r="L107" s="1975"/>
      <c r="M107" s="1975"/>
      <c r="N107" s="1975"/>
      <c r="O107" s="1975"/>
      <c r="P107" s="1975"/>
      <c r="Q107" s="1975"/>
      <c r="R107" s="1975"/>
      <c r="S107" s="1975"/>
      <c r="T107" s="1975"/>
      <c r="U107" s="1975"/>
      <c r="V107" s="1975"/>
      <c r="W107" s="1975"/>
      <c r="X107" s="1975"/>
      <c r="Y107" s="1975"/>
      <c r="Z107" s="7143" t="s">
        <v>106</v>
      </c>
      <c r="AA107" s="1959" t="s">
        <v>105</v>
      </c>
      <c r="AB107" s="1325" t="s">
        <v>1106</v>
      </c>
      <c r="AC107" s="1315">
        <v>20639.91</v>
      </c>
      <c r="AD107" s="1325" t="str">
        <f>AB107</f>
        <v>  Прибыль направляемая на инвестиции</v>
      </c>
      <c r="AE107" s="1315">
        <v>30269.94</v>
      </c>
      <c r="AF107" s="2232"/>
      <c r="AG107" s="1904"/>
      <c r="AH107" s="1904"/>
      <c r="AI107" s="8659"/>
      <c r="AJ107" s="1904"/>
      <c r="AK107" s="2130"/>
      <c r="AL107" s="2131"/>
      <c r="AM107" s="1968"/>
      <c r="AN107" s="1968"/>
      <c r="AO107" s="1968"/>
      <c r="AP107" s="1968"/>
      <c r="AQ107" s="1968"/>
      <c r="AR107" s="1968"/>
      <c r="AS107" s="1968"/>
      <c r="AT107" s="1968"/>
      <c r="AU107" s="1968"/>
      <c r="AV107" s="1968"/>
      <c r="AW107" s="1968"/>
      <c r="AX107" s="1968"/>
      <c r="AY107" s="1968"/>
      <c r="AZ107" s="1968"/>
      <c r="BA107" s="1968"/>
      <c r="BB107" s="1968"/>
      <c r="BC107" s="1968"/>
      <c r="BD107" s="1968"/>
      <c r="BE107" s="1968"/>
      <c r="BF107" s="1968"/>
      <c r="BG107" s="7235"/>
    </row>
    <row customHeight="1" ht="11.25">
      <c r="A108" s="1312" t="s">
        <v>1060</v>
      </c>
      <c r="B108" s="1312"/>
      <c r="C108" s="1312"/>
      <c r="D108" s="1306"/>
      <c r="E108" s="1316"/>
      <c r="F108" s="1974"/>
      <c r="G108" s="1975"/>
      <c r="H108" s="2674" t="s">
        <v>398</v>
      </c>
      <c r="I108" s="2675"/>
      <c r="J108" s="8450"/>
      <c r="K108" s="2676"/>
      <c r="L108" s="2266"/>
      <c r="M108" s="2267"/>
      <c r="N108" s="2667"/>
      <c r="O108" s="2668"/>
      <c r="P108" s="2671"/>
      <c r="Q108" s="2672"/>
      <c r="R108" s="2672"/>
      <c r="S108" s="2673"/>
      <c r="T108" s="2672"/>
      <c r="U108" s="2672"/>
      <c r="V108" s="2672"/>
      <c r="W108" s="2672"/>
      <c r="X108" s="2672"/>
      <c r="Y108" s="2672"/>
      <c r="Z108" s="1321"/>
      <c r="AA108" s="1322"/>
      <c r="AB108" s="1387" t="s">
        <v>1107</v>
      </c>
      <c r="AC108" s="1326"/>
      <c r="AD108" s="1326"/>
      <c r="AE108" s="1328"/>
      <c r="AF108" s="2665"/>
      <c r="AG108" s="2666"/>
      <c r="AH108" s="2666"/>
      <c r="AI108" s="8658"/>
      <c r="AJ108" s="2666"/>
      <c r="AK108" s="2666"/>
      <c r="AL108" s="2131"/>
      <c r="AM108" s="1968"/>
      <c r="AN108" s="1968"/>
      <c r="AO108" s="1968"/>
      <c r="AP108" s="1968"/>
      <c r="AQ108" s="1968"/>
      <c r="AR108" s="1968"/>
      <c r="AS108" s="1968"/>
      <c r="AT108" s="1968"/>
      <c r="AU108" s="1968"/>
      <c r="AV108" s="1968"/>
      <c r="AW108" s="1968"/>
      <c r="AX108" s="1968"/>
      <c r="AY108" s="1968"/>
      <c r="AZ108" s="1968"/>
      <c r="BA108" s="1968"/>
      <c r="BB108" s="1968"/>
      <c r="BC108" s="1968"/>
      <c r="BD108" s="1968"/>
      <c r="BE108" s="1968"/>
      <c r="BF108" s="1968"/>
      <c r="BG108" s="7235"/>
    </row>
    <row customHeight="1" ht="11.25">
      <c r="A109" s="1312" t="s">
        <v>1060</v>
      </c>
      <c r="B109" s="1312"/>
      <c r="C109" s="1312"/>
      <c r="D109" s="1306"/>
      <c r="E109" s="1316"/>
      <c r="F109" s="1974"/>
      <c r="G109" s="1975"/>
      <c r="H109" s="2674" t="s">
        <v>398</v>
      </c>
      <c r="I109" s="2675"/>
      <c r="J109" s="8450"/>
      <c r="K109" s="2676"/>
      <c r="L109" s="2266"/>
      <c r="M109" s="2267"/>
      <c r="N109" s="1321"/>
      <c r="O109" s="1322"/>
      <c r="P109" s="1314" t="s">
        <v>1108</v>
      </c>
      <c r="Q109" s="1322"/>
      <c r="R109" s="1322"/>
      <c r="S109" s="1322"/>
      <c r="T109" s="1322"/>
      <c r="U109" s="1322"/>
      <c r="V109" s="1322"/>
      <c r="W109" s="1322"/>
      <c r="X109" s="1322"/>
      <c r="Y109" s="1322"/>
      <c r="Z109" s="1322"/>
      <c r="AA109" s="1322"/>
      <c r="AB109" s="1322"/>
      <c r="AC109" s="1322"/>
      <c r="AD109" s="1322"/>
      <c r="AE109" s="1329"/>
      <c r="AF109" s="2665"/>
      <c r="AG109" s="2666"/>
      <c r="AH109" s="2666"/>
      <c r="AI109" s="8658"/>
      <c r="AJ109" s="2666"/>
      <c r="AK109" s="2666"/>
      <c r="AL109" s="2131"/>
      <c r="AM109" s="1968"/>
      <c r="AN109" s="1968"/>
      <c r="AO109" s="1968"/>
      <c r="AP109" s="1968"/>
      <c r="AQ109" s="1968"/>
      <c r="AR109" s="1968"/>
      <c r="AS109" s="1968"/>
      <c r="AT109" s="1968"/>
      <c r="AU109" s="1968"/>
      <c r="AV109" s="1968"/>
      <c r="AW109" s="1968"/>
      <c r="AX109" s="1968"/>
      <c r="AY109" s="1968"/>
      <c r="AZ109" s="1968"/>
      <c r="BA109" s="1968"/>
      <c r="BB109" s="1968"/>
      <c r="BC109" s="1968"/>
      <c r="BD109" s="1968"/>
      <c r="BE109" s="1968"/>
      <c r="BF109" s="1968"/>
      <c r="BG109" s="7235"/>
    </row>
    <row customHeight="1" ht="12">
      <c r="A110" s="1312" t="s">
        <v>1060</v>
      </c>
      <c r="B110" s="1312"/>
      <c r="C110" s="1312"/>
      <c r="D110" s="1306"/>
      <c r="E110" s="1316"/>
      <c r="F110" s="2696"/>
      <c r="G110" s="1336"/>
      <c r="H110" s="1336"/>
      <c r="I110" s="2694" t="s">
        <v>1100</v>
      </c>
      <c r="J110" s="2694"/>
      <c r="K110" s="2694"/>
      <c r="L110" s="1319"/>
      <c r="M110" s="1319"/>
      <c r="N110" s="1320"/>
      <c r="O110" s="1320"/>
      <c r="P110" s="1320"/>
      <c r="Q110" s="1320"/>
      <c r="R110" s="1320"/>
      <c r="S110" s="1320"/>
      <c r="T110" s="1320"/>
      <c r="U110" s="1320"/>
      <c r="V110" s="1320"/>
      <c r="W110" s="1320"/>
      <c r="X110" s="1320"/>
      <c r="Y110" s="1320"/>
      <c r="Z110" s="1320"/>
      <c r="AA110" s="1320"/>
      <c r="AB110" s="1320"/>
      <c r="AC110" s="1320"/>
      <c r="AD110" s="1320"/>
      <c r="AE110" s="1320"/>
      <c r="AF110" s="1320"/>
      <c r="AG110" s="1319"/>
      <c r="AH110" s="1319"/>
      <c r="AI110" s="1320"/>
      <c r="AJ110" s="1319"/>
      <c r="AK110" s="1320"/>
      <c r="AL110" s="2131"/>
      <c r="AM110" s="1968"/>
      <c r="AN110" s="1968"/>
      <c r="AO110" s="1968"/>
      <c r="AP110" s="1968"/>
      <c r="AQ110" s="1968"/>
      <c r="AR110" s="1968"/>
      <c r="AS110" s="1968"/>
      <c r="AT110" s="1968"/>
      <c r="AU110" s="1968"/>
      <c r="AV110" s="1968"/>
      <c r="AW110" s="1968"/>
      <c r="AX110" s="1968"/>
      <c r="AY110" s="1968"/>
      <c r="AZ110" s="1968"/>
      <c r="BA110" s="1968"/>
      <c r="BB110" s="1968"/>
      <c r="BC110" s="1968"/>
      <c r="BD110" s="1968"/>
      <c r="BE110" s="1968"/>
      <c r="BF110" s="1968"/>
      <c r="BG110" s="7235"/>
    </row>
    <row customHeight="1" ht="0.75">
      <c r="A111" s="1312" t="s">
        <v>1060</v>
      </c>
      <c r="B111" s="1312"/>
      <c r="C111" s="1312"/>
      <c r="D111" s="1306"/>
      <c r="E111" s="1316"/>
      <c r="F111" s="2695">
        <v>2023</v>
      </c>
      <c r="G111" s="2674"/>
      <c r="H111" s="2699" t="s">
        <v>398</v>
      </c>
      <c r="I111" s="2700"/>
      <c r="J111" s="2701"/>
      <c r="K111" s="2701"/>
      <c r="L111" s="2693"/>
      <c r="M111" s="2427"/>
      <c r="N111" s="2179"/>
      <c r="O111" s="2178"/>
      <c r="P111" s="2179"/>
      <c r="Q111" s="2179"/>
      <c r="R111" s="2179"/>
      <c r="S111" s="2179"/>
      <c r="T111" s="2179"/>
      <c r="U111" s="2179"/>
      <c r="V111" s="2179"/>
      <c r="W111" s="2179"/>
      <c r="X111" s="2179"/>
      <c r="Y111" s="2179"/>
      <c r="Z111" s="2179"/>
      <c r="AA111" s="2179"/>
      <c r="AB111" s="2179"/>
      <c r="AC111" s="2179"/>
      <c r="AD111" s="2179"/>
      <c r="AE111" s="2179"/>
      <c r="AF111" s="2697"/>
      <c r="AG111" s="2693"/>
      <c r="AH111" s="2693"/>
      <c r="AI111" s="2697"/>
      <c r="AJ111" s="2693"/>
      <c r="AK111" s="2693"/>
      <c r="AL111" s="2131"/>
      <c r="AM111" s="1968"/>
      <c r="AN111" s="1968"/>
      <c r="AO111" s="1968"/>
      <c r="AP111" s="1968"/>
      <c r="AQ111" s="1968"/>
      <c r="AR111" s="1968"/>
      <c r="AS111" s="1968"/>
      <c r="AT111" s="1968"/>
      <c r="AU111" s="1968"/>
      <c r="AV111" s="1968"/>
      <c r="AW111" s="1968"/>
      <c r="AX111" s="1968"/>
      <c r="AY111" s="1968"/>
      <c r="AZ111" s="1968"/>
      <c r="BA111" s="1968"/>
      <c r="BB111" s="1968"/>
      <c r="BC111" s="1968"/>
      <c r="BD111" s="1968"/>
      <c r="BE111" s="1968"/>
      <c r="BF111" s="1968"/>
      <c r="BG111" s="7235"/>
    </row>
    <row customHeight="1" ht="0.75">
      <c r="A112" s="1312" t="s">
        <v>1060</v>
      </c>
      <c r="B112" s="1312"/>
      <c r="C112" s="1312"/>
      <c r="D112" s="1306"/>
      <c r="E112" s="1316"/>
      <c r="F112" s="2695"/>
      <c r="G112" s="2674"/>
      <c r="H112" s="2699"/>
      <c r="I112" s="2700"/>
      <c r="J112" s="2701"/>
      <c r="K112" s="2701"/>
      <c r="L112" s="2693"/>
      <c r="M112" s="2427"/>
      <c r="N112" s="2702"/>
      <c r="O112" s="2703"/>
      <c r="P112" s="2747"/>
      <c r="Q112" s="2698"/>
      <c r="R112" s="2698"/>
      <c r="S112" s="2698"/>
      <c r="T112" s="2698"/>
      <c r="U112" s="2698"/>
      <c r="V112" s="2698"/>
      <c r="W112" s="2698"/>
      <c r="X112" s="2698"/>
      <c r="Y112" s="2698"/>
      <c r="Z112" s="2180"/>
      <c r="AA112" s="2181"/>
      <c r="AB112" s="2181"/>
      <c r="AC112" s="2182"/>
      <c r="AD112" s="2182"/>
      <c r="AE112" s="2183"/>
      <c r="AF112" s="2697"/>
      <c r="AG112" s="2693"/>
      <c r="AH112" s="2693"/>
      <c r="AI112" s="2697"/>
      <c r="AJ112" s="2693"/>
      <c r="AK112" s="2693"/>
      <c r="AL112" s="2131"/>
      <c r="AM112" s="1968"/>
      <c r="AN112" s="1968"/>
      <c r="AO112" s="1968"/>
      <c r="AP112" s="1968"/>
      <c r="AQ112" s="1968"/>
      <c r="AR112" s="1968"/>
      <c r="AS112" s="1968"/>
      <c r="AT112" s="1968"/>
      <c r="AU112" s="1968"/>
      <c r="AV112" s="1968"/>
      <c r="AW112" s="1968"/>
      <c r="AX112" s="1968"/>
      <c r="AY112" s="1968"/>
      <c r="AZ112" s="1968"/>
      <c r="BA112" s="1968"/>
      <c r="BB112" s="1968"/>
      <c r="BC112" s="1968"/>
      <c r="BD112" s="1968"/>
      <c r="BE112" s="1968"/>
      <c r="BF112" s="1968"/>
      <c r="BG112" s="7235"/>
    </row>
    <row customHeight="1" ht="0.75">
      <c r="A113" s="1312" t="s">
        <v>1060</v>
      </c>
      <c r="B113" s="1312"/>
      <c r="C113" s="1312"/>
      <c r="D113" s="1306"/>
      <c r="E113" s="1316"/>
      <c r="F113" s="2695"/>
      <c r="G113" s="2674"/>
      <c r="H113" s="2699"/>
      <c r="I113" s="2700"/>
      <c r="J113" s="2701"/>
      <c r="K113" s="2701"/>
      <c r="L113" s="2693"/>
      <c r="M113" s="2427"/>
      <c r="N113" s="2702"/>
      <c r="O113" s="2703"/>
      <c r="P113" s="2748"/>
      <c r="Q113" s="2698"/>
      <c r="R113" s="2698"/>
      <c r="S113" s="2698"/>
      <c r="T113" s="2698"/>
      <c r="U113" s="2698"/>
      <c r="V113" s="2698"/>
      <c r="W113" s="2698"/>
      <c r="X113" s="2698"/>
      <c r="Y113" s="2698"/>
      <c r="Z113" s="2184"/>
      <c r="AA113" s="2185"/>
      <c r="AB113" s="2186"/>
      <c r="AC113" s="2187"/>
      <c r="AD113" s="2186"/>
      <c r="AE113" s="2187"/>
      <c r="AF113" s="2697"/>
      <c r="AG113" s="2693"/>
      <c r="AH113" s="2693"/>
      <c r="AI113" s="2697"/>
      <c r="AJ113" s="2693"/>
      <c r="AK113" s="2693"/>
      <c r="AL113" s="2131"/>
      <c r="AM113" s="1968"/>
      <c r="AN113" s="1968"/>
      <c r="AO113" s="1968"/>
      <c r="AP113" s="1968"/>
      <c r="AQ113" s="1968"/>
      <c r="AR113" s="1968"/>
      <c r="AS113" s="1968"/>
      <c r="AT113" s="1968"/>
      <c r="AU113" s="1968"/>
      <c r="AV113" s="1968"/>
      <c r="AW113" s="1968"/>
      <c r="AX113" s="1968"/>
      <c r="AY113" s="1968"/>
      <c r="AZ113" s="1968"/>
      <c r="BA113" s="1968"/>
      <c r="BB113" s="1968"/>
      <c r="BC113" s="1968"/>
      <c r="BD113" s="1968"/>
      <c r="BE113" s="1968"/>
      <c r="BF113" s="1968"/>
      <c r="BG113" s="7235"/>
    </row>
    <row customHeight="1" ht="0.75">
      <c r="A114" s="1312" t="s">
        <v>1060</v>
      </c>
      <c r="B114" s="1312"/>
      <c r="C114" s="1312"/>
      <c r="D114" s="1306"/>
      <c r="E114" s="1316"/>
      <c r="F114" s="2695"/>
      <c r="G114" s="2674"/>
      <c r="H114" s="2699"/>
      <c r="I114" s="2700"/>
      <c r="J114" s="2701"/>
      <c r="K114" s="2701"/>
      <c r="L114" s="2693"/>
      <c r="M114" s="2427"/>
      <c r="N114" s="2702"/>
      <c r="O114" s="2703"/>
      <c r="P114" s="2749"/>
      <c r="Q114" s="2698"/>
      <c r="R114" s="2698"/>
      <c r="S114" s="2698"/>
      <c r="T114" s="2698"/>
      <c r="U114" s="2698"/>
      <c r="V114" s="2698"/>
      <c r="W114" s="2698"/>
      <c r="X114" s="2698"/>
      <c r="Y114" s="2698"/>
      <c r="Z114" s="2180"/>
      <c r="AA114" s="2181"/>
      <c r="AB114" s="2188"/>
      <c r="AC114" s="2182"/>
      <c r="AD114" s="2182"/>
      <c r="AE114" s="2189"/>
      <c r="AF114" s="2697"/>
      <c r="AG114" s="2693"/>
      <c r="AH114" s="2693"/>
      <c r="AI114" s="2697"/>
      <c r="AJ114" s="2693"/>
      <c r="AK114" s="2693"/>
      <c r="AL114" s="2131"/>
      <c r="AM114" s="1968"/>
      <c r="AN114" s="1968"/>
      <c r="AO114" s="1968"/>
      <c r="AP114" s="1968"/>
      <c r="AQ114" s="1968"/>
      <c r="AR114" s="1968"/>
      <c r="AS114" s="1968"/>
      <c r="AT114" s="1968"/>
      <c r="AU114" s="1968"/>
      <c r="AV114" s="1968"/>
      <c r="AW114" s="1968"/>
      <c r="AX114" s="1968"/>
      <c r="AY114" s="1968"/>
      <c r="AZ114" s="1968"/>
      <c r="BA114" s="1968"/>
      <c r="BB114" s="1968"/>
      <c r="BC114" s="1968"/>
      <c r="BD114" s="1968"/>
      <c r="BE114" s="1968"/>
      <c r="BF114" s="1968"/>
      <c r="BG114" s="7235"/>
    </row>
    <row customHeight="1" ht="0.75">
      <c r="A115" s="1312" t="s">
        <v>1060</v>
      </c>
      <c r="B115" s="1312"/>
      <c r="C115" s="1312"/>
      <c r="D115" s="1306"/>
      <c r="E115" s="1316"/>
      <c r="F115" s="2695"/>
      <c r="G115" s="2674"/>
      <c r="H115" s="2699"/>
      <c r="I115" s="2700"/>
      <c r="J115" s="2701"/>
      <c r="K115" s="2701"/>
      <c r="L115" s="2693"/>
      <c r="M115" s="2427"/>
      <c r="N115" s="2181"/>
      <c r="O115" s="2181"/>
      <c r="P115" s="2188"/>
      <c r="Q115" s="2181"/>
      <c r="R115" s="2181"/>
      <c r="S115" s="2181"/>
      <c r="T115" s="2181"/>
      <c r="U115" s="2181"/>
      <c r="V115" s="2181"/>
      <c r="W115" s="2181"/>
      <c r="X115" s="2181"/>
      <c r="Y115" s="2181"/>
      <c r="Z115" s="2181"/>
      <c r="AA115" s="2181"/>
      <c r="AB115" s="2181"/>
      <c r="AC115" s="2181"/>
      <c r="AD115" s="2181"/>
      <c r="AE115" s="2190"/>
      <c r="AF115" s="2697"/>
      <c r="AG115" s="2693"/>
      <c r="AH115" s="2693"/>
      <c r="AI115" s="2697"/>
      <c r="AJ115" s="2693"/>
      <c r="AK115" s="2693"/>
      <c r="AL115" s="2131"/>
      <c r="AM115" s="1968"/>
      <c r="AN115" s="1968"/>
      <c r="AO115" s="1968"/>
      <c r="AP115" s="1968"/>
      <c r="AQ115" s="1968"/>
      <c r="AR115" s="1968"/>
      <c r="AS115" s="1968"/>
      <c r="AT115" s="1968"/>
      <c r="AU115" s="1968"/>
      <c r="AV115" s="1968"/>
      <c r="AW115" s="1968"/>
      <c r="AX115" s="1968"/>
      <c r="AY115" s="1968"/>
      <c r="AZ115" s="1968"/>
      <c r="BA115" s="1968"/>
      <c r="BB115" s="1968"/>
      <c r="BC115" s="1968"/>
      <c r="BD115" s="1968"/>
      <c r="BE115" s="1968"/>
      <c r="BF115" s="1968"/>
      <c r="BG115" s="7235"/>
    </row>
    <row customHeight="1" ht="11.25">
      <c r="A116" s="1312" t="s">
        <v>1060</v>
      </c>
      <c r="B116" s="1312" t="s">
        <v>22</v>
      </c>
      <c r="C116" s="1312"/>
      <c r="D116" s="1306"/>
      <c r="E116" s="1316"/>
      <c r="F116" s="1974"/>
      <c r="G116" s="7143" t="s">
        <v>106</v>
      </c>
      <c r="H116" s="2674" t="s">
        <v>121</v>
      </c>
      <c r="I116" s="2675" t="s">
        <v>1101</v>
      </c>
      <c r="J116" s="8450" t="s">
        <v>22</v>
      </c>
      <c r="K116" s="2676" t="s">
        <v>1150</v>
      </c>
      <c r="L116" s="2266" t="s">
        <v>19</v>
      </c>
      <c r="M116" s="2267"/>
      <c r="N116" s="2129"/>
      <c r="O116" s="1323" t="s">
        <v>398</v>
      </c>
      <c r="P116" s="1324"/>
      <c r="Q116" s="1324"/>
      <c r="R116" s="1324"/>
      <c r="S116" s="1324"/>
      <c r="T116" s="1324"/>
      <c r="U116" s="1324"/>
      <c r="V116" s="1324"/>
      <c r="W116" s="1324"/>
      <c r="X116" s="1324"/>
      <c r="Y116" s="1324"/>
      <c r="Z116" s="1324"/>
      <c r="AA116" s="1324"/>
      <c r="AB116" s="1324"/>
      <c r="AC116" s="1324"/>
      <c r="AD116" s="1324"/>
      <c r="AE116" s="1324"/>
      <c r="AF116" s="2665">
        <v>2023</v>
      </c>
      <c r="AG116" s="2666" t="s">
        <v>1103</v>
      </c>
      <c r="AH116" s="2666" t="s">
        <v>1151</v>
      </c>
      <c r="AI116" s="8658"/>
      <c r="AJ116" s="2666" t="s">
        <v>1152</v>
      </c>
      <c r="AK116" s="2666" t="s">
        <v>1152</v>
      </c>
      <c r="AL116" s="2131"/>
      <c r="AM116" s="1968"/>
      <c r="AN116" s="1968"/>
      <c r="AO116" s="1968"/>
      <c r="AP116" s="1968"/>
      <c r="AQ116" s="1968"/>
      <c r="AR116" s="1968"/>
      <c r="AS116" s="1968"/>
      <c r="AT116" s="1968"/>
      <c r="AU116" s="1968"/>
      <c r="AV116" s="1968"/>
      <c r="AW116" s="1968"/>
      <c r="AX116" s="1968"/>
      <c r="AY116" s="1968"/>
      <c r="AZ116" s="1968"/>
      <c r="BA116" s="1968"/>
      <c r="BB116" s="1968"/>
      <c r="BC116" s="1968"/>
      <c r="BD116" s="1968"/>
      <c r="BE116" s="1968"/>
      <c r="BF116" s="1968"/>
      <c r="BG116" s="7235"/>
    </row>
    <row customHeight="1" ht="11.25">
      <c r="A117" s="1312" t="s">
        <v>1060</v>
      </c>
      <c r="B117" s="1312"/>
      <c r="C117" s="1312"/>
      <c r="D117" s="1306"/>
      <c r="E117" s="1316"/>
      <c r="F117" s="1974"/>
      <c r="G117" s="1975"/>
      <c r="H117" s="2674" t="s">
        <v>398</v>
      </c>
      <c r="I117" s="2675"/>
      <c r="J117" s="8450"/>
      <c r="K117" s="2676"/>
      <c r="L117" s="2266"/>
      <c r="M117" s="2267"/>
      <c r="N117" s="2667"/>
      <c r="O117" s="2668">
        <v>1</v>
      </c>
      <c r="P117" s="2669" t="s">
        <v>19</v>
      </c>
      <c r="Q117" s="2672" t="s">
        <v>22</v>
      </c>
      <c r="R117" s="2672" t="s">
        <v>22</v>
      </c>
      <c r="S117" s="2672" t="s">
        <v>22</v>
      </c>
      <c r="T117" s="2672" t="s">
        <v>22</v>
      </c>
      <c r="U117" s="2672" t="s">
        <v>22</v>
      </c>
      <c r="V117" s="2672" t="s">
        <v>22</v>
      </c>
      <c r="W117" s="2672" t="s">
        <v>22</v>
      </c>
      <c r="X117" s="2672" t="s">
        <v>22</v>
      </c>
      <c r="Y117" s="2672"/>
      <c r="Z117" s="1321"/>
      <c r="AA117" s="1322"/>
      <c r="AB117" s="1322"/>
      <c r="AC117" s="1326"/>
      <c r="AD117" s="1326"/>
      <c r="AE117" s="1327"/>
      <c r="AF117" s="2665"/>
      <c r="AG117" s="2666"/>
      <c r="AH117" s="2666"/>
      <c r="AI117" s="8658"/>
      <c r="AJ117" s="2666"/>
      <c r="AK117" s="2666"/>
      <c r="AL117" s="2131"/>
      <c r="AM117" s="1968"/>
      <c r="AN117" s="1968"/>
      <c r="AO117" s="1968"/>
      <c r="AP117" s="1968"/>
      <c r="AQ117" s="1968"/>
      <c r="AR117" s="1968"/>
      <c r="AS117" s="1968"/>
      <c r="AT117" s="1968"/>
      <c r="AU117" s="1968"/>
      <c r="AV117" s="1968"/>
      <c r="AW117" s="1968"/>
      <c r="AX117" s="1968"/>
      <c r="AY117" s="1968"/>
      <c r="AZ117" s="1968"/>
      <c r="BA117" s="1968"/>
      <c r="BB117" s="1968"/>
      <c r="BC117" s="1968"/>
      <c r="BD117" s="1968"/>
      <c r="BE117" s="1968"/>
      <c r="BF117" s="1968"/>
      <c r="BG117" s="7235"/>
    </row>
    <row customHeight="1" ht="11.25">
      <c r="A118" s="1312" t="s">
        <v>1060</v>
      </c>
      <c r="B118" s="1312"/>
      <c r="C118" s="1312"/>
      <c r="D118" s="1306"/>
      <c r="E118" s="1316"/>
      <c r="F118" s="1974"/>
      <c r="G118" s="1975"/>
      <c r="H118" s="2674" t="s">
        <v>398</v>
      </c>
      <c r="I118" s="2675"/>
      <c r="J118" s="8450"/>
      <c r="K118" s="2676"/>
      <c r="L118" s="2266"/>
      <c r="M118" s="2267"/>
      <c r="N118" s="2667"/>
      <c r="O118" s="2668"/>
      <c r="P118" s="2670"/>
      <c r="Q118" s="2672"/>
      <c r="R118" s="2672"/>
      <c r="S118" s="2673"/>
      <c r="T118" s="2672"/>
      <c r="U118" s="2672"/>
      <c r="V118" s="2672"/>
      <c r="W118" s="2672"/>
      <c r="X118" s="2672"/>
      <c r="Y118" s="2672"/>
      <c r="Z118" s="1973"/>
      <c r="AA118" s="1939">
        <v>1</v>
      </c>
      <c r="AB118" s="1325" t="s">
        <v>1131</v>
      </c>
      <c r="AC118" s="1315">
        <v>9497</v>
      </c>
      <c r="AD118" s="1325" t="str">
        <f>AB118</f>
        <v>      Прочие амортизационные отчисления</v>
      </c>
      <c r="AE118" s="1315">
        <v>8544.09</v>
      </c>
      <c r="AF118" s="2665"/>
      <c r="AG118" s="2666"/>
      <c r="AH118" s="2666"/>
      <c r="AI118" s="8658"/>
      <c r="AJ118" s="2666"/>
      <c r="AK118" s="2666"/>
      <c r="AL118" s="2131"/>
      <c r="AM118" s="1968"/>
      <c r="AN118" s="1968"/>
      <c r="AO118" s="1968"/>
      <c r="AP118" s="1968"/>
      <c r="AQ118" s="1968"/>
      <c r="AR118" s="1968"/>
      <c r="AS118" s="1968"/>
      <c r="AT118" s="1968"/>
      <c r="AU118" s="1968"/>
      <c r="AV118" s="1968"/>
      <c r="AW118" s="1968"/>
      <c r="AX118" s="1968"/>
      <c r="AY118" s="1968"/>
      <c r="AZ118" s="1968"/>
      <c r="BA118" s="1968"/>
      <c r="BB118" s="1968"/>
      <c r="BC118" s="1968"/>
      <c r="BD118" s="1968"/>
      <c r="BE118" s="1968"/>
      <c r="BF118" s="1968"/>
      <c r="BG118" s="7235"/>
    </row>
    <row customHeight="1" ht="11.25">
      <c r="A119" s="1312" t="s">
        <v>1060</v>
      </c>
      <c r="B119" s="1312"/>
      <c r="C119" s="1312"/>
      <c r="D119" s="1306"/>
      <c r="E119" s="1316"/>
      <c r="F119" s="1975"/>
      <c r="G119" s="1975"/>
      <c r="H119" s="1975"/>
      <c r="I119" s="1975"/>
      <c r="J119" s="1975"/>
      <c r="K119" s="1975"/>
      <c r="L119" s="1975"/>
      <c r="M119" s="1975"/>
      <c r="N119" s="1975"/>
      <c r="O119" s="1975"/>
      <c r="P119" s="1975"/>
      <c r="Q119" s="1975"/>
      <c r="R119" s="1975"/>
      <c r="S119" s="1975"/>
      <c r="T119" s="1975"/>
      <c r="U119" s="1975"/>
      <c r="V119" s="1975"/>
      <c r="W119" s="1975"/>
      <c r="X119" s="1975"/>
      <c r="Y119" s="1975"/>
      <c r="Z119" s="7143" t="s">
        <v>106</v>
      </c>
      <c r="AA119" s="1959" t="s">
        <v>105</v>
      </c>
      <c r="AB119" s="1325" t="s">
        <v>1106</v>
      </c>
      <c r="AC119" s="1315">
        <v>38204.51</v>
      </c>
      <c r="AD119" s="1325" t="str">
        <f>AB119</f>
        <v>  Прибыль направляемая на инвестиции</v>
      </c>
      <c r="AE119" s="1315">
        <v>12612.64</v>
      </c>
      <c r="AF119" s="2232"/>
      <c r="AG119" s="1904"/>
      <c r="AH119" s="1904"/>
      <c r="AI119" s="8659"/>
      <c r="AJ119" s="1904"/>
      <c r="AK119" s="2130"/>
      <c r="AL119" s="2131"/>
      <c r="AM119" s="1968"/>
      <c r="AN119" s="1968"/>
      <c r="AO119" s="1968"/>
      <c r="AP119" s="1968"/>
      <c r="AQ119" s="1968"/>
      <c r="AR119" s="1968"/>
      <c r="AS119" s="1968"/>
      <c r="AT119" s="1968"/>
      <c r="AU119" s="1968"/>
      <c r="AV119" s="1968"/>
      <c r="AW119" s="1968"/>
      <c r="AX119" s="1968"/>
      <c r="AY119" s="1968"/>
      <c r="AZ119" s="1968"/>
      <c r="BA119" s="1968"/>
      <c r="BB119" s="1968"/>
      <c r="BC119" s="1968"/>
      <c r="BD119" s="1968"/>
      <c r="BE119" s="1968"/>
      <c r="BF119" s="1968"/>
      <c r="BG119" s="7235"/>
    </row>
    <row customHeight="1" ht="11.25">
      <c r="A120" s="1312" t="s">
        <v>1060</v>
      </c>
      <c r="B120" s="1312"/>
      <c r="C120" s="1312"/>
      <c r="D120" s="1306"/>
      <c r="E120" s="1316"/>
      <c r="F120" s="1974"/>
      <c r="G120" s="1975"/>
      <c r="H120" s="2674" t="s">
        <v>398</v>
      </c>
      <c r="I120" s="2675"/>
      <c r="J120" s="8450"/>
      <c r="K120" s="2676"/>
      <c r="L120" s="2266"/>
      <c r="M120" s="2267"/>
      <c r="N120" s="2667"/>
      <c r="O120" s="2668"/>
      <c r="P120" s="2671"/>
      <c r="Q120" s="2672"/>
      <c r="R120" s="2672"/>
      <c r="S120" s="2673"/>
      <c r="T120" s="2672"/>
      <c r="U120" s="2672"/>
      <c r="V120" s="2672"/>
      <c r="W120" s="2672"/>
      <c r="X120" s="2672"/>
      <c r="Y120" s="2672"/>
      <c r="Z120" s="1321"/>
      <c r="AA120" s="1322"/>
      <c r="AB120" s="1387" t="s">
        <v>1107</v>
      </c>
      <c r="AC120" s="1326"/>
      <c r="AD120" s="1326"/>
      <c r="AE120" s="1328"/>
      <c r="AF120" s="2665"/>
      <c r="AG120" s="2666"/>
      <c r="AH120" s="2666"/>
      <c r="AI120" s="8658"/>
      <c r="AJ120" s="2666"/>
      <c r="AK120" s="2666"/>
      <c r="AL120" s="2131"/>
      <c r="AM120" s="1968"/>
      <c r="AN120" s="1968"/>
      <c r="AO120" s="1968"/>
      <c r="AP120" s="1968"/>
      <c r="AQ120" s="1968"/>
      <c r="AR120" s="1968"/>
      <c r="AS120" s="1968"/>
      <c r="AT120" s="1968"/>
      <c r="AU120" s="1968"/>
      <c r="AV120" s="1968"/>
      <c r="AW120" s="1968"/>
      <c r="AX120" s="1968"/>
      <c r="AY120" s="1968"/>
      <c r="AZ120" s="1968"/>
      <c r="BA120" s="1968"/>
      <c r="BB120" s="1968"/>
      <c r="BC120" s="1968"/>
      <c r="BD120" s="1968"/>
      <c r="BE120" s="1968"/>
      <c r="BF120" s="1968"/>
      <c r="BG120" s="7235"/>
    </row>
    <row customHeight="1" ht="11.25">
      <c r="A121" s="1312" t="s">
        <v>1060</v>
      </c>
      <c r="B121" s="1312"/>
      <c r="C121" s="1312"/>
      <c r="D121" s="1306"/>
      <c r="E121" s="1316"/>
      <c r="F121" s="1974"/>
      <c r="G121" s="1975"/>
      <c r="H121" s="2674" t="s">
        <v>398</v>
      </c>
      <c r="I121" s="2675"/>
      <c r="J121" s="8450"/>
      <c r="K121" s="2676"/>
      <c r="L121" s="2266"/>
      <c r="M121" s="2267"/>
      <c r="N121" s="1321"/>
      <c r="O121" s="1322"/>
      <c r="P121" s="1314" t="s">
        <v>1108</v>
      </c>
      <c r="Q121" s="1322"/>
      <c r="R121" s="1322"/>
      <c r="S121" s="1322"/>
      <c r="T121" s="1322"/>
      <c r="U121" s="1322"/>
      <c r="V121" s="1322"/>
      <c r="W121" s="1322"/>
      <c r="X121" s="1322"/>
      <c r="Y121" s="1322"/>
      <c r="Z121" s="1322"/>
      <c r="AA121" s="1322"/>
      <c r="AB121" s="1322"/>
      <c r="AC121" s="1322"/>
      <c r="AD121" s="1322"/>
      <c r="AE121" s="1329"/>
      <c r="AF121" s="2665"/>
      <c r="AG121" s="2666"/>
      <c r="AH121" s="2666"/>
      <c r="AI121" s="8658"/>
      <c r="AJ121" s="2666"/>
      <c r="AK121" s="2666"/>
      <c r="AL121" s="2131"/>
      <c r="AM121" s="1968"/>
      <c r="AN121" s="1968"/>
      <c r="AO121" s="1968"/>
      <c r="AP121" s="1968"/>
      <c r="AQ121" s="1968"/>
      <c r="AR121" s="1968"/>
      <c r="AS121" s="1968"/>
      <c r="AT121" s="1968"/>
      <c r="AU121" s="1968"/>
      <c r="AV121" s="1968"/>
      <c r="AW121" s="1968"/>
      <c r="AX121" s="1968"/>
      <c r="AY121" s="1968"/>
      <c r="AZ121" s="1968"/>
      <c r="BA121" s="1968"/>
      <c r="BB121" s="1968"/>
      <c r="BC121" s="1968"/>
      <c r="BD121" s="1968"/>
      <c r="BE121" s="1968"/>
      <c r="BF121" s="1968"/>
      <c r="BG121" s="7235"/>
    </row>
    <row customHeight="1" ht="12">
      <c r="A122" s="1312" t="s">
        <v>1060</v>
      </c>
      <c r="B122" s="1312"/>
      <c r="C122" s="1312"/>
      <c r="D122" s="1306"/>
      <c r="E122" s="1316"/>
      <c r="F122" s="2696"/>
      <c r="G122" s="1336"/>
      <c r="H122" s="1336"/>
      <c r="I122" s="2694" t="s">
        <v>1100</v>
      </c>
      <c r="J122" s="2694"/>
      <c r="K122" s="2694"/>
      <c r="L122" s="1319"/>
      <c r="M122" s="1319"/>
      <c r="N122" s="1320"/>
      <c r="O122" s="1320"/>
      <c r="P122" s="1320"/>
      <c r="Q122" s="1320"/>
      <c r="R122" s="1320"/>
      <c r="S122" s="1320"/>
      <c r="T122" s="1320"/>
      <c r="U122" s="1320"/>
      <c r="V122" s="1320"/>
      <c r="W122" s="1320"/>
      <c r="X122" s="1320"/>
      <c r="Y122" s="1320"/>
      <c r="Z122" s="1320"/>
      <c r="AA122" s="1320"/>
      <c r="AB122" s="1320"/>
      <c r="AC122" s="1320"/>
      <c r="AD122" s="1320"/>
      <c r="AE122" s="1320"/>
      <c r="AF122" s="1320"/>
      <c r="AG122" s="1319"/>
      <c r="AH122" s="1319"/>
      <c r="AI122" s="1320"/>
      <c r="AJ122" s="1319"/>
      <c r="AK122" s="1320"/>
      <c r="AL122" s="2131"/>
      <c r="AM122" s="1968"/>
      <c r="AN122" s="1968"/>
      <c r="AO122" s="1968"/>
      <c r="AP122" s="1968"/>
      <c r="AQ122" s="1968"/>
      <c r="AR122" s="1968"/>
      <c r="AS122" s="1968"/>
      <c r="AT122" s="1968"/>
      <c r="AU122" s="1968"/>
      <c r="AV122" s="1968"/>
      <c r="AW122" s="1968"/>
      <c r="AX122" s="1968"/>
      <c r="AY122" s="1968"/>
      <c r="AZ122" s="1968"/>
      <c r="BA122" s="1968"/>
      <c r="BB122" s="1968"/>
      <c r="BC122" s="1968"/>
      <c r="BD122" s="1968"/>
      <c r="BE122" s="1968"/>
      <c r="BF122" s="1968"/>
      <c r="BG122" s="7235"/>
    </row>
    <row customHeight="1" ht="0.75">
      <c r="A123" s="1312" t="s">
        <v>1060</v>
      </c>
      <c r="B123" s="1312"/>
      <c r="C123" s="1312"/>
      <c r="D123" s="1306"/>
      <c r="E123" s="1316"/>
      <c r="F123" s="2695">
        <v>2024</v>
      </c>
      <c r="G123" s="2674"/>
      <c r="H123" s="2699" t="s">
        <v>398</v>
      </c>
      <c r="I123" s="2700"/>
      <c r="J123" s="2701"/>
      <c r="K123" s="2701"/>
      <c r="L123" s="2693"/>
      <c r="M123" s="2427"/>
      <c r="N123" s="2179"/>
      <c r="O123" s="2178"/>
      <c r="P123" s="2179"/>
      <c r="Q123" s="2179"/>
      <c r="R123" s="2179"/>
      <c r="S123" s="2179"/>
      <c r="T123" s="2179"/>
      <c r="U123" s="2179"/>
      <c r="V123" s="2179"/>
      <c r="W123" s="2179"/>
      <c r="X123" s="2179"/>
      <c r="Y123" s="2179"/>
      <c r="Z123" s="2179"/>
      <c r="AA123" s="2179"/>
      <c r="AB123" s="2179"/>
      <c r="AC123" s="2179"/>
      <c r="AD123" s="2179"/>
      <c r="AE123" s="2179"/>
      <c r="AF123" s="2697"/>
      <c r="AG123" s="2693"/>
      <c r="AH123" s="2693"/>
      <c r="AI123" s="2697"/>
      <c r="AJ123" s="2693"/>
      <c r="AK123" s="2693"/>
      <c r="AL123" s="2131"/>
      <c r="AM123" s="1968"/>
      <c r="AN123" s="1968"/>
      <c r="AO123" s="1968"/>
      <c r="AP123" s="1968"/>
      <c r="AQ123" s="1968"/>
      <c r="AR123" s="1968"/>
      <c r="AS123" s="1968"/>
      <c r="AT123" s="1968"/>
      <c r="AU123" s="1968"/>
      <c r="AV123" s="1968"/>
      <c r="AW123" s="1968"/>
      <c r="AX123" s="1968"/>
      <c r="AY123" s="1968"/>
      <c r="AZ123" s="1968"/>
      <c r="BA123" s="1968"/>
      <c r="BB123" s="1968"/>
      <c r="BC123" s="1968"/>
      <c r="BD123" s="1968"/>
      <c r="BE123" s="1968"/>
      <c r="BF123" s="1968"/>
      <c r="BG123" s="7235"/>
    </row>
    <row customHeight="1" ht="0.75">
      <c r="A124" s="1312" t="s">
        <v>1060</v>
      </c>
      <c r="B124" s="1312"/>
      <c r="C124" s="1312"/>
      <c r="D124" s="1306"/>
      <c r="E124" s="1316"/>
      <c r="F124" s="2695"/>
      <c r="G124" s="2674"/>
      <c r="H124" s="2699"/>
      <c r="I124" s="2700"/>
      <c r="J124" s="2701"/>
      <c r="K124" s="2701"/>
      <c r="L124" s="2693"/>
      <c r="M124" s="2427"/>
      <c r="N124" s="2702"/>
      <c r="O124" s="2703"/>
      <c r="P124" s="2747"/>
      <c r="Q124" s="2698"/>
      <c r="R124" s="2698"/>
      <c r="S124" s="2698"/>
      <c r="T124" s="2698"/>
      <c r="U124" s="2698"/>
      <c r="V124" s="2698"/>
      <c r="W124" s="2698"/>
      <c r="X124" s="2698"/>
      <c r="Y124" s="2698"/>
      <c r="Z124" s="2180"/>
      <c r="AA124" s="2181"/>
      <c r="AB124" s="2181"/>
      <c r="AC124" s="2182"/>
      <c r="AD124" s="2182"/>
      <c r="AE124" s="2183"/>
      <c r="AF124" s="2697"/>
      <c r="AG124" s="2693"/>
      <c r="AH124" s="2693"/>
      <c r="AI124" s="2697"/>
      <c r="AJ124" s="2693"/>
      <c r="AK124" s="2693"/>
      <c r="AL124" s="2131"/>
      <c r="AM124" s="1968"/>
      <c r="AN124" s="1968"/>
      <c r="AO124" s="1968"/>
      <c r="AP124" s="1968"/>
      <c r="AQ124" s="1968"/>
      <c r="AR124" s="1968"/>
      <c r="AS124" s="1968"/>
      <c r="AT124" s="1968"/>
      <c r="AU124" s="1968"/>
      <c r="AV124" s="1968"/>
      <c r="AW124" s="1968"/>
      <c r="AX124" s="1968"/>
      <c r="AY124" s="1968"/>
      <c r="AZ124" s="1968"/>
      <c r="BA124" s="1968"/>
      <c r="BB124" s="1968"/>
      <c r="BC124" s="1968"/>
      <c r="BD124" s="1968"/>
      <c r="BE124" s="1968"/>
      <c r="BF124" s="1968"/>
      <c r="BG124" s="7235"/>
    </row>
    <row customHeight="1" ht="0.75">
      <c r="A125" s="1312" t="s">
        <v>1060</v>
      </c>
      <c r="B125" s="1312"/>
      <c r="C125" s="1312"/>
      <c r="D125" s="1306"/>
      <c r="E125" s="1316"/>
      <c r="F125" s="2695"/>
      <c r="G125" s="2674"/>
      <c r="H125" s="2699"/>
      <c r="I125" s="2700"/>
      <c r="J125" s="2701"/>
      <c r="K125" s="2701"/>
      <c r="L125" s="2693"/>
      <c r="M125" s="2427"/>
      <c r="N125" s="2702"/>
      <c r="O125" s="2703"/>
      <c r="P125" s="2748"/>
      <c r="Q125" s="2698"/>
      <c r="R125" s="2698"/>
      <c r="S125" s="2698"/>
      <c r="T125" s="2698"/>
      <c r="U125" s="2698"/>
      <c r="V125" s="2698"/>
      <c r="W125" s="2698"/>
      <c r="X125" s="2698"/>
      <c r="Y125" s="2698"/>
      <c r="Z125" s="2184"/>
      <c r="AA125" s="2185"/>
      <c r="AB125" s="2186"/>
      <c r="AC125" s="2187"/>
      <c r="AD125" s="2186"/>
      <c r="AE125" s="2187"/>
      <c r="AF125" s="2697"/>
      <c r="AG125" s="2693"/>
      <c r="AH125" s="2693"/>
      <c r="AI125" s="2697"/>
      <c r="AJ125" s="2693"/>
      <c r="AK125" s="2693"/>
      <c r="AL125" s="2131"/>
      <c r="AM125" s="1968"/>
      <c r="AN125" s="1968"/>
      <c r="AO125" s="1968"/>
      <c r="AP125" s="1968"/>
      <c r="AQ125" s="1968"/>
      <c r="AR125" s="1968"/>
      <c r="AS125" s="1968"/>
      <c r="AT125" s="1968"/>
      <c r="AU125" s="1968"/>
      <c r="AV125" s="1968"/>
      <c r="AW125" s="1968"/>
      <c r="AX125" s="1968"/>
      <c r="AY125" s="1968"/>
      <c r="AZ125" s="1968"/>
      <c r="BA125" s="1968"/>
      <c r="BB125" s="1968"/>
      <c r="BC125" s="1968"/>
      <c r="BD125" s="1968"/>
      <c r="BE125" s="1968"/>
      <c r="BF125" s="1968"/>
      <c r="BG125" s="7235"/>
    </row>
    <row customHeight="1" ht="0.75">
      <c r="A126" s="1312" t="s">
        <v>1060</v>
      </c>
      <c r="B126" s="1312"/>
      <c r="C126" s="1312"/>
      <c r="D126" s="1306"/>
      <c r="E126" s="1316"/>
      <c r="F126" s="2695"/>
      <c r="G126" s="2674"/>
      <c r="H126" s="2699"/>
      <c r="I126" s="2700"/>
      <c r="J126" s="2701"/>
      <c r="K126" s="2701"/>
      <c r="L126" s="2693"/>
      <c r="M126" s="2427"/>
      <c r="N126" s="2702"/>
      <c r="O126" s="2703"/>
      <c r="P126" s="2749"/>
      <c r="Q126" s="2698"/>
      <c r="R126" s="2698"/>
      <c r="S126" s="2698"/>
      <c r="T126" s="2698"/>
      <c r="U126" s="2698"/>
      <c r="V126" s="2698"/>
      <c r="W126" s="2698"/>
      <c r="X126" s="2698"/>
      <c r="Y126" s="2698"/>
      <c r="Z126" s="2180"/>
      <c r="AA126" s="2181"/>
      <c r="AB126" s="2188"/>
      <c r="AC126" s="2182"/>
      <c r="AD126" s="2182"/>
      <c r="AE126" s="2189"/>
      <c r="AF126" s="2697"/>
      <c r="AG126" s="2693"/>
      <c r="AH126" s="2693"/>
      <c r="AI126" s="2697"/>
      <c r="AJ126" s="2693"/>
      <c r="AK126" s="2693"/>
      <c r="AL126" s="2131"/>
      <c r="AM126" s="1968"/>
      <c r="AN126" s="1968"/>
      <c r="AO126" s="1968"/>
      <c r="AP126" s="1968"/>
      <c r="AQ126" s="1968"/>
      <c r="AR126" s="1968"/>
      <c r="AS126" s="1968"/>
      <c r="AT126" s="1968"/>
      <c r="AU126" s="1968"/>
      <c r="AV126" s="1968"/>
      <c r="AW126" s="1968"/>
      <c r="AX126" s="1968"/>
      <c r="AY126" s="1968"/>
      <c r="AZ126" s="1968"/>
      <c r="BA126" s="1968"/>
      <c r="BB126" s="1968"/>
      <c r="BC126" s="1968"/>
      <c r="BD126" s="1968"/>
      <c r="BE126" s="1968"/>
      <c r="BF126" s="1968"/>
      <c r="BG126" s="7235"/>
    </row>
    <row customHeight="1" ht="0.75">
      <c r="A127" s="1312" t="s">
        <v>1060</v>
      </c>
      <c r="B127" s="1312"/>
      <c r="C127" s="1312"/>
      <c r="D127" s="1306"/>
      <c r="E127" s="1316"/>
      <c r="F127" s="2695"/>
      <c r="G127" s="2674"/>
      <c r="H127" s="2699"/>
      <c r="I127" s="2700"/>
      <c r="J127" s="2701"/>
      <c r="K127" s="2701"/>
      <c r="L127" s="2693"/>
      <c r="M127" s="2427"/>
      <c r="N127" s="2181"/>
      <c r="O127" s="2181"/>
      <c r="P127" s="2188"/>
      <c r="Q127" s="2181"/>
      <c r="R127" s="2181"/>
      <c r="S127" s="2181"/>
      <c r="T127" s="2181"/>
      <c r="U127" s="2181"/>
      <c r="V127" s="2181"/>
      <c r="W127" s="2181"/>
      <c r="X127" s="2181"/>
      <c r="Y127" s="2181"/>
      <c r="Z127" s="2181"/>
      <c r="AA127" s="2181"/>
      <c r="AB127" s="2181"/>
      <c r="AC127" s="2181"/>
      <c r="AD127" s="2181"/>
      <c r="AE127" s="2190"/>
      <c r="AF127" s="2697"/>
      <c r="AG127" s="2693"/>
      <c r="AH127" s="2693"/>
      <c r="AI127" s="2697"/>
      <c r="AJ127" s="2693"/>
      <c r="AK127" s="2693"/>
      <c r="AL127" s="2131"/>
      <c r="AM127" s="1968"/>
      <c r="AN127" s="1968"/>
      <c r="AO127" s="1968"/>
      <c r="AP127" s="1968"/>
      <c r="AQ127" s="1968"/>
      <c r="AR127" s="1968"/>
      <c r="AS127" s="1968"/>
      <c r="AT127" s="1968"/>
      <c r="AU127" s="1968"/>
      <c r="AV127" s="1968"/>
      <c r="AW127" s="1968"/>
      <c r="AX127" s="1968"/>
      <c r="AY127" s="1968"/>
      <c r="AZ127" s="1968"/>
      <c r="BA127" s="1968"/>
      <c r="BB127" s="1968"/>
      <c r="BC127" s="1968"/>
      <c r="BD127" s="1968"/>
      <c r="BE127" s="1968"/>
      <c r="BF127" s="1968"/>
      <c r="BG127" s="7235"/>
    </row>
    <row customHeight="1" ht="11.25">
      <c r="A128" s="1312" t="s">
        <v>1060</v>
      </c>
      <c r="B128" s="1312" t="s">
        <v>22</v>
      </c>
      <c r="C128" s="1312"/>
      <c r="D128" s="1306"/>
      <c r="E128" s="1316"/>
      <c r="F128" s="1974"/>
      <c r="G128" s="7143" t="s">
        <v>106</v>
      </c>
      <c r="H128" s="2674" t="s">
        <v>121</v>
      </c>
      <c r="I128" s="2675" t="s">
        <v>1101</v>
      </c>
      <c r="J128" s="8450" t="s">
        <v>22</v>
      </c>
      <c r="K128" s="2676" t="s">
        <v>1153</v>
      </c>
      <c r="L128" s="2266" t="s">
        <v>19</v>
      </c>
      <c r="M128" s="2267"/>
      <c r="N128" s="2129"/>
      <c r="O128" s="1323" t="s">
        <v>398</v>
      </c>
      <c r="P128" s="1324"/>
      <c r="Q128" s="1324"/>
      <c r="R128" s="1324"/>
      <c r="S128" s="1324"/>
      <c r="T128" s="1324"/>
      <c r="U128" s="1324"/>
      <c r="V128" s="1324"/>
      <c r="W128" s="1324"/>
      <c r="X128" s="1324"/>
      <c r="Y128" s="1324"/>
      <c r="Z128" s="1324"/>
      <c r="AA128" s="1324"/>
      <c r="AB128" s="1324"/>
      <c r="AC128" s="1324"/>
      <c r="AD128" s="1324"/>
      <c r="AE128" s="1324"/>
      <c r="AF128" s="2665">
        <v>2024</v>
      </c>
      <c r="AG128" s="2666" t="s">
        <v>1103</v>
      </c>
      <c r="AH128" s="2666" t="s">
        <v>1154</v>
      </c>
      <c r="AI128" s="8456"/>
      <c r="AJ128" s="2666" t="s">
        <v>1152</v>
      </c>
      <c r="AK128" s="2666" t="s">
        <v>1152</v>
      </c>
      <c r="AL128" s="2131"/>
      <c r="AM128" s="1968"/>
      <c r="AN128" s="1968"/>
      <c r="AO128" s="1968"/>
      <c r="AP128" s="1968"/>
      <c r="AQ128" s="1968"/>
      <c r="AR128" s="1968"/>
      <c r="AS128" s="1968"/>
      <c r="AT128" s="1968"/>
      <c r="AU128" s="1968"/>
      <c r="AV128" s="1968"/>
      <c r="AW128" s="1968"/>
      <c r="AX128" s="1968"/>
      <c r="AY128" s="1968"/>
      <c r="AZ128" s="1968"/>
      <c r="BA128" s="1968"/>
      <c r="BB128" s="1968"/>
      <c r="BC128" s="1968"/>
      <c r="BD128" s="1968"/>
      <c r="BE128" s="1968"/>
      <c r="BF128" s="1968"/>
      <c r="BG128" s="7235"/>
    </row>
    <row customHeight="1" ht="11.25">
      <c r="A129" s="1312" t="s">
        <v>1060</v>
      </c>
      <c r="B129" s="1312"/>
      <c r="C129" s="1312"/>
      <c r="D129" s="1306"/>
      <c r="E129" s="1316"/>
      <c r="F129" s="1974"/>
      <c r="G129" s="1975"/>
      <c r="H129" s="2674" t="s">
        <v>398</v>
      </c>
      <c r="I129" s="2675"/>
      <c r="J129" s="8450"/>
      <c r="K129" s="2676"/>
      <c r="L129" s="2266"/>
      <c r="M129" s="2267"/>
      <c r="N129" s="2667"/>
      <c r="O129" s="2668">
        <v>1</v>
      </c>
      <c r="P129" s="2669" t="s">
        <v>63</v>
      </c>
      <c r="Q129" s="8451" t="s">
        <v>1155</v>
      </c>
      <c r="R129" s="8452" t="s">
        <v>1114</v>
      </c>
      <c r="S129" s="8452" t="s">
        <v>113</v>
      </c>
      <c r="T129" s="8452" t="s">
        <v>113</v>
      </c>
      <c r="U129" s="8452" t="s">
        <v>114</v>
      </c>
      <c r="V129" s="8452" t="s">
        <v>1115</v>
      </c>
      <c r="W129" s="8452" t="s">
        <v>1116</v>
      </c>
      <c r="X129" s="8452" t="s">
        <v>1156</v>
      </c>
      <c r="Y129" s="8452" t="s">
        <v>1157</v>
      </c>
      <c r="Z129" s="1321"/>
      <c r="AA129" s="1322"/>
      <c r="AB129" s="1322"/>
      <c r="AC129" s="1326"/>
      <c r="AD129" s="1326"/>
      <c r="AE129" s="1327"/>
      <c r="AF129" s="2665"/>
      <c r="AG129" s="2666"/>
      <c r="AH129" s="2666"/>
      <c r="AI129" s="8456"/>
      <c r="AJ129" s="2666"/>
      <c r="AK129" s="2666"/>
      <c r="AL129" s="2131"/>
      <c r="AM129" s="1968"/>
      <c r="AN129" s="1968"/>
      <c r="AO129" s="1968"/>
      <c r="AP129" s="1968"/>
      <c r="AQ129" s="1968"/>
      <c r="AR129" s="1968"/>
      <c r="AS129" s="1968"/>
      <c r="AT129" s="1968"/>
      <c r="AU129" s="1968"/>
      <c r="AV129" s="1968"/>
      <c r="AW129" s="1968"/>
      <c r="AX129" s="1968"/>
      <c r="AY129" s="1968"/>
      <c r="AZ129" s="1968"/>
      <c r="BA129" s="1968"/>
      <c r="BB129" s="1968"/>
      <c r="BC129" s="1968"/>
      <c r="BD129" s="1968"/>
      <c r="BE129" s="1968"/>
      <c r="BF129" s="1968"/>
      <c r="BG129" s="7235"/>
    </row>
    <row customHeight="1" ht="11.25">
      <c r="A130" s="1312" t="s">
        <v>1060</v>
      </c>
      <c r="B130" s="1312"/>
      <c r="C130" s="1312"/>
      <c r="D130" s="1306"/>
      <c r="E130" s="1316"/>
      <c r="F130" s="1974"/>
      <c r="G130" s="1975"/>
      <c r="H130" s="2674" t="s">
        <v>398</v>
      </c>
      <c r="I130" s="2675"/>
      <c r="J130" s="8450"/>
      <c r="K130" s="2676"/>
      <c r="L130" s="2266"/>
      <c r="M130" s="2267"/>
      <c r="N130" s="2667"/>
      <c r="O130" s="2668"/>
      <c r="P130" s="2670"/>
      <c r="Q130" s="8451"/>
      <c r="R130" s="2672"/>
      <c r="S130" s="2673"/>
      <c r="T130" s="2672"/>
      <c r="U130" s="2672"/>
      <c r="V130" s="2672"/>
      <c r="W130" s="2672"/>
      <c r="X130" s="2672"/>
      <c r="Y130" s="2672"/>
      <c r="Z130" s="1973"/>
      <c r="AA130" s="1939">
        <v>1</v>
      </c>
      <c r="AB130" s="1325" t="s">
        <v>1131</v>
      </c>
      <c r="AC130" s="1315">
        <v>10697</v>
      </c>
      <c r="AD130" s="1325" t="str">
        <f>AB130</f>
        <v>      Прочие амортизационные отчисления</v>
      </c>
      <c r="AE130" s="1315">
        <v>2613.09688</v>
      </c>
      <c r="AF130" s="2665"/>
      <c r="AG130" s="2666"/>
      <c r="AH130" s="2666"/>
      <c r="AI130" s="8456"/>
      <c r="AJ130" s="2666"/>
      <c r="AK130" s="2666"/>
      <c r="AL130" s="2131"/>
      <c r="AM130" s="1968"/>
      <c r="AN130" s="1968"/>
      <c r="AO130" s="1968"/>
      <c r="AP130" s="1968"/>
      <c r="AQ130" s="1968"/>
      <c r="AR130" s="1968"/>
      <c r="AS130" s="1968"/>
      <c r="AT130" s="1968"/>
      <c r="AU130" s="1968"/>
      <c r="AV130" s="1968"/>
      <c r="AW130" s="1968"/>
      <c r="AX130" s="1968"/>
      <c r="AY130" s="1968"/>
      <c r="AZ130" s="1968"/>
      <c r="BA130" s="1968"/>
      <c r="BB130" s="1968"/>
      <c r="BC130" s="1968"/>
      <c r="BD130" s="1968"/>
      <c r="BE130" s="1968"/>
      <c r="BF130" s="1968"/>
      <c r="BG130" s="7235"/>
    </row>
    <row customHeight="1" ht="11.25">
      <c r="A131" s="1312" t="s">
        <v>1060</v>
      </c>
      <c r="B131" s="1312"/>
      <c r="C131" s="1312"/>
      <c r="D131" s="1306"/>
      <c r="E131" s="1316"/>
      <c r="F131" s="1975"/>
      <c r="G131" s="1975"/>
      <c r="H131" s="1975"/>
      <c r="I131" s="1975"/>
      <c r="J131" s="1975"/>
      <c r="K131" s="1975"/>
      <c r="L131" s="1975"/>
      <c r="M131" s="1975"/>
      <c r="N131" s="1975"/>
      <c r="O131" s="1975"/>
      <c r="P131" s="1975"/>
      <c r="Q131" s="1975"/>
      <c r="R131" s="1975"/>
      <c r="S131" s="1975"/>
      <c r="T131" s="1975"/>
      <c r="U131" s="1975"/>
      <c r="V131" s="1975"/>
      <c r="W131" s="1975"/>
      <c r="X131" s="1975"/>
      <c r="Y131" s="1975"/>
      <c r="Z131" s="7143" t="s">
        <v>106</v>
      </c>
      <c r="AA131" s="1959" t="s">
        <v>105</v>
      </c>
      <c r="AB131" s="1325" t="s">
        <v>1106</v>
      </c>
      <c r="AC131" s="1315">
        <v>26841.82</v>
      </c>
      <c r="AD131" s="1325" t="str">
        <f>AB131</f>
        <v>  Прибыль направляемая на инвестиции</v>
      </c>
      <c r="AE131" s="1315">
        <v>0</v>
      </c>
      <c r="AF131" s="2232"/>
      <c r="AG131" s="1904"/>
      <c r="AH131" s="1904"/>
      <c r="AI131" s="8457"/>
      <c r="AJ131" s="1904"/>
      <c r="AK131" s="2130"/>
      <c r="AL131" s="2131"/>
      <c r="AM131" s="1968"/>
      <c r="AN131" s="1968"/>
      <c r="AO131" s="1968"/>
      <c r="AP131" s="1968"/>
      <c r="AQ131" s="1968"/>
      <c r="AR131" s="1968"/>
      <c r="AS131" s="1968"/>
      <c r="AT131" s="1968"/>
      <c r="AU131" s="1968"/>
      <c r="AV131" s="1968"/>
      <c r="AW131" s="1968"/>
      <c r="AX131" s="1968"/>
      <c r="AY131" s="1968"/>
      <c r="AZ131" s="1968"/>
      <c r="BA131" s="1968"/>
      <c r="BB131" s="1968"/>
      <c r="BC131" s="1968"/>
      <c r="BD131" s="1968"/>
      <c r="BE131" s="1968"/>
      <c r="BF131" s="1968"/>
      <c r="BG131" s="7235"/>
    </row>
    <row customHeight="1" ht="11.25">
      <c r="A132" s="1312" t="s">
        <v>1060</v>
      </c>
      <c r="B132" s="1312"/>
      <c r="C132" s="1312"/>
      <c r="D132" s="1306"/>
      <c r="E132" s="1316"/>
      <c r="F132" s="1974"/>
      <c r="G132" s="1975"/>
      <c r="H132" s="2674" t="s">
        <v>398</v>
      </c>
      <c r="I132" s="2675"/>
      <c r="J132" s="8450"/>
      <c r="K132" s="2676"/>
      <c r="L132" s="2266"/>
      <c r="M132" s="2267"/>
      <c r="N132" s="2667"/>
      <c r="O132" s="2668"/>
      <c r="P132" s="2671"/>
      <c r="Q132" s="8451"/>
      <c r="R132" s="2672"/>
      <c r="S132" s="2673"/>
      <c r="T132" s="2672"/>
      <c r="U132" s="2672"/>
      <c r="V132" s="2672"/>
      <c r="W132" s="2672"/>
      <c r="X132" s="2672"/>
      <c r="Y132" s="2672"/>
      <c r="Z132" s="1321"/>
      <c r="AA132" s="1322"/>
      <c r="AB132" s="1387" t="s">
        <v>1107</v>
      </c>
      <c r="AC132" s="1326"/>
      <c r="AD132" s="1326"/>
      <c r="AE132" s="1328"/>
      <c r="AF132" s="2665"/>
      <c r="AG132" s="2666"/>
      <c r="AH132" s="2666"/>
      <c r="AI132" s="8456"/>
      <c r="AJ132" s="2666"/>
      <c r="AK132" s="2666"/>
      <c r="AL132" s="2131"/>
      <c r="AM132" s="1968"/>
      <c r="AN132" s="1968"/>
      <c r="AO132" s="1968"/>
      <c r="AP132" s="1968"/>
      <c r="AQ132" s="1968"/>
      <c r="AR132" s="1968"/>
      <c r="AS132" s="1968"/>
      <c r="AT132" s="1968"/>
      <c r="AU132" s="1968"/>
      <c r="AV132" s="1968"/>
      <c r="AW132" s="1968"/>
      <c r="AX132" s="1968"/>
      <c r="AY132" s="1968"/>
      <c r="AZ132" s="1968"/>
      <c r="BA132" s="1968"/>
      <c r="BB132" s="1968"/>
      <c r="BC132" s="1968"/>
      <c r="BD132" s="1968"/>
      <c r="BE132" s="1968"/>
      <c r="BF132" s="1968"/>
      <c r="BG132" s="7235"/>
    </row>
    <row customHeight="1" ht="11.25">
      <c r="A133" s="1312" t="s">
        <v>1060</v>
      </c>
      <c r="B133" s="1312"/>
      <c r="C133" s="1312"/>
      <c r="D133" s="1306"/>
      <c r="E133" s="1316"/>
      <c r="F133" s="1974"/>
      <c r="G133" s="1975"/>
      <c r="H133" s="2674" t="s">
        <v>398</v>
      </c>
      <c r="I133" s="2675"/>
      <c r="J133" s="8450"/>
      <c r="K133" s="2676"/>
      <c r="L133" s="2266"/>
      <c r="M133" s="2267"/>
      <c r="N133" s="1321"/>
      <c r="O133" s="1322"/>
      <c r="P133" s="1314" t="s">
        <v>1108</v>
      </c>
      <c r="Q133" s="1322"/>
      <c r="R133" s="1322"/>
      <c r="S133" s="1322"/>
      <c r="T133" s="1322"/>
      <c r="U133" s="1322"/>
      <c r="V133" s="1322"/>
      <c r="W133" s="1322"/>
      <c r="X133" s="1322"/>
      <c r="Y133" s="1322"/>
      <c r="Z133" s="1322"/>
      <c r="AA133" s="1322"/>
      <c r="AB133" s="1322"/>
      <c r="AC133" s="1322"/>
      <c r="AD133" s="1322"/>
      <c r="AE133" s="1329"/>
      <c r="AF133" s="2665"/>
      <c r="AG133" s="2666"/>
      <c r="AH133" s="2666"/>
      <c r="AI133" s="8456"/>
      <c r="AJ133" s="2666"/>
      <c r="AK133" s="2666"/>
      <c r="AL133" s="2131"/>
      <c r="AM133" s="1968"/>
      <c r="AN133" s="1968"/>
      <c r="AO133" s="1968"/>
      <c r="AP133" s="1968"/>
      <c r="AQ133" s="1968"/>
      <c r="AR133" s="1968"/>
      <c r="AS133" s="1968"/>
      <c r="AT133" s="1968"/>
      <c r="AU133" s="1968"/>
      <c r="AV133" s="1968"/>
      <c r="AW133" s="1968"/>
      <c r="AX133" s="1968"/>
      <c r="AY133" s="1968"/>
      <c r="AZ133" s="1968"/>
      <c r="BA133" s="1968"/>
      <c r="BB133" s="1968"/>
      <c r="BC133" s="1968"/>
      <c r="BD133" s="1968"/>
      <c r="BE133" s="1968"/>
      <c r="BF133" s="1968"/>
      <c r="BG133" s="7235"/>
    </row>
    <row customHeight="1" ht="11.25">
      <c r="A134" s="1312" t="s">
        <v>1060</v>
      </c>
      <c r="B134" s="1312" t="s">
        <v>22</v>
      </c>
      <c r="C134" s="1312"/>
      <c r="D134" s="1306"/>
      <c r="E134" s="1316"/>
      <c r="F134" s="1974"/>
      <c r="G134" s="7143" t="s">
        <v>106</v>
      </c>
      <c r="H134" s="2674" t="s">
        <v>105</v>
      </c>
      <c r="I134" s="2675" t="s">
        <v>1101</v>
      </c>
      <c r="J134" s="8458" t="s">
        <v>22</v>
      </c>
      <c r="K134" s="2676" t="s">
        <v>1150</v>
      </c>
      <c r="L134" s="2266" t="s">
        <v>19</v>
      </c>
      <c r="M134" s="2267"/>
      <c r="N134" s="2129"/>
      <c r="O134" s="1323" t="s">
        <v>398</v>
      </c>
      <c r="P134" s="1324"/>
      <c r="Q134" s="1324"/>
      <c r="R134" s="1324"/>
      <c r="S134" s="1324"/>
      <c r="T134" s="1324"/>
      <c r="U134" s="1324"/>
      <c r="V134" s="1324"/>
      <c r="W134" s="1324"/>
      <c r="X134" s="1324"/>
      <c r="Y134" s="1324"/>
      <c r="Z134" s="1324"/>
      <c r="AA134" s="1324"/>
      <c r="AB134" s="1324"/>
      <c r="AC134" s="1324"/>
      <c r="AD134" s="1324"/>
      <c r="AE134" s="1324"/>
      <c r="AF134" s="2665">
        <v>2023</v>
      </c>
      <c r="AG134" s="2666" t="s">
        <v>1103</v>
      </c>
      <c r="AH134" s="2666" t="s">
        <v>1151</v>
      </c>
      <c r="AI134" s="2665">
        <v>2024</v>
      </c>
      <c r="AJ134" s="2666" t="s">
        <v>1103</v>
      </c>
      <c r="AK134" s="2666" t="s">
        <v>1154</v>
      </c>
      <c r="AL134" s="2131"/>
      <c r="AM134" s="1968"/>
      <c r="AN134" s="1968"/>
      <c r="AO134" s="1968"/>
      <c r="AP134" s="1968"/>
      <c r="AQ134" s="1968"/>
      <c r="AR134" s="1968"/>
      <c r="AS134" s="1968"/>
      <c r="AT134" s="1968"/>
      <c r="AU134" s="1968"/>
      <c r="AV134" s="1968"/>
      <c r="AW134" s="1968"/>
      <c r="AX134" s="1968"/>
      <c r="AY134" s="1968"/>
      <c r="AZ134" s="1968"/>
      <c r="BA134" s="1968"/>
      <c r="BB134" s="1968"/>
      <c r="BC134" s="1968"/>
      <c r="BD134" s="1968"/>
      <c r="BE134" s="1968"/>
      <c r="BF134" s="1968"/>
      <c r="BG134" s="7235"/>
    </row>
    <row customHeight="1" ht="11.25">
      <c r="A135" s="1312" t="s">
        <v>1060</v>
      </c>
      <c r="B135" s="1312"/>
      <c r="C135" s="1312"/>
      <c r="D135" s="1306"/>
      <c r="E135" s="1316"/>
      <c r="F135" s="1974"/>
      <c r="G135" s="1975"/>
      <c r="H135" s="2674" t="s">
        <v>121</v>
      </c>
      <c r="I135" s="2675"/>
      <c r="J135" s="8458"/>
      <c r="K135" s="2676"/>
      <c r="L135" s="2266"/>
      <c r="M135" s="2267"/>
      <c r="N135" s="2667"/>
      <c r="O135" s="2668">
        <v>1</v>
      </c>
      <c r="P135" s="2669" t="s">
        <v>19</v>
      </c>
      <c r="Q135" s="8460" t="s">
        <v>22</v>
      </c>
      <c r="R135" s="8460" t="s">
        <v>22</v>
      </c>
      <c r="S135" s="8460" t="s">
        <v>22</v>
      </c>
      <c r="T135" s="8460" t="s">
        <v>22</v>
      </c>
      <c r="U135" s="8460" t="s">
        <v>22</v>
      </c>
      <c r="V135" s="8460" t="s">
        <v>22</v>
      </c>
      <c r="W135" s="8460" t="s">
        <v>22</v>
      </c>
      <c r="X135" s="8460" t="s">
        <v>22</v>
      </c>
      <c r="Y135" s="8460" t="s">
        <v>22</v>
      </c>
      <c r="Z135" s="1321"/>
      <c r="AA135" s="1322"/>
      <c r="AB135" s="1322"/>
      <c r="AC135" s="1326"/>
      <c r="AD135" s="1326"/>
      <c r="AE135" s="1327"/>
      <c r="AF135" s="2665"/>
      <c r="AG135" s="2666"/>
      <c r="AH135" s="2666"/>
      <c r="AI135" s="2665"/>
      <c r="AJ135" s="2666"/>
      <c r="AK135" s="2666"/>
      <c r="AL135" s="2131"/>
      <c r="AM135" s="1968"/>
      <c r="AN135" s="1968"/>
      <c r="AO135" s="1968"/>
      <c r="AP135" s="1968"/>
      <c r="AQ135" s="1968"/>
      <c r="AR135" s="1968"/>
      <c r="AS135" s="1968"/>
      <c r="AT135" s="1968"/>
      <c r="AU135" s="1968"/>
      <c r="AV135" s="1968"/>
      <c r="AW135" s="1968"/>
      <c r="AX135" s="1968"/>
      <c r="AY135" s="1968"/>
      <c r="AZ135" s="1968"/>
      <c r="BA135" s="1968"/>
      <c r="BB135" s="1968"/>
      <c r="BC135" s="1968"/>
      <c r="BD135" s="1968"/>
      <c r="BE135" s="1968"/>
      <c r="BF135" s="1968"/>
      <c r="BG135" s="7235"/>
    </row>
    <row customHeight="1" ht="11.25">
      <c r="A136" s="1312" t="s">
        <v>1060</v>
      </c>
      <c r="B136" s="1312"/>
      <c r="C136" s="1312"/>
      <c r="D136" s="1306"/>
      <c r="E136" s="1316"/>
      <c r="F136" s="1974"/>
      <c r="G136" s="1975"/>
      <c r="H136" s="2674" t="s">
        <v>121</v>
      </c>
      <c r="I136" s="2675"/>
      <c r="J136" s="8458"/>
      <c r="K136" s="2676"/>
      <c r="L136" s="2266"/>
      <c r="M136" s="2267"/>
      <c r="N136" s="2667"/>
      <c r="O136" s="2668"/>
      <c r="P136" s="2670"/>
      <c r="Q136" s="8461"/>
      <c r="R136" s="2672"/>
      <c r="S136" s="2673"/>
      <c r="T136" s="2672"/>
      <c r="U136" s="2672"/>
      <c r="V136" s="2672"/>
      <c r="W136" s="2672"/>
      <c r="X136" s="2672"/>
      <c r="Y136" s="2672"/>
      <c r="Z136" s="1973"/>
      <c r="AA136" s="1939">
        <v>1</v>
      </c>
      <c r="AB136" s="1325" t="s">
        <v>1106</v>
      </c>
      <c r="AC136" s="1315">
        <v>0</v>
      </c>
      <c r="AD136" s="1325" t="str">
        <f>AB136</f>
        <v>  Прибыль направляемая на инвестиции</v>
      </c>
      <c r="AE136" s="1315">
        <v>6562.888664</v>
      </c>
      <c r="AF136" s="2665"/>
      <c r="AG136" s="2666"/>
      <c r="AH136" s="2666"/>
      <c r="AI136" s="2665"/>
      <c r="AJ136" s="2666"/>
      <c r="AK136" s="2666"/>
      <c r="AL136" s="2131"/>
      <c r="AM136" s="1968"/>
      <c r="AN136" s="1968"/>
      <c r="AO136" s="1968"/>
      <c r="AP136" s="1968"/>
      <c r="AQ136" s="1968"/>
      <c r="AR136" s="1968"/>
      <c r="AS136" s="1968"/>
      <c r="AT136" s="1968"/>
      <c r="AU136" s="1968"/>
      <c r="AV136" s="1968"/>
      <c r="AW136" s="1968"/>
      <c r="AX136" s="1968"/>
      <c r="AY136" s="1968"/>
      <c r="AZ136" s="1968"/>
      <c r="BA136" s="1968"/>
      <c r="BB136" s="1968"/>
      <c r="BC136" s="1968"/>
      <c r="BD136" s="1968"/>
      <c r="BE136" s="1968"/>
      <c r="BF136" s="1968"/>
      <c r="BG136" s="7235"/>
    </row>
    <row customHeight="1" ht="11.25">
      <c r="A137" s="1312" t="s">
        <v>1060</v>
      </c>
      <c r="B137" s="1312"/>
      <c r="C137" s="1312"/>
      <c r="D137" s="1306"/>
      <c r="E137" s="1316"/>
      <c r="F137" s="1974"/>
      <c r="G137" s="1975"/>
      <c r="H137" s="2674" t="s">
        <v>121</v>
      </c>
      <c r="I137" s="2675"/>
      <c r="J137" s="8458"/>
      <c r="K137" s="2676"/>
      <c r="L137" s="2266"/>
      <c r="M137" s="2267"/>
      <c r="N137" s="2667"/>
      <c r="O137" s="2668"/>
      <c r="P137" s="2671"/>
      <c r="Q137" s="8461"/>
      <c r="R137" s="2672"/>
      <c r="S137" s="2673"/>
      <c r="T137" s="2672"/>
      <c r="U137" s="2672"/>
      <c r="V137" s="2672"/>
      <c r="W137" s="2672"/>
      <c r="X137" s="2672"/>
      <c r="Y137" s="2672"/>
      <c r="Z137" s="1321"/>
      <c r="AA137" s="1322"/>
      <c r="AB137" s="1387" t="s">
        <v>1107</v>
      </c>
      <c r="AC137" s="1326"/>
      <c r="AD137" s="1326"/>
      <c r="AE137" s="1328"/>
      <c r="AF137" s="2665"/>
      <c r="AG137" s="2666"/>
      <c r="AH137" s="2666"/>
      <c r="AI137" s="2665"/>
      <c r="AJ137" s="2666"/>
      <c r="AK137" s="2666"/>
      <c r="AL137" s="2131"/>
      <c r="AM137" s="1968"/>
      <c r="AN137" s="1968"/>
      <c r="AO137" s="1968"/>
      <c r="AP137" s="1968"/>
      <c r="AQ137" s="1968"/>
      <c r="AR137" s="1968"/>
      <c r="AS137" s="1968"/>
      <c r="AT137" s="1968"/>
      <c r="AU137" s="1968"/>
      <c r="AV137" s="1968"/>
      <c r="AW137" s="1968"/>
      <c r="AX137" s="1968"/>
      <c r="AY137" s="1968"/>
      <c r="AZ137" s="1968"/>
      <c r="BA137" s="1968"/>
      <c r="BB137" s="1968"/>
      <c r="BC137" s="1968"/>
      <c r="BD137" s="1968"/>
      <c r="BE137" s="1968"/>
      <c r="BF137" s="1968"/>
      <c r="BG137" s="7235"/>
    </row>
    <row customHeight="1" ht="11.25">
      <c r="A138" s="1312" t="s">
        <v>1060</v>
      </c>
      <c r="B138" s="1312"/>
      <c r="C138" s="1312"/>
      <c r="D138" s="1306"/>
      <c r="E138" s="1316"/>
      <c r="F138" s="1974"/>
      <c r="G138" s="1975"/>
      <c r="H138" s="2674" t="s">
        <v>121</v>
      </c>
      <c r="I138" s="2675"/>
      <c r="J138" s="8458"/>
      <c r="K138" s="2676"/>
      <c r="L138" s="2266"/>
      <c r="M138" s="2267"/>
      <c r="N138" s="1321"/>
      <c r="O138" s="1322"/>
      <c r="P138" s="1314" t="s">
        <v>1108</v>
      </c>
      <c r="Q138" s="1322"/>
      <c r="R138" s="1322"/>
      <c r="S138" s="1322"/>
      <c r="T138" s="1322"/>
      <c r="U138" s="1322"/>
      <c r="V138" s="1322"/>
      <c r="W138" s="1322"/>
      <c r="X138" s="1322"/>
      <c r="Y138" s="1322"/>
      <c r="Z138" s="1322"/>
      <c r="AA138" s="1322"/>
      <c r="AB138" s="1322"/>
      <c r="AC138" s="1322"/>
      <c r="AD138" s="1322"/>
      <c r="AE138" s="1329"/>
      <c r="AF138" s="2665"/>
      <c r="AG138" s="2666"/>
      <c r="AH138" s="2666"/>
      <c r="AI138" s="2665"/>
      <c r="AJ138" s="2666"/>
      <c r="AK138" s="2666"/>
      <c r="AL138" s="2131"/>
      <c r="AM138" s="1968"/>
      <c r="AN138" s="1968"/>
      <c r="AO138" s="1968"/>
      <c r="AP138" s="1968"/>
      <c r="AQ138" s="1968"/>
      <c r="AR138" s="1968"/>
      <c r="AS138" s="1968"/>
      <c r="AT138" s="1968"/>
      <c r="AU138" s="1968"/>
      <c r="AV138" s="1968"/>
      <c r="AW138" s="1968"/>
      <c r="AX138" s="1968"/>
      <c r="AY138" s="1968"/>
      <c r="AZ138" s="1968"/>
      <c r="BA138" s="1968"/>
      <c r="BB138" s="1968"/>
      <c r="BC138" s="1968"/>
      <c r="BD138" s="1968"/>
      <c r="BE138" s="1968"/>
      <c r="BF138" s="1968"/>
      <c r="BG138" s="7235"/>
    </row>
    <row customHeight="1" ht="12">
      <c r="A139" s="1312" t="s">
        <v>1060</v>
      </c>
      <c r="B139" s="1312"/>
      <c r="C139" s="1312"/>
      <c r="D139" s="1306"/>
      <c r="E139" s="1316"/>
      <c r="F139" s="2696"/>
      <c r="G139" s="1336"/>
      <c r="H139" s="1336"/>
      <c r="I139" s="2694" t="s">
        <v>1100</v>
      </c>
      <c r="J139" s="2694"/>
      <c r="K139" s="2694"/>
      <c r="L139" s="1319"/>
      <c r="M139" s="1319"/>
      <c r="N139" s="1320"/>
      <c r="O139" s="1320"/>
      <c r="P139" s="1320"/>
      <c r="Q139" s="1320"/>
      <c r="R139" s="1320"/>
      <c r="S139" s="1320"/>
      <c r="T139" s="1320"/>
      <c r="U139" s="1320"/>
      <c r="V139" s="1320"/>
      <c r="W139" s="1320"/>
      <c r="X139" s="1320"/>
      <c r="Y139" s="1320"/>
      <c r="Z139" s="1320"/>
      <c r="AA139" s="1320"/>
      <c r="AB139" s="1320"/>
      <c r="AC139" s="1320"/>
      <c r="AD139" s="1320"/>
      <c r="AE139" s="1320"/>
      <c r="AF139" s="1320"/>
      <c r="AG139" s="1319"/>
      <c r="AH139" s="1319"/>
      <c r="AI139" s="1320"/>
      <c r="AJ139" s="1319"/>
      <c r="AK139" s="1320"/>
      <c r="AL139" s="2131"/>
      <c r="AM139" s="1968"/>
      <c r="AN139" s="1968"/>
      <c r="AO139" s="1968"/>
      <c r="AP139" s="1968"/>
      <c r="AQ139" s="1968"/>
      <c r="AR139" s="1968"/>
      <c r="AS139" s="1968"/>
      <c r="AT139" s="1968"/>
      <c r="AU139" s="1968"/>
      <c r="AV139" s="1968"/>
      <c r="AW139" s="1968"/>
      <c r="AX139" s="1968"/>
      <c r="AY139" s="1968"/>
      <c r="AZ139" s="1968"/>
      <c r="BA139" s="1968"/>
      <c r="BB139" s="1968"/>
      <c r="BC139" s="1968"/>
      <c r="BD139" s="1968"/>
      <c r="BE139" s="1968"/>
      <c r="BF139" s="1968"/>
      <c r="BG139" s="7235"/>
    </row>
    <row customHeight="1" ht="0.75">
      <c r="A140" s="1312" t="s">
        <v>1060</v>
      </c>
      <c r="B140" s="1312"/>
      <c r="C140" s="1312"/>
      <c r="D140" s="1306"/>
      <c r="E140" s="1316"/>
      <c r="F140" s="2695">
        <v>2025</v>
      </c>
      <c r="G140" s="2674"/>
      <c r="H140" s="2699" t="s">
        <v>398</v>
      </c>
      <c r="I140" s="2700"/>
      <c r="J140" s="2701"/>
      <c r="K140" s="2701"/>
      <c r="L140" s="2693"/>
      <c r="M140" s="2427"/>
      <c r="N140" s="2179"/>
      <c r="O140" s="2178"/>
      <c r="P140" s="2179"/>
      <c r="Q140" s="2179"/>
      <c r="R140" s="2179"/>
      <c r="S140" s="2179"/>
      <c r="T140" s="2179"/>
      <c r="U140" s="2179"/>
      <c r="V140" s="2179"/>
      <c r="W140" s="2179"/>
      <c r="X140" s="2179"/>
      <c r="Y140" s="2179"/>
      <c r="Z140" s="2179"/>
      <c r="AA140" s="2179"/>
      <c r="AB140" s="2179"/>
      <c r="AC140" s="2179"/>
      <c r="AD140" s="2179"/>
      <c r="AE140" s="2179"/>
      <c r="AF140" s="2697"/>
      <c r="AG140" s="2693"/>
      <c r="AH140" s="2693"/>
      <c r="AI140" s="2697"/>
      <c r="AJ140" s="2693"/>
      <c r="AK140" s="2693"/>
      <c r="AL140" s="2131"/>
      <c r="AM140" s="1968"/>
      <c r="AN140" s="1968"/>
      <c r="AO140" s="1968"/>
      <c r="AP140" s="1968"/>
      <c r="AQ140" s="1968"/>
      <c r="AR140" s="1968"/>
      <c r="AS140" s="1968"/>
      <c r="AT140" s="1968"/>
      <c r="AU140" s="1968"/>
      <c r="AV140" s="1968"/>
      <c r="AW140" s="1968"/>
      <c r="AX140" s="1968"/>
      <c r="AY140" s="1968"/>
      <c r="AZ140" s="1968"/>
      <c r="BA140" s="1968"/>
      <c r="BB140" s="1968"/>
      <c r="BC140" s="1968"/>
      <c r="BD140" s="1968"/>
      <c r="BE140" s="1968"/>
      <c r="BF140" s="1968"/>
      <c r="BG140" s="7235"/>
    </row>
    <row customHeight="1" ht="0.75">
      <c r="A141" s="1312" t="s">
        <v>1060</v>
      </c>
      <c r="B141" s="1312"/>
      <c r="C141" s="1312"/>
      <c r="D141" s="1306"/>
      <c r="E141" s="1316"/>
      <c r="F141" s="2695"/>
      <c r="G141" s="2674"/>
      <c r="H141" s="2699"/>
      <c r="I141" s="2700"/>
      <c r="J141" s="2701"/>
      <c r="K141" s="2701"/>
      <c r="L141" s="2693"/>
      <c r="M141" s="2427"/>
      <c r="N141" s="2702"/>
      <c r="O141" s="2703"/>
      <c r="P141" s="2747"/>
      <c r="Q141" s="2698"/>
      <c r="R141" s="2698"/>
      <c r="S141" s="2698"/>
      <c r="T141" s="2698"/>
      <c r="U141" s="2698"/>
      <c r="V141" s="2698"/>
      <c r="W141" s="2698"/>
      <c r="X141" s="2698"/>
      <c r="Y141" s="2698"/>
      <c r="Z141" s="2180"/>
      <c r="AA141" s="2181"/>
      <c r="AB141" s="2181"/>
      <c r="AC141" s="2182"/>
      <c r="AD141" s="2182"/>
      <c r="AE141" s="2183"/>
      <c r="AF141" s="2697"/>
      <c r="AG141" s="2693"/>
      <c r="AH141" s="2693"/>
      <c r="AI141" s="2697"/>
      <c r="AJ141" s="2693"/>
      <c r="AK141" s="2693"/>
      <c r="AL141" s="2131"/>
      <c r="AM141" s="1968"/>
      <c r="AN141" s="1968"/>
      <c r="AO141" s="1968"/>
      <c r="AP141" s="1968"/>
      <c r="AQ141" s="1968"/>
      <c r="AR141" s="1968"/>
      <c r="AS141" s="1968"/>
      <c r="AT141" s="1968"/>
      <c r="AU141" s="1968"/>
      <c r="AV141" s="1968"/>
      <c r="AW141" s="1968"/>
      <c r="AX141" s="1968"/>
      <c r="AY141" s="1968"/>
      <c r="AZ141" s="1968"/>
      <c r="BA141" s="1968"/>
      <c r="BB141" s="1968"/>
      <c r="BC141" s="1968"/>
      <c r="BD141" s="1968"/>
      <c r="BE141" s="1968"/>
      <c r="BF141" s="1968"/>
      <c r="BG141" s="7235"/>
    </row>
    <row customHeight="1" ht="0.75">
      <c r="A142" s="1312" t="s">
        <v>1060</v>
      </c>
      <c r="B142" s="1312"/>
      <c r="C142" s="1312"/>
      <c r="D142" s="1306"/>
      <c r="E142" s="1316"/>
      <c r="F142" s="2695"/>
      <c r="G142" s="2674"/>
      <c r="H142" s="2699"/>
      <c r="I142" s="2700"/>
      <c r="J142" s="2701"/>
      <c r="K142" s="2701"/>
      <c r="L142" s="2693"/>
      <c r="M142" s="2427"/>
      <c r="N142" s="2702"/>
      <c r="O142" s="2703"/>
      <c r="P142" s="2748"/>
      <c r="Q142" s="2698"/>
      <c r="R142" s="2698"/>
      <c r="S142" s="2698"/>
      <c r="T142" s="2698"/>
      <c r="U142" s="2698"/>
      <c r="V142" s="2698"/>
      <c r="W142" s="2698"/>
      <c r="X142" s="2698"/>
      <c r="Y142" s="2698"/>
      <c r="Z142" s="2184"/>
      <c r="AA142" s="2185"/>
      <c r="AB142" s="2186"/>
      <c r="AC142" s="2187"/>
      <c r="AD142" s="2186"/>
      <c r="AE142" s="2187"/>
      <c r="AF142" s="2697"/>
      <c r="AG142" s="2693"/>
      <c r="AH142" s="2693"/>
      <c r="AI142" s="2697"/>
      <c r="AJ142" s="2693"/>
      <c r="AK142" s="2693"/>
      <c r="AL142" s="2131"/>
      <c r="AM142" s="1968"/>
      <c r="AN142" s="1968"/>
      <c r="AO142" s="1968"/>
      <c r="AP142" s="1968"/>
      <c r="AQ142" s="1968"/>
      <c r="AR142" s="1968"/>
      <c r="AS142" s="1968"/>
      <c r="AT142" s="1968"/>
      <c r="AU142" s="1968"/>
      <c r="AV142" s="1968"/>
      <c r="AW142" s="1968"/>
      <c r="AX142" s="1968"/>
      <c r="AY142" s="1968"/>
      <c r="AZ142" s="1968"/>
      <c r="BA142" s="1968"/>
      <c r="BB142" s="1968"/>
      <c r="BC142" s="1968"/>
      <c r="BD142" s="1968"/>
      <c r="BE142" s="1968"/>
      <c r="BF142" s="1968"/>
      <c r="BG142" s="7235"/>
    </row>
    <row customHeight="1" ht="0.75">
      <c r="A143" s="1312" t="s">
        <v>1060</v>
      </c>
      <c r="B143" s="1312"/>
      <c r="C143" s="1312"/>
      <c r="D143" s="1306"/>
      <c r="E143" s="1316"/>
      <c r="F143" s="2695"/>
      <c r="G143" s="2674"/>
      <c r="H143" s="2699"/>
      <c r="I143" s="2700"/>
      <c r="J143" s="2701"/>
      <c r="K143" s="2701"/>
      <c r="L143" s="2693"/>
      <c r="M143" s="2427"/>
      <c r="N143" s="2702"/>
      <c r="O143" s="2703"/>
      <c r="P143" s="2749"/>
      <c r="Q143" s="2698"/>
      <c r="R143" s="2698"/>
      <c r="S143" s="2698"/>
      <c r="T143" s="2698"/>
      <c r="U143" s="2698"/>
      <c r="V143" s="2698"/>
      <c r="W143" s="2698"/>
      <c r="X143" s="2698"/>
      <c r="Y143" s="2698"/>
      <c r="Z143" s="2180"/>
      <c r="AA143" s="2181"/>
      <c r="AB143" s="2188"/>
      <c r="AC143" s="2182"/>
      <c r="AD143" s="2182"/>
      <c r="AE143" s="2189"/>
      <c r="AF143" s="2697"/>
      <c r="AG143" s="2693"/>
      <c r="AH143" s="2693"/>
      <c r="AI143" s="2697"/>
      <c r="AJ143" s="2693"/>
      <c r="AK143" s="2693"/>
      <c r="AL143" s="2131"/>
      <c r="AM143" s="1968"/>
      <c r="AN143" s="1968"/>
      <c r="AO143" s="1968"/>
      <c r="AP143" s="1968"/>
      <c r="AQ143" s="1968"/>
      <c r="AR143" s="1968"/>
      <c r="AS143" s="1968"/>
      <c r="AT143" s="1968"/>
      <c r="AU143" s="1968"/>
      <c r="AV143" s="1968"/>
      <c r="AW143" s="1968"/>
      <c r="AX143" s="1968"/>
      <c r="AY143" s="1968"/>
      <c r="AZ143" s="1968"/>
      <c r="BA143" s="1968"/>
      <c r="BB143" s="1968"/>
      <c r="BC143" s="1968"/>
      <c r="BD143" s="1968"/>
      <c r="BE143" s="1968"/>
      <c r="BF143" s="1968"/>
      <c r="BG143" s="7235"/>
    </row>
    <row customHeight="1" ht="0.75">
      <c r="A144" s="1312" t="s">
        <v>1060</v>
      </c>
      <c r="B144" s="1312"/>
      <c r="C144" s="1312"/>
      <c r="D144" s="1306"/>
      <c r="E144" s="1316"/>
      <c r="F144" s="2695"/>
      <c r="G144" s="2674"/>
      <c r="H144" s="2699"/>
      <c r="I144" s="2700"/>
      <c r="J144" s="2701"/>
      <c r="K144" s="2701"/>
      <c r="L144" s="2693"/>
      <c r="M144" s="2427"/>
      <c r="N144" s="2181"/>
      <c r="O144" s="2181"/>
      <c r="P144" s="2188"/>
      <c r="Q144" s="2181"/>
      <c r="R144" s="2181"/>
      <c r="S144" s="2181"/>
      <c r="T144" s="2181"/>
      <c r="U144" s="2181"/>
      <c r="V144" s="2181"/>
      <c r="W144" s="2181"/>
      <c r="X144" s="2181"/>
      <c r="Y144" s="2181"/>
      <c r="Z144" s="2181"/>
      <c r="AA144" s="2181"/>
      <c r="AB144" s="2181"/>
      <c r="AC144" s="2181"/>
      <c r="AD144" s="2181"/>
      <c r="AE144" s="2190"/>
      <c r="AF144" s="2697"/>
      <c r="AG144" s="2693"/>
      <c r="AH144" s="2693"/>
      <c r="AI144" s="2697"/>
      <c r="AJ144" s="2693"/>
      <c r="AK144" s="2693"/>
      <c r="AL144" s="2131"/>
      <c r="AM144" s="1968"/>
      <c r="AN144" s="1968"/>
      <c r="AO144" s="1968"/>
      <c r="AP144" s="1968"/>
      <c r="AQ144" s="1968"/>
      <c r="AR144" s="1968"/>
      <c r="AS144" s="1968"/>
      <c r="AT144" s="1968"/>
      <c r="AU144" s="1968"/>
      <c r="AV144" s="1968"/>
      <c r="AW144" s="1968"/>
      <c r="AX144" s="1968"/>
      <c r="AY144" s="1968"/>
      <c r="AZ144" s="1968"/>
      <c r="BA144" s="1968"/>
      <c r="BB144" s="1968"/>
      <c r="BC144" s="1968"/>
      <c r="BD144" s="1968"/>
      <c r="BE144" s="1968"/>
      <c r="BF144" s="1968"/>
      <c r="BG144" s="7235"/>
    </row>
    <row customHeight="1" ht="11.25">
      <c r="A145" s="1312" t="s">
        <v>1060</v>
      </c>
      <c r="B145" s="1312" t="s">
        <v>22</v>
      </c>
      <c r="C145" s="1312"/>
      <c r="D145" s="1306"/>
      <c r="E145" s="1316"/>
      <c r="F145" s="1974"/>
      <c r="G145" s="7143" t="s">
        <v>106</v>
      </c>
      <c r="H145" s="2674" t="s">
        <v>121</v>
      </c>
      <c r="I145" s="2675" t="s">
        <v>1101</v>
      </c>
      <c r="J145" s="8450" t="s">
        <v>22</v>
      </c>
      <c r="K145" s="2676" t="s">
        <v>1158</v>
      </c>
      <c r="L145" s="2266" t="s">
        <v>19</v>
      </c>
      <c r="M145" s="2267"/>
      <c r="N145" s="2129"/>
      <c r="O145" s="1323" t="s">
        <v>398</v>
      </c>
      <c r="P145" s="1324"/>
      <c r="Q145" s="1324"/>
      <c r="R145" s="1324"/>
      <c r="S145" s="1324"/>
      <c r="T145" s="1324"/>
      <c r="U145" s="1324"/>
      <c r="V145" s="1324"/>
      <c r="W145" s="1324"/>
      <c r="X145" s="1324"/>
      <c r="Y145" s="1324"/>
      <c r="Z145" s="1324"/>
      <c r="AA145" s="1324"/>
      <c r="AB145" s="1324"/>
      <c r="AC145" s="1324"/>
      <c r="AD145" s="1324"/>
      <c r="AE145" s="1324"/>
      <c r="AF145" s="2665">
        <v>2025</v>
      </c>
      <c r="AG145" s="2666" t="s">
        <v>1103</v>
      </c>
      <c r="AH145" s="2666" t="s">
        <v>1159</v>
      </c>
      <c r="AI145" s="8456"/>
      <c r="AJ145" s="2666" t="s">
        <v>1105</v>
      </c>
      <c r="AK145" s="2666" t="s">
        <v>1105</v>
      </c>
      <c r="AL145" s="2131"/>
      <c r="AM145" s="1968"/>
      <c r="AN145" s="1968"/>
      <c r="AO145" s="1968"/>
      <c r="AP145" s="1968"/>
      <c r="AQ145" s="1968"/>
      <c r="AR145" s="1968"/>
      <c r="AS145" s="1968"/>
      <c r="AT145" s="1968"/>
      <c r="AU145" s="1968"/>
      <c r="AV145" s="1968"/>
      <c r="AW145" s="1968"/>
      <c r="AX145" s="1968"/>
      <c r="AY145" s="1968"/>
      <c r="AZ145" s="1968"/>
      <c r="BA145" s="1968"/>
      <c r="BB145" s="1968"/>
      <c r="BC145" s="1968"/>
      <c r="BD145" s="1968"/>
      <c r="BE145" s="1968"/>
      <c r="BF145" s="1968"/>
      <c r="BG145" s="7235"/>
    </row>
    <row customHeight="1" ht="11.25">
      <c r="A146" s="1312" t="s">
        <v>1060</v>
      </c>
      <c r="B146" s="1312"/>
      <c r="C146" s="1312"/>
      <c r="D146" s="1306"/>
      <c r="E146" s="1316"/>
      <c r="F146" s="1974"/>
      <c r="G146" s="1975"/>
      <c r="H146" s="2674" t="s">
        <v>398</v>
      </c>
      <c r="I146" s="2675"/>
      <c r="J146" s="8450"/>
      <c r="K146" s="2676"/>
      <c r="L146" s="2266"/>
      <c r="M146" s="2267"/>
      <c r="N146" s="2667"/>
      <c r="O146" s="2668">
        <v>1</v>
      </c>
      <c r="P146" s="2669" t="s">
        <v>19</v>
      </c>
      <c r="Q146" s="2672" t="s">
        <v>22</v>
      </c>
      <c r="R146" s="2672" t="s">
        <v>22</v>
      </c>
      <c r="S146" s="2672" t="s">
        <v>22</v>
      </c>
      <c r="T146" s="2672" t="s">
        <v>22</v>
      </c>
      <c r="U146" s="2672" t="s">
        <v>22</v>
      </c>
      <c r="V146" s="2672" t="s">
        <v>22</v>
      </c>
      <c r="W146" s="2672" t="s">
        <v>22</v>
      </c>
      <c r="X146" s="2672" t="s">
        <v>22</v>
      </c>
      <c r="Y146" s="2672"/>
      <c r="Z146" s="1321"/>
      <c r="AA146" s="1322"/>
      <c r="AB146" s="1322"/>
      <c r="AC146" s="1326"/>
      <c r="AD146" s="1326"/>
      <c r="AE146" s="1327"/>
      <c r="AF146" s="2665"/>
      <c r="AG146" s="2666"/>
      <c r="AH146" s="2666"/>
      <c r="AI146" s="8456"/>
      <c r="AJ146" s="2666"/>
      <c r="AK146" s="2666"/>
      <c r="AL146" s="2131"/>
      <c r="AM146" s="1968"/>
      <c r="AN146" s="1968"/>
      <c r="AO146" s="1968"/>
      <c r="AP146" s="1968"/>
      <c r="AQ146" s="1968"/>
      <c r="AR146" s="1968"/>
      <c r="AS146" s="1968"/>
      <c r="AT146" s="1968"/>
      <c r="AU146" s="1968"/>
      <c r="AV146" s="1968"/>
      <c r="AW146" s="1968"/>
      <c r="AX146" s="1968"/>
      <c r="AY146" s="1968"/>
      <c r="AZ146" s="1968"/>
      <c r="BA146" s="1968"/>
      <c r="BB146" s="1968"/>
      <c r="BC146" s="1968"/>
      <c r="BD146" s="1968"/>
      <c r="BE146" s="1968"/>
      <c r="BF146" s="1968"/>
      <c r="BG146" s="7235"/>
    </row>
    <row customHeight="1" ht="11.25">
      <c r="A147" s="1312" t="s">
        <v>1060</v>
      </c>
      <c r="B147" s="1312"/>
      <c r="C147" s="1312"/>
      <c r="D147" s="1306"/>
      <c r="E147" s="1316"/>
      <c r="F147" s="1974"/>
      <c r="G147" s="1975"/>
      <c r="H147" s="2674" t="s">
        <v>398</v>
      </c>
      <c r="I147" s="2675"/>
      <c r="J147" s="8450"/>
      <c r="K147" s="2676"/>
      <c r="L147" s="2266"/>
      <c r="M147" s="2267"/>
      <c r="N147" s="2667"/>
      <c r="O147" s="2668"/>
      <c r="P147" s="2670"/>
      <c r="Q147" s="2672"/>
      <c r="R147" s="2672"/>
      <c r="S147" s="2673"/>
      <c r="T147" s="2672"/>
      <c r="U147" s="2672"/>
      <c r="V147" s="2672"/>
      <c r="W147" s="2672"/>
      <c r="X147" s="2672"/>
      <c r="Y147" s="2672"/>
      <c r="Z147" s="1973"/>
      <c r="AA147" s="1939">
        <v>1</v>
      </c>
      <c r="AB147" s="1325" t="s">
        <v>1131</v>
      </c>
      <c r="AC147" s="1315">
        <v>0</v>
      </c>
      <c r="AD147" s="1325" t="str">
        <f>AB147</f>
        <v>      Прочие амортизационные отчисления</v>
      </c>
      <c r="AE147" s="1315">
        <v>0</v>
      </c>
      <c r="AF147" s="2665"/>
      <c r="AG147" s="2666"/>
      <c r="AH147" s="2666"/>
      <c r="AI147" s="8456"/>
      <c r="AJ147" s="2666"/>
      <c r="AK147" s="2666"/>
      <c r="AL147" s="2131"/>
      <c r="AM147" s="1968"/>
      <c r="AN147" s="1968"/>
      <c r="AO147" s="1968"/>
      <c r="AP147" s="1968"/>
      <c r="AQ147" s="1968"/>
      <c r="AR147" s="1968"/>
      <c r="AS147" s="1968"/>
      <c r="AT147" s="1968"/>
      <c r="AU147" s="1968"/>
      <c r="AV147" s="1968"/>
      <c r="AW147" s="1968"/>
      <c r="AX147" s="1968"/>
      <c r="AY147" s="1968"/>
      <c r="AZ147" s="1968"/>
      <c r="BA147" s="1968"/>
      <c r="BB147" s="1968"/>
      <c r="BC147" s="1968"/>
      <c r="BD147" s="1968"/>
      <c r="BE147" s="1968"/>
      <c r="BF147" s="1968"/>
      <c r="BG147" s="7235"/>
    </row>
    <row customHeight="1" ht="11.25">
      <c r="A148" s="1312" t="s">
        <v>1060</v>
      </c>
      <c r="B148" s="1312"/>
      <c r="C148" s="1312"/>
      <c r="D148" s="1306"/>
      <c r="E148" s="1316"/>
      <c r="F148" s="1975"/>
      <c r="G148" s="1975"/>
      <c r="H148" s="1975"/>
      <c r="I148" s="1975"/>
      <c r="J148" s="1975"/>
      <c r="K148" s="1975"/>
      <c r="L148" s="1975"/>
      <c r="M148" s="1975"/>
      <c r="N148" s="1975"/>
      <c r="O148" s="1975"/>
      <c r="P148" s="1975"/>
      <c r="Q148" s="1975"/>
      <c r="R148" s="1975"/>
      <c r="S148" s="1975"/>
      <c r="T148" s="1975"/>
      <c r="U148" s="1975"/>
      <c r="V148" s="1975"/>
      <c r="W148" s="1975"/>
      <c r="X148" s="1975"/>
      <c r="Y148" s="1975"/>
      <c r="Z148" s="7143" t="s">
        <v>106</v>
      </c>
      <c r="AA148" s="1959" t="s">
        <v>105</v>
      </c>
      <c r="AB148" s="1325" t="s">
        <v>1106</v>
      </c>
      <c r="AC148" s="1315">
        <v>25531</v>
      </c>
      <c r="AD148" s="1325" t="str">
        <f>AB148</f>
        <v>  Прибыль направляемая на инвестиции</v>
      </c>
      <c r="AE148" s="1315">
        <v>0</v>
      </c>
      <c r="AF148" s="2232"/>
      <c r="AG148" s="1904"/>
      <c r="AH148" s="1904"/>
      <c r="AI148" s="8457"/>
      <c r="AJ148" s="1904"/>
      <c r="AK148" s="2130"/>
      <c r="AL148" s="2131"/>
      <c r="AM148" s="1968"/>
      <c r="AN148" s="1968"/>
      <c r="AO148" s="1968"/>
      <c r="AP148" s="1968"/>
      <c r="AQ148" s="1968"/>
      <c r="AR148" s="1968"/>
      <c r="AS148" s="1968"/>
      <c r="AT148" s="1968"/>
      <c r="AU148" s="1968"/>
      <c r="AV148" s="1968"/>
      <c r="AW148" s="1968"/>
      <c r="AX148" s="1968"/>
      <c r="AY148" s="1968"/>
      <c r="AZ148" s="1968"/>
      <c r="BA148" s="1968"/>
      <c r="BB148" s="1968"/>
      <c r="BC148" s="1968"/>
      <c r="BD148" s="1968"/>
      <c r="BE148" s="1968"/>
      <c r="BF148" s="1968"/>
      <c r="BG148" s="7235"/>
    </row>
    <row customHeight="1" ht="11.25">
      <c r="A149" s="1312" t="s">
        <v>1060</v>
      </c>
      <c r="B149" s="1312"/>
      <c r="C149" s="1312"/>
      <c r="D149" s="1306"/>
      <c r="E149" s="1316"/>
      <c r="F149" s="1974"/>
      <c r="G149" s="1975"/>
      <c r="H149" s="2674" t="s">
        <v>398</v>
      </c>
      <c r="I149" s="2675"/>
      <c r="J149" s="8450"/>
      <c r="K149" s="2676"/>
      <c r="L149" s="2266"/>
      <c r="M149" s="2267"/>
      <c r="N149" s="2667"/>
      <c r="O149" s="2668"/>
      <c r="P149" s="2671"/>
      <c r="Q149" s="2672"/>
      <c r="R149" s="2672"/>
      <c r="S149" s="2673"/>
      <c r="T149" s="2672"/>
      <c r="U149" s="2672"/>
      <c r="V149" s="2672"/>
      <c r="W149" s="2672"/>
      <c r="X149" s="2672"/>
      <c r="Y149" s="2672"/>
      <c r="Z149" s="1321"/>
      <c r="AA149" s="1322"/>
      <c r="AB149" s="1387" t="s">
        <v>1107</v>
      </c>
      <c r="AC149" s="1326"/>
      <c r="AD149" s="1326"/>
      <c r="AE149" s="1328"/>
      <c r="AF149" s="2665"/>
      <c r="AG149" s="2666"/>
      <c r="AH149" s="2666"/>
      <c r="AI149" s="8456"/>
      <c r="AJ149" s="2666"/>
      <c r="AK149" s="2666"/>
      <c r="AL149" s="2131"/>
      <c r="AM149" s="1968"/>
      <c r="AN149" s="1968"/>
      <c r="AO149" s="1968"/>
      <c r="AP149" s="1968"/>
      <c r="AQ149" s="1968"/>
      <c r="AR149" s="1968"/>
      <c r="AS149" s="1968"/>
      <c r="AT149" s="1968"/>
      <c r="AU149" s="1968"/>
      <c r="AV149" s="1968"/>
      <c r="AW149" s="1968"/>
      <c r="AX149" s="1968"/>
      <c r="AY149" s="1968"/>
      <c r="AZ149" s="1968"/>
      <c r="BA149" s="1968"/>
      <c r="BB149" s="1968"/>
      <c r="BC149" s="1968"/>
      <c r="BD149" s="1968"/>
      <c r="BE149" s="1968"/>
      <c r="BF149" s="1968"/>
      <c r="BG149" s="7235"/>
    </row>
    <row customHeight="1" ht="11.25">
      <c r="A150" s="1312" t="s">
        <v>1060</v>
      </c>
      <c r="B150" s="1312"/>
      <c r="C150" s="1312"/>
      <c r="D150" s="1306"/>
      <c r="E150" s="1316"/>
      <c r="F150" s="1974"/>
      <c r="G150" s="1975"/>
      <c r="H150" s="2674" t="s">
        <v>398</v>
      </c>
      <c r="I150" s="2675"/>
      <c r="J150" s="8450"/>
      <c r="K150" s="2676"/>
      <c r="L150" s="2266"/>
      <c r="M150" s="2267"/>
      <c r="N150" s="1321"/>
      <c r="O150" s="1322"/>
      <c r="P150" s="1314" t="s">
        <v>1108</v>
      </c>
      <c r="Q150" s="1322"/>
      <c r="R150" s="1322"/>
      <c r="S150" s="1322"/>
      <c r="T150" s="1322"/>
      <c r="U150" s="1322"/>
      <c r="V150" s="1322"/>
      <c r="W150" s="1322"/>
      <c r="X150" s="1322"/>
      <c r="Y150" s="1322"/>
      <c r="Z150" s="1322"/>
      <c r="AA150" s="1322"/>
      <c r="AB150" s="1322"/>
      <c r="AC150" s="1322"/>
      <c r="AD150" s="1322"/>
      <c r="AE150" s="1329"/>
      <c r="AF150" s="2665"/>
      <c r="AG150" s="2666"/>
      <c r="AH150" s="2666"/>
      <c r="AI150" s="8456"/>
      <c r="AJ150" s="2666"/>
      <c r="AK150" s="2666"/>
      <c r="AL150" s="2131"/>
      <c r="AM150" s="1968"/>
      <c r="AN150" s="1968"/>
      <c r="AO150" s="1968"/>
      <c r="AP150" s="1968"/>
      <c r="AQ150" s="1968"/>
      <c r="AR150" s="1968"/>
      <c r="AS150" s="1968"/>
      <c r="AT150" s="1968"/>
      <c r="AU150" s="1968"/>
      <c r="AV150" s="1968"/>
      <c r="AW150" s="1968"/>
      <c r="AX150" s="1968"/>
      <c r="AY150" s="1968"/>
      <c r="AZ150" s="1968"/>
      <c r="BA150" s="1968"/>
      <c r="BB150" s="1968"/>
      <c r="BC150" s="1968"/>
      <c r="BD150" s="1968"/>
      <c r="BE150" s="1968"/>
      <c r="BF150" s="1968"/>
      <c r="BG150" s="7235"/>
    </row>
    <row customHeight="1" ht="11.25">
      <c r="A151" s="1312" t="s">
        <v>1060</v>
      </c>
      <c r="B151" s="1312" t="s">
        <v>22</v>
      </c>
      <c r="C151" s="1312"/>
      <c r="D151" s="1306"/>
      <c r="E151" s="1316"/>
      <c r="F151" s="1974"/>
      <c r="G151" s="7143" t="s">
        <v>106</v>
      </c>
      <c r="H151" s="2674" t="s">
        <v>105</v>
      </c>
      <c r="I151" s="2675" t="s">
        <v>1109</v>
      </c>
      <c r="J151" s="8675" t="s">
        <v>22</v>
      </c>
      <c r="K151" s="2676" t="s">
        <v>1160</v>
      </c>
      <c r="L151" s="2266" t="s">
        <v>19</v>
      </c>
      <c r="M151" s="2267"/>
      <c r="N151" s="2129"/>
      <c r="O151" s="1323" t="s">
        <v>398</v>
      </c>
      <c r="P151" s="1324"/>
      <c r="Q151" s="1324"/>
      <c r="R151" s="1324"/>
      <c r="S151" s="1324"/>
      <c r="T151" s="1324"/>
      <c r="U151" s="1324"/>
      <c r="V151" s="1324"/>
      <c r="W151" s="1324"/>
      <c r="X151" s="1324"/>
      <c r="Y151" s="1324"/>
      <c r="Z151" s="1324"/>
      <c r="AA151" s="1324"/>
      <c r="AB151" s="1324"/>
      <c r="AC151" s="1324"/>
      <c r="AD151" s="1324"/>
      <c r="AE151" s="1324"/>
      <c r="AF151" s="2665">
        <v>2024</v>
      </c>
      <c r="AG151" s="2666" t="s">
        <v>1103</v>
      </c>
      <c r="AH151" s="2666" t="s">
        <v>1154</v>
      </c>
      <c r="AI151" s="2665">
        <v>2024</v>
      </c>
      <c r="AJ151" s="2666" t="s">
        <v>1103</v>
      </c>
      <c r="AK151" s="2666" t="s">
        <v>1154</v>
      </c>
      <c r="AL151" s="2131"/>
      <c r="AM151" s="1968"/>
      <c r="AN151" s="1968"/>
      <c r="AO151" s="1968"/>
      <c r="AP151" s="1968"/>
      <c r="AQ151" s="1968"/>
      <c r="AR151" s="1968"/>
      <c r="AS151" s="1968"/>
      <c r="AT151" s="1968"/>
      <c r="AU151" s="1968"/>
      <c r="AV151" s="1968"/>
      <c r="AW151" s="1968"/>
      <c r="AX151" s="1968"/>
      <c r="AY151" s="1968"/>
      <c r="AZ151" s="1968"/>
      <c r="BA151" s="1968"/>
      <c r="BB151" s="1968"/>
      <c r="BC151" s="1968"/>
      <c r="BD151" s="1968"/>
      <c r="BE151" s="1968"/>
      <c r="BF151" s="1968"/>
      <c r="BG151" s="7235"/>
    </row>
    <row customHeight="1" ht="11.25">
      <c r="A152" s="1312" t="s">
        <v>1060</v>
      </c>
      <c r="B152" s="1312"/>
      <c r="C152" s="1312"/>
      <c r="D152" s="1306"/>
      <c r="E152" s="1316"/>
      <c r="F152" s="1974"/>
      <c r="G152" s="1975"/>
      <c r="H152" s="2674" t="s">
        <v>121</v>
      </c>
      <c r="I152" s="2675"/>
      <c r="J152" s="8675"/>
      <c r="K152" s="2676"/>
      <c r="L152" s="2266"/>
      <c r="M152" s="2267"/>
      <c r="N152" s="2667"/>
      <c r="O152" s="2668">
        <v>1</v>
      </c>
      <c r="P152" s="2669" t="s">
        <v>19</v>
      </c>
      <c r="Q152" s="2672" t="s">
        <v>22</v>
      </c>
      <c r="R152" s="2672" t="s">
        <v>22</v>
      </c>
      <c r="S152" s="2672" t="s">
        <v>22</v>
      </c>
      <c r="T152" s="2672" t="s">
        <v>22</v>
      </c>
      <c r="U152" s="2672" t="s">
        <v>22</v>
      </c>
      <c r="V152" s="2672" t="s">
        <v>22</v>
      </c>
      <c r="W152" s="2672" t="s">
        <v>22</v>
      </c>
      <c r="X152" s="2672" t="s">
        <v>22</v>
      </c>
      <c r="Y152" s="2672"/>
      <c r="Z152" s="1321"/>
      <c r="AA152" s="1322"/>
      <c r="AB152" s="1322"/>
      <c r="AC152" s="1326"/>
      <c r="AD152" s="1326"/>
      <c r="AE152" s="1327"/>
      <c r="AF152" s="2665"/>
      <c r="AG152" s="2666"/>
      <c r="AH152" s="2666"/>
      <c r="AI152" s="2665"/>
      <c r="AJ152" s="2666"/>
      <c r="AK152" s="2666"/>
      <c r="AL152" s="2131"/>
      <c r="AM152" s="1968"/>
      <c r="AN152" s="1968"/>
      <c r="AO152" s="1968"/>
      <c r="AP152" s="1968"/>
      <c r="AQ152" s="1968"/>
      <c r="AR152" s="1968"/>
      <c r="AS152" s="1968"/>
      <c r="AT152" s="1968"/>
      <c r="AU152" s="1968"/>
      <c r="AV152" s="1968"/>
      <c r="AW152" s="1968"/>
      <c r="AX152" s="1968"/>
      <c r="AY152" s="1968"/>
      <c r="AZ152" s="1968"/>
      <c r="BA152" s="1968"/>
      <c r="BB152" s="1968"/>
      <c r="BC152" s="1968"/>
      <c r="BD152" s="1968"/>
      <c r="BE152" s="1968"/>
      <c r="BF152" s="1968"/>
      <c r="BG152" s="7235"/>
    </row>
    <row customHeight="1" ht="11.25">
      <c r="A153" s="1312" t="s">
        <v>1060</v>
      </c>
      <c r="B153" s="1312"/>
      <c r="C153" s="1312"/>
      <c r="D153" s="1306"/>
      <c r="E153" s="1316"/>
      <c r="F153" s="1974"/>
      <c r="G153" s="1975"/>
      <c r="H153" s="2674" t="s">
        <v>121</v>
      </c>
      <c r="I153" s="2675"/>
      <c r="J153" s="8675"/>
      <c r="K153" s="2676"/>
      <c r="L153" s="2266"/>
      <c r="M153" s="2267"/>
      <c r="N153" s="2667"/>
      <c r="O153" s="2668"/>
      <c r="P153" s="2670"/>
      <c r="Q153" s="2672"/>
      <c r="R153" s="2672"/>
      <c r="S153" s="2673"/>
      <c r="T153" s="2672"/>
      <c r="U153" s="2672"/>
      <c r="V153" s="2672"/>
      <c r="W153" s="2672"/>
      <c r="X153" s="2672"/>
      <c r="Y153" s="2672"/>
      <c r="Z153" s="1973"/>
      <c r="AA153" s="1939">
        <v>1</v>
      </c>
      <c r="AB153" s="1325" t="s">
        <v>1106</v>
      </c>
      <c r="AC153" s="1315">
        <v>0</v>
      </c>
      <c r="AD153" s="1325" t="str">
        <f>AB153</f>
        <v>  Прибыль направляемая на инвестиции</v>
      </c>
      <c r="AE153" s="1315">
        <v>10205</v>
      </c>
      <c r="AF153" s="2665"/>
      <c r="AG153" s="2666"/>
      <c r="AH153" s="2666"/>
      <c r="AI153" s="2665"/>
      <c r="AJ153" s="2666"/>
      <c r="AK153" s="2666"/>
      <c r="AL153" s="2131"/>
      <c r="AM153" s="1968"/>
      <c r="AN153" s="1968"/>
      <c r="AO153" s="1968"/>
      <c r="AP153" s="1968"/>
      <c r="AQ153" s="1968"/>
      <c r="AR153" s="1968"/>
      <c r="AS153" s="1968"/>
      <c r="AT153" s="1968"/>
      <c r="AU153" s="1968"/>
      <c r="AV153" s="1968"/>
      <c r="AW153" s="1968"/>
      <c r="AX153" s="1968"/>
      <c r="AY153" s="1968"/>
      <c r="AZ153" s="1968"/>
      <c r="BA153" s="1968"/>
      <c r="BB153" s="1968"/>
      <c r="BC153" s="1968"/>
      <c r="BD153" s="1968"/>
      <c r="BE153" s="1968"/>
      <c r="BF153" s="1968"/>
      <c r="BG153" s="7235"/>
    </row>
    <row customHeight="1" ht="11.25">
      <c r="A154" s="1312" t="s">
        <v>1060</v>
      </c>
      <c r="B154" s="1312"/>
      <c r="C154" s="1312"/>
      <c r="D154" s="1306"/>
      <c r="E154" s="1316"/>
      <c r="F154" s="1974"/>
      <c r="G154" s="1975"/>
      <c r="H154" s="2674" t="s">
        <v>121</v>
      </c>
      <c r="I154" s="2675"/>
      <c r="J154" s="8675"/>
      <c r="K154" s="2676"/>
      <c r="L154" s="2266"/>
      <c r="M154" s="2267"/>
      <c r="N154" s="2667"/>
      <c r="O154" s="2668"/>
      <c r="P154" s="2671"/>
      <c r="Q154" s="2672"/>
      <c r="R154" s="2672"/>
      <c r="S154" s="2673"/>
      <c r="T154" s="2672"/>
      <c r="U154" s="2672"/>
      <c r="V154" s="2672"/>
      <c r="W154" s="2672"/>
      <c r="X154" s="2672"/>
      <c r="Y154" s="2672"/>
      <c r="Z154" s="1321"/>
      <c r="AA154" s="1322"/>
      <c r="AB154" s="1387" t="s">
        <v>1107</v>
      </c>
      <c r="AC154" s="1326"/>
      <c r="AD154" s="1326"/>
      <c r="AE154" s="1328"/>
      <c r="AF154" s="2665"/>
      <c r="AG154" s="2666"/>
      <c r="AH154" s="2666"/>
      <c r="AI154" s="2665"/>
      <c r="AJ154" s="2666"/>
      <c r="AK154" s="2666"/>
      <c r="AL154" s="2131"/>
      <c r="AM154" s="1968"/>
      <c r="AN154" s="1968"/>
      <c r="AO154" s="1968"/>
      <c r="AP154" s="1968"/>
      <c r="AQ154" s="1968"/>
      <c r="AR154" s="1968"/>
      <c r="AS154" s="1968"/>
      <c r="AT154" s="1968"/>
      <c r="AU154" s="1968"/>
      <c r="AV154" s="1968"/>
      <c r="AW154" s="1968"/>
      <c r="AX154" s="1968"/>
      <c r="AY154" s="1968"/>
      <c r="AZ154" s="1968"/>
      <c r="BA154" s="1968"/>
      <c r="BB154" s="1968"/>
      <c r="BC154" s="1968"/>
      <c r="BD154" s="1968"/>
      <c r="BE154" s="1968"/>
      <c r="BF154" s="1968"/>
      <c r="BG154" s="7235"/>
    </row>
    <row customHeight="1" ht="11.25">
      <c r="A155" s="1312" t="s">
        <v>1060</v>
      </c>
      <c r="B155" s="1312"/>
      <c r="C155" s="1312"/>
      <c r="D155" s="1306"/>
      <c r="E155" s="1316"/>
      <c r="F155" s="1974"/>
      <c r="G155" s="1975"/>
      <c r="H155" s="2674" t="s">
        <v>121</v>
      </c>
      <c r="I155" s="2675"/>
      <c r="J155" s="8675"/>
      <c r="K155" s="2676"/>
      <c r="L155" s="2266"/>
      <c r="M155" s="2267"/>
      <c r="N155" s="1321"/>
      <c r="O155" s="1322"/>
      <c r="P155" s="1314" t="s">
        <v>1108</v>
      </c>
      <c r="Q155" s="1322"/>
      <c r="R155" s="1322"/>
      <c r="S155" s="1322"/>
      <c r="T155" s="1322"/>
      <c r="U155" s="1322"/>
      <c r="V155" s="1322"/>
      <c r="W155" s="1322"/>
      <c r="X155" s="1322"/>
      <c r="Y155" s="1322"/>
      <c r="Z155" s="1322"/>
      <c r="AA155" s="1322"/>
      <c r="AB155" s="1322"/>
      <c r="AC155" s="1322"/>
      <c r="AD155" s="1322"/>
      <c r="AE155" s="1329"/>
      <c r="AF155" s="2665"/>
      <c r="AG155" s="2666"/>
      <c r="AH155" s="2666"/>
      <c r="AI155" s="2665"/>
      <c r="AJ155" s="2666"/>
      <c r="AK155" s="2666"/>
      <c r="AL155" s="2131"/>
      <c r="AM155" s="1968"/>
      <c r="AN155" s="1968"/>
      <c r="AO155" s="1968"/>
      <c r="AP155" s="1968"/>
      <c r="AQ155" s="1968"/>
      <c r="AR155" s="1968"/>
      <c r="AS155" s="1968"/>
      <c r="AT155" s="1968"/>
      <c r="AU155" s="1968"/>
      <c r="AV155" s="1968"/>
      <c r="AW155" s="1968"/>
      <c r="AX155" s="1968"/>
      <c r="AY155" s="1968"/>
      <c r="AZ155" s="1968"/>
      <c r="BA155" s="1968"/>
      <c r="BB155" s="1968"/>
      <c r="BC155" s="1968"/>
      <c r="BD155" s="1968"/>
      <c r="BE155" s="1968"/>
      <c r="BF155" s="1968"/>
      <c r="BG155" s="7235"/>
    </row>
    <row customHeight="1" ht="12">
      <c r="A156" s="1312" t="s">
        <v>1060</v>
      </c>
      <c r="B156" s="1312"/>
      <c r="C156" s="1312"/>
      <c r="D156" s="1306"/>
      <c r="E156" s="1316"/>
      <c r="F156" s="2696"/>
      <c r="G156" s="1336"/>
      <c r="H156" s="1336"/>
      <c r="I156" s="2694" t="s">
        <v>1100</v>
      </c>
      <c r="J156" s="2694"/>
      <c r="K156" s="2694"/>
      <c r="L156" s="1319"/>
      <c r="M156" s="1319"/>
      <c r="N156" s="1320"/>
      <c r="O156" s="1320"/>
      <c r="P156" s="1320"/>
      <c r="Q156" s="1320"/>
      <c r="R156" s="1320"/>
      <c r="S156" s="1320"/>
      <c r="T156" s="1320"/>
      <c r="U156" s="1320"/>
      <c r="V156" s="1320"/>
      <c r="W156" s="1320"/>
      <c r="X156" s="1320"/>
      <c r="Y156" s="1320"/>
      <c r="Z156" s="1320"/>
      <c r="AA156" s="1320"/>
      <c r="AB156" s="1320"/>
      <c r="AC156" s="1320"/>
      <c r="AD156" s="1320"/>
      <c r="AE156" s="1320"/>
      <c r="AF156" s="1320"/>
      <c r="AG156" s="1319"/>
      <c r="AH156" s="1319"/>
      <c r="AI156" s="1320"/>
      <c r="AJ156" s="1319"/>
      <c r="AK156" s="1320"/>
      <c r="AL156" s="2131"/>
      <c r="AM156" s="1968"/>
      <c r="AN156" s="1968"/>
      <c r="AO156" s="1968"/>
      <c r="AP156" s="1968"/>
      <c r="AQ156" s="1968"/>
      <c r="AR156" s="1968"/>
      <c r="AS156" s="1968"/>
      <c r="AT156" s="1968"/>
      <c r="AU156" s="1968"/>
      <c r="AV156" s="1968"/>
      <c r="AW156" s="1968"/>
      <c r="AX156" s="1968"/>
      <c r="AY156" s="1968"/>
      <c r="AZ156" s="1968"/>
      <c r="BA156" s="1968"/>
      <c r="BB156" s="1968"/>
      <c r="BC156" s="1968"/>
      <c r="BD156" s="1968"/>
      <c r="BE156" s="1968"/>
      <c r="BF156" s="1968"/>
      <c r="BG156" s="7235"/>
    </row>
    <row customHeight="1" ht="0.75">
      <c r="A157" s="1312" t="s">
        <v>1060</v>
      </c>
      <c r="B157" s="1312"/>
      <c r="C157" s="1312"/>
      <c r="D157" s="1306"/>
      <c r="E157" s="1316"/>
      <c r="F157" s="2695">
        <v>2026</v>
      </c>
      <c r="G157" s="2674"/>
      <c r="H157" s="2699" t="s">
        <v>398</v>
      </c>
      <c r="I157" s="2700"/>
      <c r="J157" s="2701"/>
      <c r="K157" s="2701"/>
      <c r="L157" s="2693"/>
      <c r="M157" s="2427"/>
      <c r="N157" s="2179"/>
      <c r="O157" s="2178"/>
      <c r="P157" s="2179"/>
      <c r="Q157" s="2179"/>
      <c r="R157" s="2179"/>
      <c r="S157" s="2179"/>
      <c r="T157" s="2179"/>
      <c r="U157" s="2179"/>
      <c r="V157" s="2179"/>
      <c r="W157" s="2179"/>
      <c r="X157" s="2179"/>
      <c r="Y157" s="2179"/>
      <c r="Z157" s="2179"/>
      <c r="AA157" s="2179"/>
      <c r="AB157" s="2179"/>
      <c r="AC157" s="2179"/>
      <c r="AD157" s="2179"/>
      <c r="AE157" s="2179"/>
      <c r="AF157" s="2697"/>
      <c r="AG157" s="2693"/>
      <c r="AH157" s="2693"/>
      <c r="AI157" s="2697"/>
      <c r="AJ157" s="2693"/>
      <c r="AK157" s="2693"/>
      <c r="AL157" s="2131"/>
      <c r="AM157" s="1968"/>
      <c r="AN157" s="1968"/>
      <c r="AO157" s="1968"/>
      <c r="AP157" s="1968"/>
      <c r="AQ157" s="1968"/>
      <c r="AR157" s="1968"/>
      <c r="AS157" s="1968"/>
      <c r="AT157" s="1968"/>
      <c r="AU157" s="1968"/>
      <c r="AV157" s="1968"/>
      <c r="AW157" s="1968"/>
      <c r="AX157" s="1968"/>
      <c r="AY157" s="1968"/>
      <c r="AZ157" s="1968"/>
      <c r="BA157" s="1968"/>
      <c r="BB157" s="1968"/>
      <c r="BC157" s="1968"/>
      <c r="BD157" s="1968"/>
      <c r="BE157" s="1968"/>
      <c r="BF157" s="1968"/>
      <c r="BG157" s="7235"/>
    </row>
    <row customHeight="1" ht="0.75">
      <c r="A158" s="1312" t="s">
        <v>1060</v>
      </c>
      <c r="B158" s="1312"/>
      <c r="C158" s="1312"/>
      <c r="D158" s="1306"/>
      <c r="E158" s="1316"/>
      <c r="F158" s="2695"/>
      <c r="G158" s="2674"/>
      <c r="H158" s="2699"/>
      <c r="I158" s="2700"/>
      <c r="J158" s="2701"/>
      <c r="K158" s="2701"/>
      <c r="L158" s="2693"/>
      <c r="M158" s="2427"/>
      <c r="N158" s="2702"/>
      <c r="O158" s="2703"/>
      <c r="P158" s="2747"/>
      <c r="Q158" s="2698"/>
      <c r="R158" s="2698"/>
      <c r="S158" s="2698"/>
      <c r="T158" s="2698"/>
      <c r="U158" s="2698"/>
      <c r="V158" s="2698"/>
      <c r="W158" s="2698"/>
      <c r="X158" s="2698"/>
      <c r="Y158" s="2698"/>
      <c r="Z158" s="2180"/>
      <c r="AA158" s="2181"/>
      <c r="AB158" s="2181"/>
      <c r="AC158" s="2182"/>
      <c r="AD158" s="2182"/>
      <c r="AE158" s="2183"/>
      <c r="AF158" s="2697"/>
      <c r="AG158" s="2693"/>
      <c r="AH158" s="2693"/>
      <c r="AI158" s="2697"/>
      <c r="AJ158" s="2693"/>
      <c r="AK158" s="2693"/>
      <c r="AL158" s="2131"/>
      <c r="AM158" s="1968"/>
      <c r="AN158" s="1968"/>
      <c r="AO158" s="1968"/>
      <c r="AP158" s="1968"/>
      <c r="AQ158" s="1968"/>
      <c r="AR158" s="1968"/>
      <c r="AS158" s="1968"/>
      <c r="AT158" s="1968"/>
      <c r="AU158" s="1968"/>
      <c r="AV158" s="1968"/>
      <c r="AW158" s="1968"/>
      <c r="AX158" s="1968"/>
      <c r="AY158" s="1968"/>
      <c r="AZ158" s="1968"/>
      <c r="BA158" s="1968"/>
      <c r="BB158" s="1968"/>
      <c r="BC158" s="1968"/>
      <c r="BD158" s="1968"/>
      <c r="BE158" s="1968"/>
      <c r="BF158" s="1968"/>
      <c r="BG158" s="7235"/>
    </row>
    <row customHeight="1" ht="0.75">
      <c r="A159" s="1312" t="s">
        <v>1060</v>
      </c>
      <c r="B159" s="1312"/>
      <c r="C159" s="1312"/>
      <c r="D159" s="1306"/>
      <c r="E159" s="1316"/>
      <c r="F159" s="2695"/>
      <c r="G159" s="2674"/>
      <c r="H159" s="2699"/>
      <c r="I159" s="2700"/>
      <c r="J159" s="2701"/>
      <c r="K159" s="2701"/>
      <c r="L159" s="2693"/>
      <c r="M159" s="2427"/>
      <c r="N159" s="2702"/>
      <c r="O159" s="2703"/>
      <c r="P159" s="2748"/>
      <c r="Q159" s="2698"/>
      <c r="R159" s="2698"/>
      <c r="S159" s="2698"/>
      <c r="T159" s="2698"/>
      <c r="U159" s="2698"/>
      <c r="V159" s="2698"/>
      <c r="W159" s="2698"/>
      <c r="X159" s="2698"/>
      <c r="Y159" s="2698"/>
      <c r="Z159" s="2184"/>
      <c r="AA159" s="2185"/>
      <c r="AB159" s="2186"/>
      <c r="AC159" s="2187"/>
      <c r="AD159" s="2186"/>
      <c r="AE159" s="2187"/>
      <c r="AF159" s="2697"/>
      <c r="AG159" s="2693"/>
      <c r="AH159" s="2693"/>
      <c r="AI159" s="2697"/>
      <c r="AJ159" s="2693"/>
      <c r="AK159" s="2693"/>
      <c r="AL159" s="2131"/>
      <c r="AM159" s="1968"/>
      <c r="AN159" s="1968"/>
      <c r="AO159" s="1968"/>
      <c r="AP159" s="1968"/>
      <c r="AQ159" s="1968"/>
      <c r="AR159" s="1968"/>
      <c r="AS159" s="1968"/>
      <c r="AT159" s="1968"/>
      <c r="AU159" s="1968"/>
      <c r="AV159" s="1968"/>
      <c r="AW159" s="1968"/>
      <c r="AX159" s="1968"/>
      <c r="AY159" s="1968"/>
      <c r="AZ159" s="1968"/>
      <c r="BA159" s="1968"/>
      <c r="BB159" s="1968"/>
      <c r="BC159" s="1968"/>
      <c r="BD159" s="1968"/>
      <c r="BE159" s="1968"/>
      <c r="BF159" s="1968"/>
      <c r="BG159" s="7235"/>
    </row>
    <row customHeight="1" ht="0.75">
      <c r="A160" s="1312" t="s">
        <v>1060</v>
      </c>
      <c r="B160" s="1312"/>
      <c r="C160" s="1312"/>
      <c r="D160" s="1306"/>
      <c r="E160" s="1316"/>
      <c r="F160" s="2695"/>
      <c r="G160" s="2674"/>
      <c r="H160" s="2699"/>
      <c r="I160" s="2700"/>
      <c r="J160" s="2701"/>
      <c r="K160" s="2701"/>
      <c r="L160" s="2693"/>
      <c r="M160" s="2427"/>
      <c r="N160" s="2702"/>
      <c r="O160" s="2703"/>
      <c r="P160" s="2749"/>
      <c r="Q160" s="2698"/>
      <c r="R160" s="2698"/>
      <c r="S160" s="2698"/>
      <c r="T160" s="2698"/>
      <c r="U160" s="2698"/>
      <c r="V160" s="2698"/>
      <c r="W160" s="2698"/>
      <c r="X160" s="2698"/>
      <c r="Y160" s="2698"/>
      <c r="Z160" s="2180"/>
      <c r="AA160" s="2181"/>
      <c r="AB160" s="2188"/>
      <c r="AC160" s="2182"/>
      <c r="AD160" s="2182"/>
      <c r="AE160" s="2189"/>
      <c r="AF160" s="2697"/>
      <c r="AG160" s="2693"/>
      <c r="AH160" s="2693"/>
      <c r="AI160" s="2697"/>
      <c r="AJ160" s="2693"/>
      <c r="AK160" s="2693"/>
      <c r="AL160" s="2131"/>
      <c r="AM160" s="1968"/>
      <c r="AN160" s="1968"/>
      <c r="AO160" s="1968"/>
      <c r="AP160" s="1968"/>
      <c r="AQ160" s="1968"/>
      <c r="AR160" s="1968"/>
      <c r="AS160" s="1968"/>
      <c r="AT160" s="1968"/>
      <c r="AU160" s="1968"/>
      <c r="AV160" s="1968"/>
      <c r="AW160" s="1968"/>
      <c r="AX160" s="1968"/>
      <c r="AY160" s="1968"/>
      <c r="AZ160" s="1968"/>
      <c r="BA160" s="1968"/>
      <c r="BB160" s="1968"/>
      <c r="BC160" s="1968"/>
      <c r="BD160" s="1968"/>
      <c r="BE160" s="1968"/>
      <c r="BF160" s="1968"/>
      <c r="BG160" s="7235"/>
    </row>
    <row customHeight="1" ht="0.75">
      <c r="A161" s="1312" t="s">
        <v>1060</v>
      </c>
      <c r="B161" s="1312"/>
      <c r="C161" s="1312"/>
      <c r="D161" s="1306"/>
      <c r="E161" s="1316"/>
      <c r="F161" s="2695"/>
      <c r="G161" s="2674"/>
      <c r="H161" s="2699"/>
      <c r="I161" s="2700"/>
      <c r="J161" s="2701"/>
      <c r="K161" s="2701"/>
      <c r="L161" s="2693"/>
      <c r="M161" s="2427"/>
      <c r="N161" s="2181"/>
      <c r="O161" s="2181"/>
      <c r="P161" s="2188"/>
      <c r="Q161" s="2181"/>
      <c r="R161" s="2181"/>
      <c r="S161" s="2181"/>
      <c r="T161" s="2181"/>
      <c r="U161" s="2181"/>
      <c r="V161" s="2181"/>
      <c r="W161" s="2181"/>
      <c r="X161" s="2181"/>
      <c r="Y161" s="2181"/>
      <c r="Z161" s="2181"/>
      <c r="AA161" s="2181"/>
      <c r="AB161" s="2181"/>
      <c r="AC161" s="2181"/>
      <c r="AD161" s="2181"/>
      <c r="AE161" s="2190"/>
      <c r="AF161" s="2697"/>
      <c r="AG161" s="2693"/>
      <c r="AH161" s="2693"/>
      <c r="AI161" s="2697"/>
      <c r="AJ161" s="2693"/>
      <c r="AK161" s="2693"/>
      <c r="AL161" s="2131"/>
      <c r="AM161" s="1968"/>
      <c r="AN161" s="1968"/>
      <c r="AO161" s="1968"/>
      <c r="AP161" s="1968"/>
      <c r="AQ161" s="1968"/>
      <c r="AR161" s="1968"/>
      <c r="AS161" s="1968"/>
      <c r="AT161" s="1968"/>
      <c r="AU161" s="1968"/>
      <c r="AV161" s="1968"/>
      <c r="AW161" s="1968"/>
      <c r="AX161" s="1968"/>
      <c r="AY161" s="1968"/>
      <c r="AZ161" s="1968"/>
      <c r="BA161" s="1968"/>
      <c r="BB161" s="1968"/>
      <c r="BC161" s="1968"/>
      <c r="BD161" s="1968"/>
      <c r="BE161" s="1968"/>
      <c r="BF161" s="1968"/>
      <c r="BG161" s="7235"/>
    </row>
    <row customHeight="1" ht="11.25">
      <c r="A162" s="1312" t="s">
        <v>1060</v>
      </c>
      <c r="B162" s="1312" t="s">
        <v>22</v>
      </c>
      <c r="C162" s="1312"/>
      <c r="D162" s="1306"/>
      <c r="E162" s="1316"/>
      <c r="F162" s="1974"/>
      <c r="G162" s="7143" t="s">
        <v>106</v>
      </c>
      <c r="H162" s="2674" t="s">
        <v>121</v>
      </c>
      <c r="I162" s="2675" t="s">
        <v>1101</v>
      </c>
      <c r="J162" s="8450" t="s">
        <v>22</v>
      </c>
      <c r="K162" s="2676" t="s">
        <v>1161</v>
      </c>
      <c r="L162" s="2266" t="s">
        <v>19</v>
      </c>
      <c r="M162" s="2267"/>
      <c r="N162" s="2129"/>
      <c r="O162" s="1323" t="s">
        <v>398</v>
      </c>
      <c r="P162" s="1324"/>
      <c r="Q162" s="1324"/>
      <c r="R162" s="1324"/>
      <c r="S162" s="1324"/>
      <c r="T162" s="1324"/>
      <c r="U162" s="1324"/>
      <c r="V162" s="1324"/>
      <c r="W162" s="1324"/>
      <c r="X162" s="1324"/>
      <c r="Y162" s="1324"/>
      <c r="Z162" s="1324"/>
      <c r="AA162" s="1324"/>
      <c r="AB162" s="1324"/>
      <c r="AC162" s="1324"/>
      <c r="AD162" s="1324"/>
      <c r="AE162" s="1324"/>
      <c r="AF162" s="2665">
        <v>2026</v>
      </c>
      <c r="AG162" s="2666" t="s">
        <v>1103</v>
      </c>
      <c r="AH162" s="2666" t="s">
        <v>1162</v>
      </c>
      <c r="AI162" s="8456"/>
      <c r="AJ162" s="2666" t="s">
        <v>1105</v>
      </c>
      <c r="AK162" s="2666" t="s">
        <v>1105</v>
      </c>
      <c r="AL162" s="2131"/>
      <c r="AM162" s="1968"/>
      <c r="AN162" s="1968"/>
      <c r="AO162" s="1968"/>
      <c r="AP162" s="1968"/>
      <c r="AQ162" s="1968"/>
      <c r="AR162" s="1968"/>
      <c r="AS162" s="1968"/>
      <c r="AT162" s="1968"/>
      <c r="AU162" s="1968"/>
      <c r="AV162" s="1968"/>
      <c r="AW162" s="1968"/>
      <c r="AX162" s="1968"/>
      <c r="AY162" s="1968"/>
      <c r="AZ162" s="1968"/>
      <c r="BA162" s="1968"/>
      <c r="BB162" s="1968"/>
      <c r="BC162" s="1968"/>
      <c r="BD162" s="1968"/>
      <c r="BE162" s="1968"/>
      <c r="BF162" s="1968"/>
      <c r="BG162" s="7235"/>
    </row>
    <row customHeight="1" ht="11.25">
      <c r="A163" s="1312" t="s">
        <v>1060</v>
      </c>
      <c r="B163" s="1312"/>
      <c r="C163" s="1312"/>
      <c r="D163" s="1306"/>
      <c r="E163" s="1316"/>
      <c r="F163" s="1974"/>
      <c r="G163" s="1975"/>
      <c r="H163" s="2674" t="s">
        <v>398</v>
      </c>
      <c r="I163" s="2675"/>
      <c r="J163" s="8450"/>
      <c r="K163" s="2676"/>
      <c r="L163" s="2266"/>
      <c r="M163" s="2267"/>
      <c r="N163" s="2667"/>
      <c r="O163" s="2668">
        <v>1</v>
      </c>
      <c r="P163" s="2669" t="s">
        <v>19</v>
      </c>
      <c r="Q163" s="2672" t="s">
        <v>22</v>
      </c>
      <c r="R163" s="2672" t="s">
        <v>22</v>
      </c>
      <c r="S163" s="2672" t="s">
        <v>22</v>
      </c>
      <c r="T163" s="2672" t="s">
        <v>22</v>
      </c>
      <c r="U163" s="2672" t="s">
        <v>22</v>
      </c>
      <c r="V163" s="2672" t="s">
        <v>22</v>
      </c>
      <c r="W163" s="2672" t="s">
        <v>22</v>
      </c>
      <c r="X163" s="2672" t="s">
        <v>22</v>
      </c>
      <c r="Y163" s="2672"/>
      <c r="Z163" s="1321"/>
      <c r="AA163" s="1322"/>
      <c r="AB163" s="1322"/>
      <c r="AC163" s="1326"/>
      <c r="AD163" s="1326"/>
      <c r="AE163" s="1327"/>
      <c r="AF163" s="2665"/>
      <c r="AG163" s="2666"/>
      <c r="AH163" s="2666"/>
      <c r="AI163" s="8456"/>
      <c r="AJ163" s="2666"/>
      <c r="AK163" s="2666"/>
      <c r="AL163" s="2131"/>
      <c r="AM163" s="1968"/>
      <c r="AN163" s="1968"/>
      <c r="AO163" s="1968"/>
      <c r="AP163" s="1968"/>
      <c r="AQ163" s="1968"/>
      <c r="AR163" s="1968"/>
      <c r="AS163" s="1968"/>
      <c r="AT163" s="1968"/>
      <c r="AU163" s="1968"/>
      <c r="AV163" s="1968"/>
      <c r="AW163" s="1968"/>
      <c r="AX163" s="1968"/>
      <c r="AY163" s="1968"/>
      <c r="AZ163" s="1968"/>
      <c r="BA163" s="1968"/>
      <c r="BB163" s="1968"/>
      <c r="BC163" s="1968"/>
      <c r="BD163" s="1968"/>
      <c r="BE163" s="1968"/>
      <c r="BF163" s="1968"/>
      <c r="BG163" s="7235"/>
    </row>
    <row customHeight="1" ht="11.25">
      <c r="A164" s="1312" t="s">
        <v>1060</v>
      </c>
      <c r="B164" s="1312"/>
      <c r="C164" s="1312"/>
      <c r="D164" s="1306"/>
      <c r="E164" s="1316"/>
      <c r="F164" s="1974"/>
      <c r="G164" s="1975"/>
      <c r="H164" s="2674" t="s">
        <v>398</v>
      </c>
      <c r="I164" s="2675"/>
      <c r="J164" s="8450"/>
      <c r="K164" s="2676"/>
      <c r="L164" s="2266"/>
      <c r="M164" s="2267"/>
      <c r="N164" s="2667"/>
      <c r="O164" s="2668"/>
      <c r="P164" s="2670"/>
      <c r="Q164" s="2672"/>
      <c r="R164" s="2672"/>
      <c r="S164" s="2673"/>
      <c r="T164" s="2672"/>
      <c r="U164" s="2672"/>
      <c r="V164" s="2672"/>
      <c r="W164" s="2672"/>
      <c r="X164" s="2672"/>
      <c r="Y164" s="2672"/>
      <c r="Z164" s="1973"/>
      <c r="AA164" s="1939">
        <v>1</v>
      </c>
      <c r="AB164" s="1325" t="s">
        <v>1131</v>
      </c>
      <c r="AC164" s="1315">
        <v>11627.21</v>
      </c>
      <c r="AD164" s="1325" t="str">
        <f>AB164</f>
        <v>      Прочие амортизационные отчисления</v>
      </c>
      <c r="AE164" s="1315">
        <v>0</v>
      </c>
      <c r="AF164" s="2665"/>
      <c r="AG164" s="2666"/>
      <c r="AH164" s="2666"/>
      <c r="AI164" s="8456"/>
      <c r="AJ164" s="2666"/>
      <c r="AK164" s="2666"/>
      <c r="AL164" s="2131"/>
      <c r="AM164" s="1968"/>
      <c r="AN164" s="1968"/>
      <c r="AO164" s="1968"/>
      <c r="AP164" s="1968"/>
      <c r="AQ164" s="1968"/>
      <c r="AR164" s="1968"/>
      <c r="AS164" s="1968"/>
      <c r="AT164" s="1968"/>
      <c r="AU164" s="1968"/>
      <c r="AV164" s="1968"/>
      <c r="AW164" s="1968"/>
      <c r="AX164" s="1968"/>
      <c r="AY164" s="1968"/>
      <c r="AZ164" s="1968"/>
      <c r="BA164" s="1968"/>
      <c r="BB164" s="1968"/>
      <c r="BC164" s="1968"/>
      <c r="BD164" s="1968"/>
      <c r="BE164" s="1968"/>
      <c r="BF164" s="1968"/>
      <c r="BG164" s="7235"/>
    </row>
    <row customHeight="1" ht="11.25">
      <c r="A165" s="1312" t="s">
        <v>1060</v>
      </c>
      <c r="B165" s="1312"/>
      <c r="C165" s="1312"/>
      <c r="D165" s="1306"/>
      <c r="E165" s="1316"/>
      <c r="F165" s="1974"/>
      <c r="G165" s="1975"/>
      <c r="H165" s="2674" t="s">
        <v>398</v>
      </c>
      <c r="I165" s="2675"/>
      <c r="J165" s="8450"/>
      <c r="K165" s="2676"/>
      <c r="L165" s="2266"/>
      <c r="M165" s="2267"/>
      <c r="N165" s="2667"/>
      <c r="O165" s="2668"/>
      <c r="P165" s="2671"/>
      <c r="Q165" s="2672"/>
      <c r="R165" s="2672"/>
      <c r="S165" s="2673"/>
      <c r="T165" s="2672"/>
      <c r="U165" s="2672"/>
      <c r="V165" s="2672"/>
      <c r="W165" s="2672"/>
      <c r="X165" s="2672"/>
      <c r="Y165" s="2672"/>
      <c r="Z165" s="1321"/>
      <c r="AA165" s="1322"/>
      <c r="AB165" s="1387" t="s">
        <v>1107</v>
      </c>
      <c r="AC165" s="1326"/>
      <c r="AD165" s="1326"/>
      <c r="AE165" s="1328"/>
      <c r="AF165" s="2665"/>
      <c r="AG165" s="2666"/>
      <c r="AH165" s="2666"/>
      <c r="AI165" s="8456"/>
      <c r="AJ165" s="2666"/>
      <c r="AK165" s="2666"/>
      <c r="AL165" s="2131"/>
      <c r="AM165" s="1968"/>
      <c r="AN165" s="1968"/>
      <c r="AO165" s="1968"/>
      <c r="AP165" s="1968"/>
      <c r="AQ165" s="1968"/>
      <c r="AR165" s="1968"/>
      <c r="AS165" s="1968"/>
      <c r="AT165" s="1968"/>
      <c r="AU165" s="1968"/>
      <c r="AV165" s="1968"/>
      <c r="AW165" s="1968"/>
      <c r="AX165" s="1968"/>
      <c r="AY165" s="1968"/>
      <c r="AZ165" s="1968"/>
      <c r="BA165" s="1968"/>
      <c r="BB165" s="1968"/>
      <c r="BC165" s="1968"/>
      <c r="BD165" s="1968"/>
      <c r="BE165" s="1968"/>
      <c r="BF165" s="1968"/>
      <c r="BG165" s="7235"/>
    </row>
    <row customHeight="1" ht="11.25">
      <c r="A166" s="1312" t="s">
        <v>1060</v>
      </c>
      <c r="B166" s="1312"/>
      <c r="C166" s="1312"/>
      <c r="D166" s="1306"/>
      <c r="E166" s="1316"/>
      <c r="F166" s="1974"/>
      <c r="G166" s="1975"/>
      <c r="H166" s="2674" t="s">
        <v>398</v>
      </c>
      <c r="I166" s="2675"/>
      <c r="J166" s="8450"/>
      <c r="K166" s="2676"/>
      <c r="L166" s="2266"/>
      <c r="M166" s="2267"/>
      <c r="N166" s="1321"/>
      <c r="O166" s="1322"/>
      <c r="P166" s="1314" t="s">
        <v>1108</v>
      </c>
      <c r="Q166" s="1322"/>
      <c r="R166" s="1322"/>
      <c r="S166" s="1322"/>
      <c r="T166" s="1322"/>
      <c r="U166" s="1322"/>
      <c r="V166" s="1322"/>
      <c r="W166" s="1322"/>
      <c r="X166" s="1322"/>
      <c r="Y166" s="1322"/>
      <c r="Z166" s="1322"/>
      <c r="AA166" s="1322"/>
      <c r="AB166" s="1322"/>
      <c r="AC166" s="1322"/>
      <c r="AD166" s="1322"/>
      <c r="AE166" s="1329"/>
      <c r="AF166" s="2665"/>
      <c r="AG166" s="2666"/>
      <c r="AH166" s="2666"/>
      <c r="AI166" s="8456"/>
      <c r="AJ166" s="2666"/>
      <c r="AK166" s="2666"/>
      <c r="AL166" s="2131"/>
      <c r="AM166" s="1968"/>
      <c r="AN166" s="1968"/>
      <c r="AO166" s="1968"/>
      <c r="AP166" s="1968"/>
      <c r="AQ166" s="1968"/>
      <c r="AR166" s="1968"/>
      <c r="AS166" s="1968"/>
      <c r="AT166" s="1968"/>
      <c r="AU166" s="1968"/>
      <c r="AV166" s="1968"/>
      <c r="AW166" s="1968"/>
      <c r="AX166" s="1968"/>
      <c r="AY166" s="1968"/>
      <c r="AZ166" s="1968"/>
      <c r="BA166" s="1968"/>
      <c r="BB166" s="1968"/>
      <c r="BC166" s="1968"/>
      <c r="BD166" s="1968"/>
      <c r="BE166" s="1968"/>
      <c r="BF166" s="1968"/>
      <c r="BG166" s="7235"/>
    </row>
    <row customHeight="1" ht="12">
      <c r="A167" s="1312" t="s">
        <v>1060</v>
      </c>
      <c r="B167" s="1312"/>
      <c r="C167" s="1312"/>
      <c r="D167" s="1306"/>
      <c r="E167" s="1316"/>
      <c r="F167" s="2696"/>
      <c r="G167" s="1336"/>
      <c r="H167" s="1336"/>
      <c r="I167" s="2694" t="s">
        <v>1100</v>
      </c>
      <c r="J167" s="2694"/>
      <c r="K167" s="2694"/>
      <c r="L167" s="1319"/>
      <c r="M167" s="1319"/>
      <c r="N167" s="1320"/>
      <c r="O167" s="1320"/>
      <c r="P167" s="1320"/>
      <c r="Q167" s="1320"/>
      <c r="R167" s="1320"/>
      <c r="S167" s="1320"/>
      <c r="T167" s="1320"/>
      <c r="U167" s="1320"/>
      <c r="V167" s="1320"/>
      <c r="W167" s="1320"/>
      <c r="X167" s="1320"/>
      <c r="Y167" s="1320"/>
      <c r="Z167" s="1320"/>
      <c r="AA167" s="1320"/>
      <c r="AB167" s="1320"/>
      <c r="AC167" s="1320"/>
      <c r="AD167" s="1320"/>
      <c r="AE167" s="1320"/>
      <c r="AF167" s="1320"/>
      <c r="AG167" s="1319"/>
      <c r="AH167" s="1319"/>
      <c r="AI167" s="1320"/>
      <c r="AJ167" s="1319"/>
      <c r="AK167" s="1320"/>
      <c r="AL167" s="2131"/>
      <c r="AM167" s="1968"/>
      <c r="AN167" s="1968"/>
      <c r="AO167" s="1968"/>
      <c r="AP167" s="1968"/>
      <c r="AQ167" s="1968"/>
      <c r="AR167" s="1968"/>
      <c r="AS167" s="1968"/>
      <c r="AT167" s="1968"/>
      <c r="AU167" s="1968"/>
      <c r="AV167" s="1968"/>
      <c r="AW167" s="1968"/>
      <c r="AX167" s="1968"/>
      <c r="AY167" s="1968"/>
      <c r="AZ167" s="1968"/>
      <c r="BA167" s="1968"/>
      <c r="BB167" s="1968"/>
      <c r="BC167" s="1968"/>
      <c r="BD167" s="1968"/>
      <c r="BE167" s="1968"/>
      <c r="BF167" s="1968"/>
      <c r="BG167" s="7235"/>
    </row>
    <row customHeight="1" ht="0.75">
      <c r="A168" s="1312" t="s">
        <v>1060</v>
      </c>
      <c r="B168" s="1312"/>
      <c r="C168" s="1312"/>
      <c r="D168" s="1306"/>
      <c r="E168" s="1316"/>
      <c r="F168" s="2695">
        <v>2027</v>
      </c>
      <c r="G168" s="2674"/>
      <c r="H168" s="2699" t="s">
        <v>398</v>
      </c>
      <c r="I168" s="2700"/>
      <c r="J168" s="2701"/>
      <c r="K168" s="2701"/>
      <c r="L168" s="2693"/>
      <c r="M168" s="2427"/>
      <c r="N168" s="2179"/>
      <c r="O168" s="2178"/>
      <c r="P168" s="2179"/>
      <c r="Q168" s="2179"/>
      <c r="R168" s="2179"/>
      <c r="S168" s="2179"/>
      <c r="T168" s="2179"/>
      <c r="U168" s="2179"/>
      <c r="V168" s="2179"/>
      <c r="W168" s="2179"/>
      <c r="X168" s="2179"/>
      <c r="Y168" s="2179"/>
      <c r="Z168" s="2179"/>
      <c r="AA168" s="2179"/>
      <c r="AB168" s="2179"/>
      <c r="AC168" s="2179"/>
      <c r="AD168" s="2179"/>
      <c r="AE168" s="2179"/>
      <c r="AF168" s="2697"/>
      <c r="AG168" s="2693"/>
      <c r="AH168" s="2693"/>
      <c r="AI168" s="2697"/>
      <c r="AJ168" s="2693"/>
      <c r="AK168" s="2693"/>
      <c r="AL168" s="2131"/>
      <c r="AM168" s="1968"/>
      <c r="AN168" s="1968"/>
      <c r="AO168" s="1968"/>
      <c r="AP168" s="1968"/>
      <c r="AQ168" s="1968"/>
      <c r="AR168" s="1968"/>
      <c r="AS168" s="1968"/>
      <c r="AT168" s="1968"/>
      <c r="AU168" s="1968"/>
      <c r="AV168" s="1968"/>
      <c r="AW168" s="1968"/>
      <c r="AX168" s="1968"/>
      <c r="AY168" s="1968"/>
      <c r="AZ168" s="1968"/>
      <c r="BA168" s="1968"/>
      <c r="BB168" s="1968"/>
      <c r="BC168" s="1968"/>
      <c r="BD168" s="1968"/>
      <c r="BE168" s="1968"/>
      <c r="BF168" s="1968"/>
      <c r="BG168" s="7235"/>
    </row>
    <row customHeight="1" ht="0.75">
      <c r="A169" s="1312" t="s">
        <v>1060</v>
      </c>
      <c r="B169" s="1312"/>
      <c r="C169" s="1312"/>
      <c r="D169" s="1306"/>
      <c r="E169" s="1316"/>
      <c r="F169" s="2695"/>
      <c r="G169" s="2674"/>
      <c r="H169" s="2699"/>
      <c r="I169" s="2700"/>
      <c r="J169" s="2701"/>
      <c r="K169" s="2701"/>
      <c r="L169" s="2693"/>
      <c r="M169" s="2427"/>
      <c r="N169" s="2702"/>
      <c r="O169" s="2703"/>
      <c r="P169" s="2747"/>
      <c r="Q169" s="2698"/>
      <c r="R169" s="2698"/>
      <c r="S169" s="2698"/>
      <c r="T169" s="2698"/>
      <c r="U169" s="2698"/>
      <c r="V169" s="2698"/>
      <c r="W169" s="2698"/>
      <c r="X169" s="2698"/>
      <c r="Y169" s="2698"/>
      <c r="Z169" s="2180"/>
      <c r="AA169" s="2181"/>
      <c r="AB169" s="2181"/>
      <c r="AC169" s="2182"/>
      <c r="AD169" s="2182"/>
      <c r="AE169" s="2183"/>
      <c r="AF169" s="2697"/>
      <c r="AG169" s="2693"/>
      <c r="AH169" s="2693"/>
      <c r="AI169" s="2697"/>
      <c r="AJ169" s="2693"/>
      <c r="AK169" s="2693"/>
      <c r="AL169" s="2131"/>
      <c r="AM169" s="1968"/>
      <c r="AN169" s="1968"/>
      <c r="AO169" s="1968"/>
      <c r="AP169" s="1968"/>
      <c r="AQ169" s="1968"/>
      <c r="AR169" s="1968"/>
      <c r="AS169" s="1968"/>
      <c r="AT169" s="1968"/>
      <c r="AU169" s="1968"/>
      <c r="AV169" s="1968"/>
      <c r="AW169" s="1968"/>
      <c r="AX169" s="1968"/>
      <c r="AY169" s="1968"/>
      <c r="AZ169" s="1968"/>
      <c r="BA169" s="1968"/>
      <c r="BB169" s="1968"/>
      <c r="BC169" s="1968"/>
      <c r="BD169" s="1968"/>
      <c r="BE169" s="1968"/>
      <c r="BF169" s="1968"/>
      <c r="BG169" s="7235"/>
    </row>
    <row customHeight="1" ht="0.75">
      <c r="A170" s="1312" t="s">
        <v>1060</v>
      </c>
      <c r="B170" s="1312"/>
      <c r="C170" s="1312"/>
      <c r="D170" s="1306"/>
      <c r="E170" s="1316"/>
      <c r="F170" s="2695"/>
      <c r="G170" s="2674"/>
      <c r="H170" s="2699"/>
      <c r="I170" s="2700"/>
      <c r="J170" s="2701"/>
      <c r="K170" s="2701"/>
      <c r="L170" s="2693"/>
      <c r="M170" s="2427"/>
      <c r="N170" s="2702"/>
      <c r="O170" s="2703"/>
      <c r="P170" s="2748"/>
      <c r="Q170" s="2698"/>
      <c r="R170" s="2698"/>
      <c r="S170" s="2698"/>
      <c r="T170" s="2698"/>
      <c r="U170" s="2698"/>
      <c r="V170" s="2698"/>
      <c r="W170" s="2698"/>
      <c r="X170" s="2698"/>
      <c r="Y170" s="2698"/>
      <c r="Z170" s="2184"/>
      <c r="AA170" s="2185"/>
      <c r="AB170" s="2186"/>
      <c r="AC170" s="2187"/>
      <c r="AD170" s="2186"/>
      <c r="AE170" s="2187"/>
      <c r="AF170" s="2697"/>
      <c r="AG170" s="2693"/>
      <c r="AH170" s="2693"/>
      <c r="AI170" s="2697"/>
      <c r="AJ170" s="2693"/>
      <c r="AK170" s="2693"/>
      <c r="AL170" s="2131"/>
      <c r="AM170" s="1968"/>
      <c r="AN170" s="1968"/>
      <c r="AO170" s="1968"/>
      <c r="AP170" s="1968"/>
      <c r="AQ170" s="1968"/>
      <c r="AR170" s="1968"/>
      <c r="AS170" s="1968"/>
      <c r="AT170" s="1968"/>
      <c r="AU170" s="1968"/>
      <c r="AV170" s="1968"/>
      <c r="AW170" s="1968"/>
      <c r="AX170" s="1968"/>
      <c r="AY170" s="1968"/>
      <c r="AZ170" s="1968"/>
      <c r="BA170" s="1968"/>
      <c r="BB170" s="1968"/>
      <c r="BC170" s="1968"/>
      <c r="BD170" s="1968"/>
      <c r="BE170" s="1968"/>
      <c r="BF170" s="1968"/>
      <c r="BG170" s="7235"/>
    </row>
    <row customHeight="1" ht="0.75">
      <c r="A171" s="1312" t="s">
        <v>1060</v>
      </c>
      <c r="B171" s="1312"/>
      <c r="C171" s="1312"/>
      <c r="D171" s="1306"/>
      <c r="E171" s="1316"/>
      <c r="F171" s="2695"/>
      <c r="G171" s="2674"/>
      <c r="H171" s="2699"/>
      <c r="I171" s="2700"/>
      <c r="J171" s="2701"/>
      <c r="K171" s="2701"/>
      <c r="L171" s="2693"/>
      <c r="M171" s="2427"/>
      <c r="N171" s="2702"/>
      <c r="O171" s="2703"/>
      <c r="P171" s="2749"/>
      <c r="Q171" s="2698"/>
      <c r="R171" s="2698"/>
      <c r="S171" s="2698"/>
      <c r="T171" s="2698"/>
      <c r="U171" s="2698"/>
      <c r="V171" s="2698"/>
      <c r="W171" s="2698"/>
      <c r="X171" s="2698"/>
      <c r="Y171" s="2698"/>
      <c r="Z171" s="2180"/>
      <c r="AA171" s="2181"/>
      <c r="AB171" s="2188"/>
      <c r="AC171" s="2182"/>
      <c r="AD171" s="2182"/>
      <c r="AE171" s="2189"/>
      <c r="AF171" s="2697"/>
      <c r="AG171" s="2693"/>
      <c r="AH171" s="2693"/>
      <c r="AI171" s="2697"/>
      <c r="AJ171" s="2693"/>
      <c r="AK171" s="2693"/>
      <c r="AL171" s="2131"/>
      <c r="AM171" s="1968"/>
      <c r="AN171" s="1968"/>
      <c r="AO171" s="1968"/>
      <c r="AP171" s="1968"/>
      <c r="AQ171" s="1968"/>
      <c r="AR171" s="1968"/>
      <c r="AS171" s="1968"/>
      <c r="AT171" s="1968"/>
      <c r="AU171" s="1968"/>
      <c r="AV171" s="1968"/>
      <c r="AW171" s="1968"/>
      <c r="AX171" s="1968"/>
      <c r="AY171" s="1968"/>
      <c r="AZ171" s="1968"/>
      <c r="BA171" s="1968"/>
      <c r="BB171" s="1968"/>
      <c r="BC171" s="1968"/>
      <c r="BD171" s="1968"/>
      <c r="BE171" s="1968"/>
      <c r="BF171" s="1968"/>
      <c r="BG171" s="7235"/>
    </row>
    <row customHeight="1" ht="0.75">
      <c r="A172" s="1312" t="s">
        <v>1060</v>
      </c>
      <c r="B172" s="1312"/>
      <c r="C172" s="1312"/>
      <c r="D172" s="1306"/>
      <c r="E172" s="1316"/>
      <c r="F172" s="2695"/>
      <c r="G172" s="2674"/>
      <c r="H172" s="2699"/>
      <c r="I172" s="2700"/>
      <c r="J172" s="2701"/>
      <c r="K172" s="2701"/>
      <c r="L172" s="2693"/>
      <c r="M172" s="2427"/>
      <c r="N172" s="2181"/>
      <c r="O172" s="2181"/>
      <c r="P172" s="2188"/>
      <c r="Q172" s="2181"/>
      <c r="R172" s="2181"/>
      <c r="S172" s="2181"/>
      <c r="T172" s="2181"/>
      <c r="U172" s="2181"/>
      <c r="V172" s="2181"/>
      <c r="W172" s="2181"/>
      <c r="X172" s="2181"/>
      <c r="Y172" s="2181"/>
      <c r="Z172" s="2181"/>
      <c r="AA172" s="2181"/>
      <c r="AB172" s="2181"/>
      <c r="AC172" s="2181"/>
      <c r="AD172" s="2181"/>
      <c r="AE172" s="2190"/>
      <c r="AF172" s="2697"/>
      <c r="AG172" s="2693"/>
      <c r="AH172" s="2693"/>
      <c r="AI172" s="2697"/>
      <c r="AJ172" s="2693"/>
      <c r="AK172" s="2693"/>
      <c r="AL172" s="2131"/>
      <c r="AM172" s="1968"/>
      <c r="AN172" s="1968"/>
      <c r="AO172" s="1968"/>
      <c r="AP172" s="1968"/>
      <c r="AQ172" s="1968"/>
      <c r="AR172" s="1968"/>
      <c r="AS172" s="1968"/>
      <c r="AT172" s="1968"/>
      <c r="AU172" s="1968"/>
      <c r="AV172" s="1968"/>
      <c r="AW172" s="1968"/>
      <c r="AX172" s="1968"/>
      <c r="AY172" s="1968"/>
      <c r="AZ172" s="1968"/>
      <c r="BA172" s="1968"/>
      <c r="BB172" s="1968"/>
      <c r="BC172" s="1968"/>
      <c r="BD172" s="1968"/>
      <c r="BE172" s="1968"/>
      <c r="BF172" s="1968"/>
      <c r="BG172" s="7235"/>
    </row>
    <row customHeight="1" ht="11.25">
      <c r="A173" s="1312" t="s">
        <v>1060</v>
      </c>
      <c r="B173" s="1312" t="s">
        <v>22</v>
      </c>
      <c r="C173" s="1312"/>
      <c r="D173" s="1306"/>
      <c r="E173" s="1316"/>
      <c r="F173" s="1974"/>
      <c r="G173" s="7143" t="s">
        <v>106</v>
      </c>
      <c r="H173" s="2674" t="s">
        <v>121</v>
      </c>
      <c r="I173" s="2675" t="s">
        <v>1101</v>
      </c>
      <c r="J173" s="8450" t="s">
        <v>22</v>
      </c>
      <c r="K173" s="2676" t="s">
        <v>1163</v>
      </c>
      <c r="L173" s="2266" t="s">
        <v>19</v>
      </c>
      <c r="M173" s="2267"/>
      <c r="N173" s="2129"/>
      <c r="O173" s="1323" t="s">
        <v>398</v>
      </c>
      <c r="P173" s="1324"/>
      <c r="Q173" s="1324"/>
      <c r="R173" s="1324"/>
      <c r="S173" s="1324"/>
      <c r="T173" s="1324"/>
      <c r="U173" s="1324"/>
      <c r="V173" s="1324"/>
      <c r="W173" s="1324"/>
      <c r="X173" s="1324"/>
      <c r="Y173" s="1324"/>
      <c r="Z173" s="1324"/>
      <c r="AA173" s="1324"/>
      <c r="AB173" s="1324"/>
      <c r="AC173" s="1324"/>
      <c r="AD173" s="1324"/>
      <c r="AE173" s="1324"/>
      <c r="AF173" s="2665">
        <v>2027</v>
      </c>
      <c r="AG173" s="2666" t="s">
        <v>1103</v>
      </c>
      <c r="AH173" s="2666" t="s">
        <v>1164</v>
      </c>
      <c r="AI173" s="8456"/>
      <c r="AJ173" s="2666" t="s">
        <v>1105</v>
      </c>
      <c r="AK173" s="2666" t="s">
        <v>1105</v>
      </c>
      <c r="AL173" s="2131"/>
      <c r="AM173" s="1968"/>
      <c r="AN173" s="1968"/>
      <c r="AO173" s="1968"/>
      <c r="AP173" s="1968"/>
      <c r="AQ173" s="1968"/>
      <c r="AR173" s="1968"/>
      <c r="AS173" s="1968"/>
      <c r="AT173" s="1968"/>
      <c r="AU173" s="1968"/>
      <c r="AV173" s="1968"/>
      <c r="AW173" s="1968"/>
      <c r="AX173" s="1968"/>
      <c r="AY173" s="1968"/>
      <c r="AZ173" s="1968"/>
      <c r="BA173" s="1968"/>
      <c r="BB173" s="1968"/>
      <c r="BC173" s="1968"/>
      <c r="BD173" s="1968"/>
      <c r="BE173" s="1968"/>
      <c r="BF173" s="1968"/>
      <c r="BG173" s="7235"/>
    </row>
    <row customHeight="1" ht="11.25">
      <c r="A174" s="1312" t="s">
        <v>1060</v>
      </c>
      <c r="B174" s="1312"/>
      <c r="C174" s="1312"/>
      <c r="D174" s="1306"/>
      <c r="E174" s="1316"/>
      <c r="F174" s="1974"/>
      <c r="G174" s="1975"/>
      <c r="H174" s="2674" t="s">
        <v>398</v>
      </c>
      <c r="I174" s="2675"/>
      <c r="J174" s="8450"/>
      <c r="K174" s="2676"/>
      <c r="L174" s="2266"/>
      <c r="M174" s="2267"/>
      <c r="N174" s="2667"/>
      <c r="O174" s="2668">
        <v>1</v>
      </c>
      <c r="P174" s="2669" t="s">
        <v>63</v>
      </c>
      <c r="Q174" s="8451" t="s">
        <v>1165</v>
      </c>
      <c r="R174" s="8452" t="s">
        <v>1114</v>
      </c>
      <c r="S174" s="8452" t="s">
        <v>113</v>
      </c>
      <c r="T174" s="8452" t="s">
        <v>113</v>
      </c>
      <c r="U174" s="8452" t="s">
        <v>114</v>
      </c>
      <c r="V174" s="8452" t="s">
        <v>1115</v>
      </c>
      <c r="W174" s="8452" t="s">
        <v>1116</v>
      </c>
      <c r="X174" s="8452" t="s">
        <v>1166</v>
      </c>
      <c r="Y174" s="8452" t="s">
        <v>1167</v>
      </c>
      <c r="Z174" s="1321"/>
      <c r="AA174" s="1322"/>
      <c r="AB174" s="1322"/>
      <c r="AC174" s="1326"/>
      <c r="AD174" s="1326"/>
      <c r="AE174" s="1327"/>
      <c r="AF174" s="2665"/>
      <c r="AG174" s="2666"/>
      <c r="AH174" s="2666"/>
      <c r="AI174" s="8456"/>
      <c r="AJ174" s="2666"/>
      <c r="AK174" s="2666"/>
      <c r="AL174" s="2131"/>
      <c r="AM174" s="1968"/>
      <c r="AN174" s="1968"/>
      <c r="AO174" s="1968"/>
      <c r="AP174" s="1968"/>
      <c r="AQ174" s="1968"/>
      <c r="AR174" s="1968"/>
      <c r="AS174" s="1968"/>
      <c r="AT174" s="1968"/>
      <c r="AU174" s="1968"/>
      <c r="AV174" s="1968"/>
      <c r="AW174" s="1968"/>
      <c r="AX174" s="1968"/>
      <c r="AY174" s="1968"/>
      <c r="AZ174" s="1968"/>
      <c r="BA174" s="1968"/>
      <c r="BB174" s="1968"/>
      <c r="BC174" s="1968"/>
      <c r="BD174" s="1968"/>
      <c r="BE174" s="1968"/>
      <c r="BF174" s="1968"/>
      <c r="BG174" s="7235"/>
    </row>
    <row customHeight="1" ht="11.25">
      <c r="A175" s="1312" t="s">
        <v>1060</v>
      </c>
      <c r="B175" s="1312"/>
      <c r="C175" s="1312"/>
      <c r="D175" s="1306"/>
      <c r="E175" s="1316"/>
      <c r="F175" s="1974"/>
      <c r="G175" s="1975"/>
      <c r="H175" s="2674" t="s">
        <v>398</v>
      </c>
      <c r="I175" s="2675"/>
      <c r="J175" s="8450"/>
      <c r="K175" s="2676"/>
      <c r="L175" s="2266"/>
      <c r="M175" s="2267"/>
      <c r="N175" s="2667"/>
      <c r="O175" s="2668"/>
      <c r="P175" s="2670"/>
      <c r="Q175" s="8451"/>
      <c r="R175" s="2672"/>
      <c r="S175" s="2673"/>
      <c r="T175" s="2672"/>
      <c r="U175" s="2672"/>
      <c r="V175" s="2672"/>
      <c r="W175" s="2672"/>
      <c r="X175" s="2672"/>
      <c r="Y175" s="2672"/>
      <c r="Z175" s="1973"/>
      <c r="AA175" s="1939">
        <v>1</v>
      </c>
      <c r="AB175" s="1325" t="s">
        <v>1131</v>
      </c>
      <c r="AC175" s="1315">
        <v>22545.52</v>
      </c>
      <c r="AD175" s="1325" t="str">
        <f>AB175</f>
        <v>      Прочие амортизационные отчисления</v>
      </c>
      <c r="AE175" s="1315">
        <v>0</v>
      </c>
      <c r="AF175" s="2665"/>
      <c r="AG175" s="2666"/>
      <c r="AH175" s="2666"/>
      <c r="AI175" s="8456"/>
      <c r="AJ175" s="2666"/>
      <c r="AK175" s="2666"/>
      <c r="AL175" s="2131"/>
      <c r="AM175" s="1968"/>
      <c r="AN175" s="1968"/>
      <c r="AO175" s="1968"/>
      <c r="AP175" s="1968"/>
      <c r="AQ175" s="1968"/>
      <c r="AR175" s="1968"/>
      <c r="AS175" s="1968"/>
      <c r="AT175" s="1968"/>
      <c r="AU175" s="1968"/>
      <c r="AV175" s="1968"/>
      <c r="AW175" s="1968"/>
      <c r="AX175" s="1968"/>
      <c r="AY175" s="1968"/>
      <c r="AZ175" s="1968"/>
      <c r="BA175" s="1968"/>
      <c r="BB175" s="1968"/>
      <c r="BC175" s="1968"/>
      <c r="BD175" s="1968"/>
      <c r="BE175" s="1968"/>
      <c r="BF175" s="1968"/>
      <c r="BG175" s="7235"/>
    </row>
    <row customHeight="1" ht="11.25">
      <c r="A176" s="1312" t="s">
        <v>1060</v>
      </c>
      <c r="B176" s="1312"/>
      <c r="C176" s="1312"/>
      <c r="D176" s="1306"/>
      <c r="E176" s="1316"/>
      <c r="F176" s="1975"/>
      <c r="G176" s="1975"/>
      <c r="H176" s="1975"/>
      <c r="I176" s="1975"/>
      <c r="J176" s="1975"/>
      <c r="K176" s="1975"/>
      <c r="L176" s="1975"/>
      <c r="M176" s="1975"/>
      <c r="N176" s="1975"/>
      <c r="O176" s="1975"/>
      <c r="P176" s="1975"/>
      <c r="Q176" s="1975"/>
      <c r="R176" s="1975"/>
      <c r="S176" s="1975"/>
      <c r="T176" s="1975"/>
      <c r="U176" s="1975"/>
      <c r="V176" s="1975"/>
      <c r="W176" s="1975"/>
      <c r="X176" s="1975"/>
      <c r="Y176" s="1975"/>
      <c r="Z176" s="7143" t="s">
        <v>106</v>
      </c>
      <c r="AA176" s="1959" t="s">
        <v>105</v>
      </c>
      <c r="AB176" s="1325" t="s">
        <v>1106</v>
      </c>
      <c r="AC176" s="1315">
        <v>18867.9</v>
      </c>
      <c r="AD176" s="1325" t="str">
        <f>AB176</f>
        <v>  Прибыль направляемая на инвестиции</v>
      </c>
      <c r="AE176" s="1315">
        <v>0</v>
      </c>
      <c r="AF176" s="2232"/>
      <c r="AG176" s="1904"/>
      <c r="AH176" s="1904"/>
      <c r="AI176" s="8457"/>
      <c r="AJ176" s="1904"/>
      <c r="AK176" s="2130"/>
      <c r="AL176" s="2131"/>
      <c r="AM176" s="1968"/>
      <c r="AN176" s="1968"/>
      <c r="AO176" s="1968"/>
      <c r="AP176" s="1968"/>
      <c r="AQ176" s="1968"/>
      <c r="AR176" s="1968"/>
      <c r="AS176" s="1968"/>
      <c r="AT176" s="1968"/>
      <c r="AU176" s="1968"/>
      <c r="AV176" s="1968"/>
      <c r="AW176" s="1968"/>
      <c r="AX176" s="1968"/>
      <c r="AY176" s="1968"/>
      <c r="AZ176" s="1968"/>
      <c r="BA176" s="1968"/>
      <c r="BB176" s="1968"/>
      <c r="BC176" s="1968"/>
      <c r="BD176" s="1968"/>
      <c r="BE176" s="1968"/>
      <c r="BF176" s="1968"/>
      <c r="BG176" s="7235"/>
    </row>
    <row customHeight="1" ht="11.25">
      <c r="A177" s="1312" t="s">
        <v>1060</v>
      </c>
      <c r="B177" s="1312"/>
      <c r="C177" s="1312"/>
      <c r="D177" s="1306"/>
      <c r="E177" s="1316"/>
      <c r="F177" s="1974"/>
      <c r="G177" s="1975"/>
      <c r="H177" s="2674" t="s">
        <v>398</v>
      </c>
      <c r="I177" s="2675"/>
      <c r="J177" s="8450"/>
      <c r="K177" s="2676"/>
      <c r="L177" s="2266"/>
      <c r="M177" s="2267"/>
      <c r="N177" s="2667"/>
      <c r="O177" s="2668"/>
      <c r="P177" s="2671"/>
      <c r="Q177" s="8451"/>
      <c r="R177" s="2672"/>
      <c r="S177" s="2673"/>
      <c r="T177" s="2672"/>
      <c r="U177" s="2672"/>
      <c r="V177" s="2672"/>
      <c r="W177" s="2672"/>
      <c r="X177" s="2672"/>
      <c r="Y177" s="2672"/>
      <c r="Z177" s="1321"/>
      <c r="AA177" s="1322"/>
      <c r="AB177" s="1387" t="s">
        <v>1107</v>
      </c>
      <c r="AC177" s="1326"/>
      <c r="AD177" s="1326"/>
      <c r="AE177" s="1328"/>
      <c r="AF177" s="2665"/>
      <c r="AG177" s="2666"/>
      <c r="AH177" s="2666"/>
      <c r="AI177" s="8456"/>
      <c r="AJ177" s="2666"/>
      <c r="AK177" s="2666"/>
      <c r="AL177" s="2131"/>
      <c r="AM177" s="1968"/>
      <c r="AN177" s="1968"/>
      <c r="AO177" s="1968"/>
      <c r="AP177" s="1968"/>
      <c r="AQ177" s="1968"/>
      <c r="AR177" s="1968"/>
      <c r="AS177" s="1968"/>
      <c r="AT177" s="1968"/>
      <c r="AU177" s="1968"/>
      <c r="AV177" s="1968"/>
      <c r="AW177" s="1968"/>
      <c r="AX177" s="1968"/>
      <c r="AY177" s="1968"/>
      <c r="AZ177" s="1968"/>
      <c r="BA177" s="1968"/>
      <c r="BB177" s="1968"/>
      <c r="BC177" s="1968"/>
      <c r="BD177" s="1968"/>
      <c r="BE177" s="1968"/>
      <c r="BF177" s="1968"/>
      <c r="BG177" s="7235"/>
    </row>
    <row customHeight="1" ht="11.25">
      <c r="A178" s="1312" t="s">
        <v>1060</v>
      </c>
      <c r="B178" s="1312"/>
      <c r="C178" s="1312"/>
      <c r="D178" s="1306"/>
      <c r="E178" s="1316"/>
      <c r="F178" s="1974"/>
      <c r="G178" s="1975"/>
      <c r="H178" s="2674" t="s">
        <v>398</v>
      </c>
      <c r="I178" s="2675"/>
      <c r="J178" s="8450"/>
      <c r="K178" s="2676"/>
      <c r="L178" s="2266"/>
      <c r="M178" s="2267"/>
      <c r="N178" s="1321"/>
      <c r="O178" s="1322"/>
      <c r="P178" s="1314" t="s">
        <v>1108</v>
      </c>
      <c r="Q178" s="1322"/>
      <c r="R178" s="1322"/>
      <c r="S178" s="1322"/>
      <c r="T178" s="1322"/>
      <c r="U178" s="1322"/>
      <c r="V178" s="1322"/>
      <c r="W178" s="1322"/>
      <c r="X178" s="1322"/>
      <c r="Y178" s="1322"/>
      <c r="Z178" s="1322"/>
      <c r="AA178" s="1322"/>
      <c r="AB178" s="1322"/>
      <c r="AC178" s="1322"/>
      <c r="AD178" s="1322"/>
      <c r="AE178" s="1329"/>
      <c r="AF178" s="2665"/>
      <c r="AG178" s="2666"/>
      <c r="AH178" s="2666"/>
      <c r="AI178" s="8456"/>
      <c r="AJ178" s="2666"/>
      <c r="AK178" s="2666"/>
      <c r="AL178" s="2131"/>
      <c r="AM178" s="1968"/>
      <c r="AN178" s="1968"/>
      <c r="AO178" s="1968"/>
      <c r="AP178" s="1968"/>
      <c r="AQ178" s="1968"/>
      <c r="AR178" s="1968"/>
      <c r="AS178" s="1968"/>
      <c r="AT178" s="1968"/>
      <c r="AU178" s="1968"/>
      <c r="AV178" s="1968"/>
      <c r="AW178" s="1968"/>
      <c r="AX178" s="1968"/>
      <c r="AY178" s="1968"/>
      <c r="AZ178" s="1968"/>
      <c r="BA178" s="1968"/>
      <c r="BB178" s="1968"/>
      <c r="BC178" s="1968"/>
      <c r="BD178" s="1968"/>
      <c r="BE178" s="1968"/>
      <c r="BF178" s="1968"/>
      <c r="BG178" s="7235"/>
    </row>
    <row customHeight="1" ht="12">
      <c r="A179" s="1312" t="s">
        <v>1060</v>
      </c>
      <c r="B179" s="1312"/>
      <c r="C179" s="1312"/>
      <c r="D179" s="1306"/>
      <c r="E179" s="1316"/>
      <c r="F179" s="2696"/>
      <c r="G179" s="1336"/>
      <c r="H179" s="1336"/>
      <c r="I179" s="2694" t="s">
        <v>1100</v>
      </c>
      <c r="J179" s="2694"/>
      <c r="K179" s="2694"/>
      <c r="L179" s="1319"/>
      <c r="M179" s="1319"/>
      <c r="N179" s="1320"/>
      <c r="O179" s="1320"/>
      <c r="P179" s="1320"/>
      <c r="Q179" s="1320"/>
      <c r="R179" s="1320"/>
      <c r="S179" s="1320"/>
      <c r="T179" s="1320"/>
      <c r="U179" s="1320"/>
      <c r="V179" s="1320"/>
      <c r="W179" s="1320"/>
      <c r="X179" s="1320"/>
      <c r="Y179" s="1320"/>
      <c r="Z179" s="1320"/>
      <c r="AA179" s="1320"/>
      <c r="AB179" s="1320"/>
      <c r="AC179" s="1320"/>
      <c r="AD179" s="1320"/>
      <c r="AE179" s="1320"/>
      <c r="AF179" s="1320"/>
      <c r="AG179" s="1319"/>
      <c r="AH179" s="1319"/>
      <c r="AI179" s="1320"/>
      <c r="AJ179" s="1319"/>
      <c r="AK179" s="1320"/>
      <c r="AL179" s="2131"/>
      <c r="AM179" s="1968"/>
      <c r="AN179" s="1968"/>
      <c r="AO179" s="1968"/>
      <c r="AP179" s="1968"/>
      <c r="AQ179" s="1968"/>
      <c r="AR179" s="1968"/>
      <c r="AS179" s="1968"/>
      <c r="AT179" s="1968"/>
      <c r="AU179" s="1968"/>
      <c r="AV179" s="1968"/>
      <c r="AW179" s="1968"/>
      <c r="AX179" s="1968"/>
      <c r="AY179" s="1968"/>
      <c r="AZ179" s="1968"/>
      <c r="BA179" s="1968"/>
      <c r="BB179" s="1968"/>
      <c r="BC179" s="1968"/>
      <c r="BD179" s="1968"/>
      <c r="BE179" s="1968"/>
      <c r="BF179" s="1968"/>
      <c r="BG179" s="7235"/>
    </row>
    <row customHeight="1" ht="0.75">
      <c r="A180" s="1312" t="s">
        <v>1060</v>
      </c>
      <c r="B180" s="1312"/>
      <c r="C180" s="1312"/>
      <c r="D180" s="1306"/>
      <c r="E180" s="1316"/>
      <c r="F180" s="2695">
        <v>2028</v>
      </c>
      <c r="G180" s="2674"/>
      <c r="H180" s="2699" t="s">
        <v>398</v>
      </c>
      <c r="I180" s="2700"/>
      <c r="J180" s="2701"/>
      <c r="K180" s="2701"/>
      <c r="L180" s="2693"/>
      <c r="M180" s="2427"/>
      <c r="N180" s="2179"/>
      <c r="O180" s="2178"/>
      <c r="P180" s="2179"/>
      <c r="Q180" s="2179"/>
      <c r="R180" s="2179"/>
      <c r="S180" s="2179"/>
      <c r="T180" s="2179"/>
      <c r="U180" s="2179"/>
      <c r="V180" s="2179"/>
      <c r="W180" s="2179"/>
      <c r="X180" s="2179"/>
      <c r="Y180" s="2179"/>
      <c r="Z180" s="2179"/>
      <c r="AA180" s="2179"/>
      <c r="AB180" s="2179"/>
      <c r="AC180" s="2179"/>
      <c r="AD180" s="2179"/>
      <c r="AE180" s="2179"/>
      <c r="AF180" s="2697"/>
      <c r="AG180" s="2693"/>
      <c r="AH180" s="2693"/>
      <c r="AI180" s="2697"/>
      <c r="AJ180" s="2693"/>
      <c r="AK180" s="2693"/>
      <c r="AL180" s="2131"/>
      <c r="AM180" s="1968"/>
      <c r="AN180" s="1968"/>
      <c r="AO180" s="1968"/>
      <c r="AP180" s="1968"/>
      <c r="AQ180" s="1968"/>
      <c r="AR180" s="1968"/>
      <c r="AS180" s="1968"/>
      <c r="AT180" s="1968"/>
      <c r="AU180" s="1968"/>
      <c r="AV180" s="1968"/>
      <c r="AW180" s="1968"/>
      <c r="AX180" s="1968"/>
      <c r="AY180" s="1968"/>
      <c r="AZ180" s="1968"/>
      <c r="BA180" s="1968"/>
      <c r="BB180" s="1968"/>
      <c r="BC180" s="1968"/>
      <c r="BD180" s="1968"/>
      <c r="BE180" s="1968"/>
      <c r="BF180" s="1968"/>
      <c r="BG180" s="7235"/>
    </row>
    <row customHeight="1" ht="0.75">
      <c r="A181" s="1312" t="s">
        <v>1060</v>
      </c>
      <c r="B181" s="1312"/>
      <c r="C181" s="1312"/>
      <c r="D181" s="1306"/>
      <c r="E181" s="1316"/>
      <c r="F181" s="2695"/>
      <c r="G181" s="2674"/>
      <c r="H181" s="2699"/>
      <c r="I181" s="2700"/>
      <c r="J181" s="2701"/>
      <c r="K181" s="2701"/>
      <c r="L181" s="2693"/>
      <c r="M181" s="2427"/>
      <c r="N181" s="2702"/>
      <c r="O181" s="2703"/>
      <c r="P181" s="2747"/>
      <c r="Q181" s="2698"/>
      <c r="R181" s="2698"/>
      <c r="S181" s="2698"/>
      <c r="T181" s="2698"/>
      <c r="U181" s="2698"/>
      <c r="V181" s="2698"/>
      <c r="W181" s="2698"/>
      <c r="X181" s="2698"/>
      <c r="Y181" s="2698"/>
      <c r="Z181" s="2180"/>
      <c r="AA181" s="2181"/>
      <c r="AB181" s="2181"/>
      <c r="AC181" s="2182"/>
      <c r="AD181" s="2182"/>
      <c r="AE181" s="2183"/>
      <c r="AF181" s="2697"/>
      <c r="AG181" s="2693"/>
      <c r="AH181" s="2693"/>
      <c r="AI181" s="2697"/>
      <c r="AJ181" s="2693"/>
      <c r="AK181" s="2693"/>
      <c r="AL181" s="2131"/>
      <c r="AM181" s="1968"/>
      <c r="AN181" s="1968"/>
      <c r="AO181" s="1968"/>
      <c r="AP181" s="1968"/>
      <c r="AQ181" s="1968"/>
      <c r="AR181" s="1968"/>
      <c r="AS181" s="1968"/>
      <c r="AT181" s="1968"/>
      <c r="AU181" s="1968"/>
      <c r="AV181" s="1968"/>
      <c r="AW181" s="1968"/>
      <c r="AX181" s="1968"/>
      <c r="AY181" s="1968"/>
      <c r="AZ181" s="1968"/>
      <c r="BA181" s="1968"/>
      <c r="BB181" s="1968"/>
      <c r="BC181" s="1968"/>
      <c r="BD181" s="1968"/>
      <c r="BE181" s="1968"/>
      <c r="BF181" s="1968"/>
      <c r="BG181" s="7235"/>
    </row>
    <row customHeight="1" ht="0.75">
      <c r="A182" s="1312" t="s">
        <v>1060</v>
      </c>
      <c r="B182" s="1312"/>
      <c r="C182" s="1312"/>
      <c r="D182" s="1306"/>
      <c r="E182" s="1316"/>
      <c r="F182" s="2695"/>
      <c r="G182" s="2674"/>
      <c r="H182" s="2699"/>
      <c r="I182" s="2700"/>
      <c r="J182" s="2701"/>
      <c r="K182" s="2701"/>
      <c r="L182" s="2693"/>
      <c r="M182" s="2427"/>
      <c r="N182" s="2702"/>
      <c r="O182" s="2703"/>
      <c r="P182" s="2748"/>
      <c r="Q182" s="2698"/>
      <c r="R182" s="2698"/>
      <c r="S182" s="2698"/>
      <c r="T182" s="2698"/>
      <c r="U182" s="2698"/>
      <c r="V182" s="2698"/>
      <c r="W182" s="2698"/>
      <c r="X182" s="2698"/>
      <c r="Y182" s="2698"/>
      <c r="Z182" s="2184"/>
      <c r="AA182" s="2185"/>
      <c r="AB182" s="2186"/>
      <c r="AC182" s="2187"/>
      <c r="AD182" s="2186"/>
      <c r="AE182" s="2187"/>
      <c r="AF182" s="2697"/>
      <c r="AG182" s="2693"/>
      <c r="AH182" s="2693"/>
      <c r="AI182" s="2697"/>
      <c r="AJ182" s="2693"/>
      <c r="AK182" s="2693"/>
      <c r="AL182" s="2131"/>
      <c r="AM182" s="1968"/>
      <c r="AN182" s="1968"/>
      <c r="AO182" s="1968"/>
      <c r="AP182" s="1968"/>
      <c r="AQ182" s="1968"/>
      <c r="AR182" s="1968"/>
      <c r="AS182" s="1968"/>
      <c r="AT182" s="1968"/>
      <c r="AU182" s="1968"/>
      <c r="AV182" s="1968"/>
      <c r="AW182" s="1968"/>
      <c r="AX182" s="1968"/>
      <c r="AY182" s="1968"/>
      <c r="AZ182" s="1968"/>
      <c r="BA182" s="1968"/>
      <c r="BB182" s="1968"/>
      <c r="BC182" s="1968"/>
      <c r="BD182" s="1968"/>
      <c r="BE182" s="1968"/>
      <c r="BF182" s="1968"/>
      <c r="BG182" s="7235"/>
    </row>
    <row customHeight="1" ht="0.75">
      <c r="A183" s="1312" t="s">
        <v>1060</v>
      </c>
      <c r="B183" s="1312"/>
      <c r="C183" s="1312"/>
      <c r="D183" s="1306"/>
      <c r="E183" s="1316"/>
      <c r="F183" s="2695"/>
      <c r="G183" s="2674"/>
      <c r="H183" s="2699"/>
      <c r="I183" s="2700"/>
      <c r="J183" s="2701"/>
      <c r="K183" s="2701"/>
      <c r="L183" s="2693"/>
      <c r="M183" s="2427"/>
      <c r="N183" s="2702"/>
      <c r="O183" s="2703"/>
      <c r="P183" s="2749"/>
      <c r="Q183" s="2698"/>
      <c r="R183" s="2698"/>
      <c r="S183" s="2698"/>
      <c r="T183" s="2698"/>
      <c r="U183" s="2698"/>
      <c r="V183" s="2698"/>
      <c r="W183" s="2698"/>
      <c r="X183" s="2698"/>
      <c r="Y183" s="2698"/>
      <c r="Z183" s="2180"/>
      <c r="AA183" s="2181"/>
      <c r="AB183" s="2188"/>
      <c r="AC183" s="2182"/>
      <c r="AD183" s="2182"/>
      <c r="AE183" s="2189"/>
      <c r="AF183" s="2697"/>
      <c r="AG183" s="2693"/>
      <c r="AH183" s="2693"/>
      <c r="AI183" s="2697"/>
      <c r="AJ183" s="2693"/>
      <c r="AK183" s="2693"/>
      <c r="AL183" s="2131"/>
      <c r="AM183" s="1968"/>
      <c r="AN183" s="1968"/>
      <c r="AO183" s="1968"/>
      <c r="AP183" s="1968"/>
      <c r="AQ183" s="1968"/>
      <c r="AR183" s="1968"/>
      <c r="AS183" s="1968"/>
      <c r="AT183" s="1968"/>
      <c r="AU183" s="1968"/>
      <c r="AV183" s="1968"/>
      <c r="AW183" s="1968"/>
      <c r="AX183" s="1968"/>
      <c r="AY183" s="1968"/>
      <c r="AZ183" s="1968"/>
      <c r="BA183" s="1968"/>
      <c r="BB183" s="1968"/>
      <c r="BC183" s="1968"/>
      <c r="BD183" s="1968"/>
      <c r="BE183" s="1968"/>
      <c r="BF183" s="1968"/>
      <c r="BG183" s="7235"/>
    </row>
    <row customHeight="1" ht="0.75">
      <c r="A184" s="1312" t="s">
        <v>1060</v>
      </c>
      <c r="B184" s="1312"/>
      <c r="C184" s="1312"/>
      <c r="D184" s="1306"/>
      <c r="E184" s="1316"/>
      <c r="F184" s="2695"/>
      <c r="G184" s="2674"/>
      <c r="H184" s="2699"/>
      <c r="I184" s="2700"/>
      <c r="J184" s="2701"/>
      <c r="K184" s="2701"/>
      <c r="L184" s="2693"/>
      <c r="M184" s="2427"/>
      <c r="N184" s="2181"/>
      <c r="O184" s="2181"/>
      <c r="P184" s="2188"/>
      <c r="Q184" s="2181"/>
      <c r="R184" s="2181"/>
      <c r="S184" s="2181"/>
      <c r="T184" s="2181"/>
      <c r="U184" s="2181"/>
      <c r="V184" s="2181"/>
      <c r="W184" s="2181"/>
      <c r="X184" s="2181"/>
      <c r="Y184" s="2181"/>
      <c r="Z184" s="2181"/>
      <c r="AA184" s="2181"/>
      <c r="AB184" s="2181"/>
      <c r="AC184" s="2181"/>
      <c r="AD184" s="2181"/>
      <c r="AE184" s="2190"/>
      <c r="AF184" s="2697"/>
      <c r="AG184" s="2693"/>
      <c r="AH184" s="2693"/>
      <c r="AI184" s="2697"/>
      <c r="AJ184" s="2693"/>
      <c r="AK184" s="2693"/>
      <c r="AL184" s="2131"/>
      <c r="AM184" s="1968"/>
      <c r="AN184" s="1968"/>
      <c r="AO184" s="1968"/>
      <c r="AP184" s="1968"/>
      <c r="AQ184" s="1968"/>
      <c r="AR184" s="1968"/>
      <c r="AS184" s="1968"/>
      <c r="AT184" s="1968"/>
      <c r="AU184" s="1968"/>
      <c r="AV184" s="1968"/>
      <c r="AW184" s="1968"/>
      <c r="AX184" s="1968"/>
      <c r="AY184" s="1968"/>
      <c r="AZ184" s="1968"/>
      <c r="BA184" s="1968"/>
      <c r="BB184" s="1968"/>
      <c r="BC184" s="1968"/>
      <c r="BD184" s="1968"/>
      <c r="BE184" s="1968"/>
      <c r="BF184" s="1968"/>
      <c r="BG184" s="7235"/>
    </row>
    <row customHeight="1" ht="12">
      <c r="A185" s="1312" t="s">
        <v>1060</v>
      </c>
      <c r="B185" s="1312"/>
      <c r="C185" s="1312"/>
      <c r="D185" s="1306"/>
      <c r="E185" s="1316"/>
      <c r="F185" s="2696"/>
      <c r="G185" s="1336"/>
      <c r="H185" s="1336"/>
      <c r="I185" s="2694" t="s">
        <v>1100</v>
      </c>
      <c r="J185" s="2694"/>
      <c r="K185" s="2694"/>
      <c r="L185" s="1319"/>
      <c r="M185" s="1319"/>
      <c r="N185" s="1320"/>
      <c r="O185" s="1320"/>
      <c r="P185" s="1320"/>
      <c r="Q185" s="1320"/>
      <c r="R185" s="1320"/>
      <c r="S185" s="1320"/>
      <c r="T185" s="1320"/>
      <c r="U185" s="1320"/>
      <c r="V185" s="1320"/>
      <c r="W185" s="1320"/>
      <c r="X185" s="1320"/>
      <c r="Y185" s="1320"/>
      <c r="Z185" s="1320"/>
      <c r="AA185" s="1320"/>
      <c r="AB185" s="1320"/>
      <c r="AC185" s="1320"/>
      <c r="AD185" s="1320"/>
      <c r="AE185" s="1320"/>
      <c r="AF185" s="1320"/>
      <c r="AG185" s="1319"/>
      <c r="AH185" s="1319"/>
      <c r="AI185" s="1320"/>
      <c r="AJ185" s="1319"/>
      <c r="AK185" s="1320"/>
      <c r="AL185" s="2131"/>
      <c r="AM185" s="1968"/>
      <c r="AN185" s="1968"/>
      <c r="AO185" s="1968"/>
      <c r="AP185" s="1968"/>
      <c r="AQ185" s="1968"/>
      <c r="AR185" s="1968"/>
      <c r="AS185" s="1968"/>
      <c r="AT185" s="1968"/>
      <c r="AU185" s="1968"/>
      <c r="AV185" s="1968"/>
      <c r="AW185" s="1968"/>
      <c r="AX185" s="1968"/>
      <c r="AY185" s="1968"/>
      <c r="AZ185" s="1968"/>
      <c r="BA185" s="1968"/>
      <c r="BB185" s="1968"/>
      <c r="BC185" s="1968"/>
      <c r="BD185" s="1968"/>
      <c r="BE185" s="1968"/>
      <c r="BF185" s="1968"/>
      <c r="BG185" s="7235"/>
    </row>
    <row customHeight="1" ht="21">
      <c r="A186" s="1313" t="s">
        <v>1069</v>
      </c>
      <c r="B186" s="1312"/>
      <c r="C186" s="1312"/>
      <c r="D186" s="1306"/>
      <c r="E186" s="1316" t="s">
        <v>22</v>
      </c>
      <c r="F186" s="1268" t="str">
        <f>INDEX(IP_MAIN_LIST_NAME_IP,MATCH(A186,IP_MAIN_LIST_IP_ID,0))&amp;" ("&amp;INDEX(IP_MAIN_START_DATE,MATCH(A186,IP_MAIN_LIST_IP_ID,0))&amp;"-"&amp;INDEX(IP_MAIN_END_DATE,MATCH(A186,IP_MAIN_LIST_IP_ID,0))&amp;")"</f>
        <v>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 (01.01.2024-31.12.2028)</v>
      </c>
      <c r="G186" s="1269"/>
      <c r="H186" s="1269"/>
      <c r="I186" s="1331"/>
      <c r="J186" s="1331"/>
      <c r="K186" s="1332"/>
      <c r="L186" s="1332"/>
      <c r="M186" s="1332"/>
      <c r="N186" s="1333"/>
      <c r="O186" s="1333"/>
      <c r="P186" s="1333"/>
      <c r="Q186" s="1333"/>
      <c r="R186" s="1333"/>
      <c r="S186" s="1333"/>
      <c r="T186" s="1333"/>
      <c r="U186" s="1333"/>
      <c r="V186" s="1333"/>
      <c r="W186" s="1333"/>
      <c r="X186" s="1333"/>
      <c r="Y186" s="1333"/>
      <c r="Z186" s="1333"/>
      <c r="AA186" s="1333"/>
      <c r="AB186" s="1333"/>
      <c r="AC186" s="1333"/>
      <c r="AD186" s="1333"/>
      <c r="AE186" s="1334"/>
      <c r="AF186" s="1332"/>
      <c r="AG186" s="1332"/>
      <c r="AH186" s="1332"/>
      <c r="AI186" s="1332"/>
      <c r="AJ186" s="1332"/>
      <c r="AK186" s="1332"/>
      <c r="AL186" s="2131"/>
      <c r="AM186" s="1968"/>
      <c r="AN186" s="1968"/>
      <c r="AO186" s="1968"/>
      <c r="AP186" s="1968"/>
      <c r="AQ186" s="1968"/>
      <c r="AR186" s="1968"/>
      <c r="AS186" s="1968"/>
      <c r="AT186" s="1968"/>
      <c r="AU186" s="1968"/>
      <c r="AV186" s="1968"/>
      <c r="AW186" s="1968"/>
      <c r="AX186" s="1968"/>
      <c r="AY186" s="1968"/>
      <c r="AZ186" s="1968"/>
      <c r="BA186" s="1968"/>
      <c r="BB186" s="1968"/>
      <c r="BC186" s="1968"/>
      <c r="BD186" s="1968"/>
      <c r="BE186" s="1968"/>
      <c r="BF186" s="1968"/>
      <c r="BG186" s="7235"/>
    </row>
    <row customHeight="1" ht="0.75">
      <c r="A187" s="1312" t="s">
        <v>1069</v>
      </c>
      <c r="B187" s="1312"/>
      <c r="C187" s="1312"/>
      <c r="D187" s="1306"/>
      <c r="E187" s="1316"/>
      <c r="F187" s="2695">
        <v>2024</v>
      </c>
      <c r="G187" s="2674"/>
      <c r="H187" s="2699" t="s">
        <v>398</v>
      </c>
      <c r="I187" s="2700"/>
      <c r="J187" s="2701"/>
      <c r="K187" s="2701"/>
      <c r="L187" s="2693"/>
      <c r="M187" s="2427"/>
      <c r="N187" s="2179"/>
      <c r="O187" s="2178"/>
      <c r="P187" s="2179"/>
      <c r="Q187" s="2179"/>
      <c r="R187" s="2179"/>
      <c r="S187" s="2179"/>
      <c r="T187" s="2179"/>
      <c r="U187" s="2179"/>
      <c r="V187" s="2179"/>
      <c r="W187" s="2179"/>
      <c r="X187" s="2179"/>
      <c r="Y187" s="2179"/>
      <c r="Z187" s="2179"/>
      <c r="AA187" s="2179"/>
      <c r="AB187" s="2179"/>
      <c r="AC187" s="2179"/>
      <c r="AD187" s="2179"/>
      <c r="AE187" s="2179"/>
      <c r="AF187" s="2697"/>
      <c r="AG187" s="2693"/>
      <c r="AH187" s="2693"/>
      <c r="AI187" s="2697"/>
      <c r="AJ187" s="2693"/>
      <c r="AK187" s="2693"/>
      <c r="AL187" s="2131"/>
      <c r="AM187" s="1968"/>
      <c r="AN187" s="1968"/>
      <c r="AO187" s="1968"/>
      <c r="AP187" s="1968"/>
      <c r="AQ187" s="1968"/>
      <c r="AR187" s="1968"/>
      <c r="AS187" s="1968"/>
      <c r="AT187" s="1968"/>
      <c r="AU187" s="1968"/>
      <c r="AV187" s="1968"/>
      <c r="AW187" s="1968"/>
      <c r="AX187" s="1968"/>
      <c r="AY187" s="1968"/>
      <c r="AZ187" s="1968"/>
      <c r="BA187" s="1968"/>
      <c r="BB187" s="1968"/>
      <c r="BC187" s="1968"/>
      <c r="BD187" s="1968"/>
      <c r="BE187" s="1968"/>
      <c r="BF187" s="1968"/>
      <c r="BG187" s="7235"/>
    </row>
    <row customHeight="1" ht="0.75">
      <c r="A188" s="1312" t="s">
        <v>1069</v>
      </c>
      <c r="B188" s="1312"/>
      <c r="C188" s="1312"/>
      <c r="D188" s="1306"/>
      <c r="E188" s="1316"/>
      <c r="F188" s="2695"/>
      <c r="G188" s="2674"/>
      <c r="H188" s="2699"/>
      <c r="I188" s="2700"/>
      <c r="J188" s="2701"/>
      <c r="K188" s="2701"/>
      <c r="L188" s="2693"/>
      <c r="M188" s="2427"/>
      <c r="N188" s="2702"/>
      <c r="O188" s="2703"/>
      <c r="P188" s="2747"/>
      <c r="Q188" s="2698"/>
      <c r="R188" s="2698"/>
      <c r="S188" s="2698"/>
      <c r="T188" s="2698"/>
      <c r="U188" s="2698"/>
      <c r="V188" s="2698"/>
      <c r="W188" s="2698"/>
      <c r="X188" s="2698"/>
      <c r="Y188" s="2698"/>
      <c r="Z188" s="2180"/>
      <c r="AA188" s="2181"/>
      <c r="AB188" s="2181"/>
      <c r="AC188" s="2182"/>
      <c r="AD188" s="2182"/>
      <c r="AE188" s="2183"/>
      <c r="AF188" s="2697"/>
      <c r="AG188" s="2693"/>
      <c r="AH188" s="2693"/>
      <c r="AI188" s="2697"/>
      <c r="AJ188" s="2693"/>
      <c r="AK188" s="2693"/>
      <c r="AL188" s="2131"/>
      <c r="AM188" s="1968"/>
      <c r="AN188" s="1968"/>
      <c r="AO188" s="1968"/>
      <c r="AP188" s="1968"/>
      <c r="AQ188" s="1968"/>
      <c r="AR188" s="1968"/>
      <c r="AS188" s="1968"/>
      <c r="AT188" s="1968"/>
      <c r="AU188" s="1968"/>
      <c r="AV188" s="1968"/>
      <c r="AW188" s="1968"/>
      <c r="AX188" s="1968"/>
      <c r="AY188" s="1968"/>
      <c r="AZ188" s="1968"/>
      <c r="BA188" s="1968"/>
      <c r="BB188" s="1968"/>
      <c r="BC188" s="1968"/>
      <c r="BD188" s="1968"/>
      <c r="BE188" s="1968"/>
      <c r="BF188" s="1968"/>
      <c r="BG188" s="7235"/>
    </row>
    <row customHeight="1" ht="0.75">
      <c r="A189" s="1312" t="s">
        <v>1069</v>
      </c>
      <c r="B189" s="1312"/>
      <c r="C189" s="1312"/>
      <c r="D189" s="1306"/>
      <c r="E189" s="1316"/>
      <c r="F189" s="2695"/>
      <c r="G189" s="2674"/>
      <c r="H189" s="2699"/>
      <c r="I189" s="2700"/>
      <c r="J189" s="2701"/>
      <c r="K189" s="2701"/>
      <c r="L189" s="2693"/>
      <c r="M189" s="2427"/>
      <c r="N189" s="2702"/>
      <c r="O189" s="2703"/>
      <c r="P189" s="2748"/>
      <c r="Q189" s="2698"/>
      <c r="R189" s="2698"/>
      <c r="S189" s="2698"/>
      <c r="T189" s="2698"/>
      <c r="U189" s="2698"/>
      <c r="V189" s="2698"/>
      <c r="W189" s="2698"/>
      <c r="X189" s="2698"/>
      <c r="Y189" s="2698"/>
      <c r="Z189" s="2184"/>
      <c r="AA189" s="2185"/>
      <c r="AB189" s="2186"/>
      <c r="AC189" s="2187"/>
      <c r="AD189" s="2186"/>
      <c r="AE189" s="2187"/>
      <c r="AF189" s="2697"/>
      <c r="AG189" s="2693"/>
      <c r="AH189" s="2693"/>
      <c r="AI189" s="2697"/>
      <c r="AJ189" s="2693"/>
      <c r="AK189" s="2693"/>
      <c r="AL189" s="2131"/>
      <c r="AM189" s="1968"/>
      <c r="AN189" s="1968"/>
      <c r="AO189" s="1968"/>
      <c r="AP189" s="1968"/>
      <c r="AQ189" s="1968"/>
      <c r="AR189" s="1968"/>
      <c r="AS189" s="1968"/>
      <c r="AT189" s="1968"/>
      <c r="AU189" s="1968"/>
      <c r="AV189" s="1968"/>
      <c r="AW189" s="1968"/>
      <c r="AX189" s="1968"/>
      <c r="AY189" s="1968"/>
      <c r="AZ189" s="1968"/>
      <c r="BA189" s="1968"/>
      <c r="BB189" s="1968"/>
      <c r="BC189" s="1968"/>
      <c r="BD189" s="1968"/>
      <c r="BE189" s="1968"/>
      <c r="BF189" s="1968"/>
      <c r="BG189" s="7235"/>
    </row>
    <row customHeight="1" ht="0.75">
      <c r="A190" s="1312" t="s">
        <v>1069</v>
      </c>
      <c r="B190" s="1312"/>
      <c r="C190" s="1312"/>
      <c r="D190" s="1306"/>
      <c r="E190" s="1316"/>
      <c r="F190" s="2695"/>
      <c r="G190" s="2674"/>
      <c r="H190" s="2699"/>
      <c r="I190" s="2700"/>
      <c r="J190" s="2701"/>
      <c r="K190" s="2701"/>
      <c r="L190" s="2693"/>
      <c r="M190" s="2427"/>
      <c r="N190" s="2702"/>
      <c r="O190" s="2703"/>
      <c r="P190" s="2749"/>
      <c r="Q190" s="2698"/>
      <c r="R190" s="2698"/>
      <c r="S190" s="2698"/>
      <c r="T190" s="2698"/>
      <c r="U190" s="2698"/>
      <c r="V190" s="2698"/>
      <c r="W190" s="2698"/>
      <c r="X190" s="2698"/>
      <c r="Y190" s="2698"/>
      <c r="Z190" s="2180"/>
      <c r="AA190" s="2181"/>
      <c r="AB190" s="2188"/>
      <c r="AC190" s="2182"/>
      <c r="AD190" s="2182"/>
      <c r="AE190" s="2189"/>
      <c r="AF190" s="2697"/>
      <c r="AG190" s="2693"/>
      <c r="AH190" s="2693"/>
      <c r="AI190" s="2697"/>
      <c r="AJ190" s="2693"/>
      <c r="AK190" s="2693"/>
      <c r="AL190" s="2131"/>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8"/>
      <c r="BF190" s="1968"/>
      <c r="BG190" s="7235"/>
    </row>
    <row customHeight="1" ht="0.75">
      <c r="A191" s="1312" t="s">
        <v>1069</v>
      </c>
      <c r="B191" s="1312"/>
      <c r="C191" s="1312"/>
      <c r="D191" s="1306"/>
      <c r="E191" s="1316"/>
      <c r="F191" s="2695"/>
      <c r="G191" s="2674"/>
      <c r="H191" s="2699"/>
      <c r="I191" s="2700"/>
      <c r="J191" s="2701"/>
      <c r="K191" s="2701"/>
      <c r="L191" s="2693"/>
      <c r="M191" s="2427"/>
      <c r="N191" s="2181"/>
      <c r="O191" s="2181"/>
      <c r="P191" s="2188"/>
      <c r="Q191" s="2181"/>
      <c r="R191" s="2181"/>
      <c r="S191" s="2181"/>
      <c r="T191" s="2181"/>
      <c r="U191" s="2181"/>
      <c r="V191" s="2181"/>
      <c r="W191" s="2181"/>
      <c r="X191" s="2181"/>
      <c r="Y191" s="2181"/>
      <c r="Z191" s="2181"/>
      <c r="AA191" s="2181"/>
      <c r="AB191" s="2181"/>
      <c r="AC191" s="2181"/>
      <c r="AD191" s="2181"/>
      <c r="AE191" s="2190"/>
      <c r="AF191" s="2697"/>
      <c r="AG191" s="2693"/>
      <c r="AH191" s="2693"/>
      <c r="AI191" s="2697"/>
      <c r="AJ191" s="2693"/>
      <c r="AK191" s="2693"/>
      <c r="AL191" s="2131"/>
      <c r="AM191" s="1968"/>
      <c r="AN191" s="1968"/>
      <c r="AO191" s="1968"/>
      <c r="AP191" s="1968"/>
      <c r="AQ191" s="1968"/>
      <c r="AR191" s="1968"/>
      <c r="AS191" s="1968"/>
      <c r="AT191" s="1968"/>
      <c r="AU191" s="1968"/>
      <c r="AV191" s="1968"/>
      <c r="AW191" s="1968"/>
      <c r="AX191" s="1968"/>
      <c r="AY191" s="1968"/>
      <c r="AZ191" s="1968"/>
      <c r="BA191" s="1968"/>
      <c r="BB191" s="1968"/>
      <c r="BC191" s="1968"/>
      <c r="BD191" s="1968"/>
      <c r="BE191" s="1968"/>
      <c r="BF191" s="1968"/>
      <c r="BG191" s="7235"/>
    </row>
    <row customHeight="1" ht="11.25">
      <c r="A192" s="1312" t="s">
        <v>1069</v>
      </c>
      <c r="B192" s="1312" t="s">
        <v>1168</v>
      </c>
      <c r="C192" s="1312"/>
      <c r="D192" s="1306"/>
      <c r="E192" s="1316"/>
      <c r="F192" s="1974"/>
      <c r="G192" s="7143" t="s">
        <v>106</v>
      </c>
      <c r="H192" s="2674" t="s">
        <v>121</v>
      </c>
      <c r="I192" s="2675" t="s">
        <v>1169</v>
      </c>
      <c r="J192" s="2644" t="s">
        <v>1170</v>
      </c>
      <c r="K192" s="2676" t="s">
        <v>1171</v>
      </c>
      <c r="L192" s="2266" t="s">
        <v>19</v>
      </c>
      <c r="M192" s="2267"/>
      <c r="N192" s="2129"/>
      <c r="O192" s="1323" t="s">
        <v>398</v>
      </c>
      <c r="P192" s="1324"/>
      <c r="Q192" s="1324"/>
      <c r="R192" s="1324"/>
      <c r="S192" s="1324"/>
      <c r="T192" s="1324"/>
      <c r="U192" s="1324"/>
      <c r="V192" s="1324"/>
      <c r="W192" s="1324"/>
      <c r="X192" s="1324"/>
      <c r="Y192" s="1324"/>
      <c r="Z192" s="1324"/>
      <c r="AA192" s="1324"/>
      <c r="AB192" s="1324"/>
      <c r="AC192" s="1324"/>
      <c r="AD192" s="1324"/>
      <c r="AE192" s="1324"/>
      <c r="AF192" s="2665">
        <v>2026</v>
      </c>
      <c r="AG192" s="2666" t="s">
        <v>1103</v>
      </c>
      <c r="AH192" s="2666" t="s">
        <v>1162</v>
      </c>
      <c r="AI192" s="8456"/>
      <c r="AJ192" s="2666" t="s">
        <v>1105</v>
      </c>
      <c r="AK192" s="2666" t="s">
        <v>1105</v>
      </c>
      <c r="AL192" s="2131"/>
      <c r="AM192" s="1968"/>
      <c r="AN192" s="1968"/>
      <c r="AO192" s="1968"/>
      <c r="AP192" s="1968"/>
      <c r="AQ192" s="1968"/>
      <c r="AR192" s="1968"/>
      <c r="AS192" s="1968"/>
      <c r="AT192" s="1968"/>
      <c r="AU192" s="1968"/>
      <c r="AV192" s="1968"/>
      <c r="AW192" s="1968"/>
      <c r="AX192" s="1968"/>
      <c r="AY192" s="1968"/>
      <c r="AZ192" s="1968"/>
      <c r="BA192" s="1968"/>
      <c r="BB192" s="1968"/>
      <c r="BC192" s="1968"/>
      <c r="BD192" s="1968"/>
      <c r="BE192" s="1968"/>
      <c r="BF192" s="1968"/>
      <c r="BG192" s="7235"/>
    </row>
    <row customHeight="1" ht="11.25">
      <c r="A193" s="1312" t="s">
        <v>1069</v>
      </c>
      <c r="B193" s="1312"/>
      <c r="C193" s="1312"/>
      <c r="D193" s="1306"/>
      <c r="E193" s="1316"/>
      <c r="F193" s="1974"/>
      <c r="G193" s="1975"/>
      <c r="H193" s="2674" t="s">
        <v>398</v>
      </c>
      <c r="I193" s="2675"/>
      <c r="J193" s="2644"/>
      <c r="K193" s="2676"/>
      <c r="L193" s="2266"/>
      <c r="M193" s="2267"/>
      <c r="N193" s="2667"/>
      <c r="O193" s="2668">
        <v>1</v>
      </c>
      <c r="P193" s="2669" t="s">
        <v>19</v>
      </c>
      <c r="Q193" s="2672" t="s">
        <v>22</v>
      </c>
      <c r="R193" s="2672" t="s">
        <v>22</v>
      </c>
      <c r="S193" s="2672" t="s">
        <v>22</v>
      </c>
      <c r="T193" s="2672" t="s">
        <v>22</v>
      </c>
      <c r="U193" s="2672" t="s">
        <v>22</v>
      </c>
      <c r="V193" s="2672" t="s">
        <v>22</v>
      </c>
      <c r="W193" s="2672" t="s">
        <v>22</v>
      </c>
      <c r="X193" s="2672" t="s">
        <v>22</v>
      </c>
      <c r="Y193" s="2672"/>
      <c r="Z193" s="1321"/>
      <c r="AA193" s="1322"/>
      <c r="AB193" s="1322"/>
      <c r="AC193" s="1326"/>
      <c r="AD193" s="1326"/>
      <c r="AE193" s="1327"/>
      <c r="AF193" s="2665"/>
      <c r="AG193" s="2666"/>
      <c r="AH193" s="2666"/>
      <c r="AI193" s="8456"/>
      <c r="AJ193" s="2666"/>
      <c r="AK193" s="2666"/>
      <c r="AL193" s="2131"/>
      <c r="AM193" s="1968"/>
      <c r="AN193" s="1968"/>
      <c r="AO193" s="1968"/>
      <c r="AP193" s="1968"/>
      <c r="AQ193" s="1968"/>
      <c r="AR193" s="1968"/>
      <c r="AS193" s="1968"/>
      <c r="AT193" s="1968"/>
      <c r="AU193" s="1968"/>
      <c r="AV193" s="1968"/>
      <c r="AW193" s="1968"/>
      <c r="AX193" s="1968"/>
      <c r="AY193" s="1968"/>
      <c r="AZ193" s="1968"/>
      <c r="BA193" s="1968"/>
      <c r="BB193" s="1968"/>
      <c r="BC193" s="1968"/>
      <c r="BD193" s="1968"/>
      <c r="BE193" s="1968"/>
      <c r="BF193" s="1968"/>
      <c r="BG193" s="7235"/>
    </row>
    <row customHeight="1" ht="11.25">
      <c r="A194" s="1312" t="s">
        <v>1069</v>
      </c>
      <c r="B194" s="1312"/>
      <c r="C194" s="1312"/>
      <c r="D194" s="1306"/>
      <c r="E194" s="1316"/>
      <c r="F194" s="1974"/>
      <c r="G194" s="1975"/>
      <c r="H194" s="2674" t="s">
        <v>398</v>
      </c>
      <c r="I194" s="2675"/>
      <c r="J194" s="2644"/>
      <c r="K194" s="2676"/>
      <c r="L194" s="2266"/>
      <c r="M194" s="2267"/>
      <c r="N194" s="2667"/>
      <c r="O194" s="2668"/>
      <c r="P194" s="2670"/>
      <c r="Q194" s="2672"/>
      <c r="R194" s="2672"/>
      <c r="S194" s="2673"/>
      <c r="T194" s="2672"/>
      <c r="U194" s="2672"/>
      <c r="V194" s="2672"/>
      <c r="W194" s="2672"/>
      <c r="X194" s="2672"/>
      <c r="Y194" s="2672"/>
      <c r="Z194" s="1973"/>
      <c r="AA194" s="1939">
        <v>1</v>
      </c>
      <c r="AB194" s="1325" t="s">
        <v>1172</v>
      </c>
      <c r="AC194" s="1315">
        <v>50232.8128854214</v>
      </c>
      <c r="AD194" s="1325" t="str">
        <f>AB194</f>
        <v>  За счет платы за технологическое присоединение</v>
      </c>
      <c r="AE194" s="1315">
        <v>126774</v>
      </c>
      <c r="AF194" s="2665"/>
      <c r="AG194" s="2666"/>
      <c r="AH194" s="2666"/>
      <c r="AI194" s="8456"/>
      <c r="AJ194" s="2666"/>
      <c r="AK194" s="2666"/>
      <c r="AL194" s="2131"/>
      <c r="AM194" s="1968"/>
      <c r="AN194" s="1968"/>
      <c r="AO194" s="1968"/>
      <c r="AP194" s="1968"/>
      <c r="AQ194" s="1968"/>
      <c r="AR194" s="1968"/>
      <c r="AS194" s="1968"/>
      <c r="AT194" s="1968"/>
      <c r="AU194" s="1968"/>
      <c r="AV194" s="1968"/>
      <c r="AW194" s="1968"/>
      <c r="AX194" s="1968"/>
      <c r="AY194" s="1968"/>
      <c r="AZ194" s="1968"/>
      <c r="BA194" s="1968"/>
      <c r="BB194" s="1968"/>
      <c r="BC194" s="1968"/>
      <c r="BD194" s="1968"/>
      <c r="BE194" s="1968"/>
      <c r="BF194" s="1968"/>
      <c r="BG194" s="7235"/>
    </row>
    <row customHeight="1" ht="11.25">
      <c r="A195" s="1312" t="s">
        <v>1069</v>
      </c>
      <c r="B195" s="1312"/>
      <c r="C195" s="1312"/>
      <c r="D195" s="1306"/>
      <c r="E195" s="1316"/>
      <c r="F195" s="1974"/>
      <c r="G195" s="1975"/>
      <c r="H195" s="2674" t="s">
        <v>398</v>
      </c>
      <c r="I195" s="2675"/>
      <c r="J195" s="2644"/>
      <c r="K195" s="2676"/>
      <c r="L195" s="2266"/>
      <c r="M195" s="2267"/>
      <c r="N195" s="2667"/>
      <c r="O195" s="2668"/>
      <c r="P195" s="2671"/>
      <c r="Q195" s="2672"/>
      <c r="R195" s="2672"/>
      <c r="S195" s="2673"/>
      <c r="T195" s="2672"/>
      <c r="U195" s="2672"/>
      <c r="V195" s="2672"/>
      <c r="W195" s="2672"/>
      <c r="X195" s="2672"/>
      <c r="Y195" s="2672"/>
      <c r="Z195" s="1321"/>
      <c r="AA195" s="1322"/>
      <c r="AB195" s="1387" t="s">
        <v>1107</v>
      </c>
      <c r="AC195" s="1326"/>
      <c r="AD195" s="1326"/>
      <c r="AE195" s="1328"/>
      <c r="AF195" s="2665"/>
      <c r="AG195" s="2666"/>
      <c r="AH195" s="2666"/>
      <c r="AI195" s="8456"/>
      <c r="AJ195" s="2666"/>
      <c r="AK195" s="2666"/>
      <c r="AL195" s="2131"/>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8"/>
      <c r="BF195" s="1968"/>
      <c r="BG195" s="7235"/>
    </row>
    <row customHeight="1" ht="11.25">
      <c r="A196" s="1312" t="s">
        <v>1069</v>
      </c>
      <c r="B196" s="1312"/>
      <c r="C196" s="1312"/>
      <c r="D196" s="1306"/>
      <c r="E196" s="1316"/>
      <c r="F196" s="1974"/>
      <c r="G196" s="1975"/>
      <c r="H196" s="2674" t="s">
        <v>398</v>
      </c>
      <c r="I196" s="2675"/>
      <c r="J196" s="2644"/>
      <c r="K196" s="2676"/>
      <c r="L196" s="2266"/>
      <c r="M196" s="2267"/>
      <c r="N196" s="1321"/>
      <c r="O196" s="1322"/>
      <c r="P196" s="1314" t="s">
        <v>1108</v>
      </c>
      <c r="Q196" s="1322"/>
      <c r="R196" s="1322"/>
      <c r="S196" s="1322"/>
      <c r="T196" s="1322"/>
      <c r="U196" s="1322"/>
      <c r="V196" s="1322"/>
      <c r="W196" s="1322"/>
      <c r="X196" s="1322"/>
      <c r="Y196" s="1322"/>
      <c r="Z196" s="1322"/>
      <c r="AA196" s="1322"/>
      <c r="AB196" s="1322"/>
      <c r="AC196" s="1322"/>
      <c r="AD196" s="1322"/>
      <c r="AE196" s="1329"/>
      <c r="AF196" s="2665"/>
      <c r="AG196" s="2666"/>
      <c r="AH196" s="2666"/>
      <c r="AI196" s="8456"/>
      <c r="AJ196" s="2666"/>
      <c r="AK196" s="2666"/>
      <c r="AL196" s="2131"/>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8"/>
      <c r="BF196" s="1968"/>
      <c r="BG196" s="7235"/>
    </row>
    <row customHeight="1" ht="11.25">
      <c r="A197" s="1312" t="s">
        <v>1069</v>
      </c>
      <c r="B197" s="1312" t="s">
        <v>1168</v>
      </c>
      <c r="C197" s="1312"/>
      <c r="D197" s="1306"/>
      <c r="E197" s="1316"/>
      <c r="F197" s="1974"/>
      <c r="G197" s="7143" t="s">
        <v>106</v>
      </c>
      <c r="H197" s="2674" t="s">
        <v>105</v>
      </c>
      <c r="I197" s="2675" t="s">
        <v>1169</v>
      </c>
      <c r="J197" s="2644" t="s">
        <v>1170</v>
      </c>
      <c r="K197" s="2676" t="s">
        <v>1173</v>
      </c>
      <c r="L197" s="2266" t="s">
        <v>19</v>
      </c>
      <c r="M197" s="2267"/>
      <c r="N197" s="2129"/>
      <c r="O197" s="1323" t="s">
        <v>398</v>
      </c>
      <c r="P197" s="1324"/>
      <c r="Q197" s="1324"/>
      <c r="R197" s="1324"/>
      <c r="S197" s="1324"/>
      <c r="T197" s="1324"/>
      <c r="U197" s="1324"/>
      <c r="V197" s="1324"/>
      <c r="W197" s="1324"/>
      <c r="X197" s="1324"/>
      <c r="Y197" s="1324"/>
      <c r="Z197" s="1324"/>
      <c r="AA197" s="1324"/>
      <c r="AB197" s="1324"/>
      <c r="AC197" s="1324"/>
      <c r="AD197" s="1324"/>
      <c r="AE197" s="1324"/>
      <c r="AF197" s="2665">
        <v>2023</v>
      </c>
      <c r="AG197" s="2666" t="s">
        <v>1103</v>
      </c>
      <c r="AH197" s="2666" t="s">
        <v>1151</v>
      </c>
      <c r="AI197" s="2665">
        <v>2024</v>
      </c>
      <c r="AJ197" s="2666" t="s">
        <v>1103</v>
      </c>
      <c r="AK197" s="2666" t="s">
        <v>1154</v>
      </c>
      <c r="AL197" s="2131"/>
      <c r="AM197" s="1968"/>
      <c r="AN197" s="1968"/>
      <c r="AO197" s="1968"/>
      <c r="AP197" s="1968"/>
      <c r="AQ197" s="1968"/>
      <c r="AR197" s="1968"/>
      <c r="AS197" s="1968"/>
      <c r="AT197" s="1968"/>
      <c r="AU197" s="1968"/>
      <c r="AV197" s="1968"/>
      <c r="AW197" s="1968"/>
      <c r="AX197" s="1968"/>
      <c r="AY197" s="1968"/>
      <c r="AZ197" s="1968"/>
      <c r="BA197" s="1968"/>
      <c r="BB197" s="1968"/>
      <c r="BC197" s="1968"/>
      <c r="BD197" s="1968"/>
      <c r="BE197" s="1968"/>
      <c r="BF197" s="1968"/>
      <c r="BG197" s="7235"/>
    </row>
    <row customHeight="1" ht="11.25">
      <c r="A198" s="1312" t="s">
        <v>1069</v>
      </c>
      <c r="B198" s="1312"/>
      <c r="C198" s="1312"/>
      <c r="D198" s="1306"/>
      <c r="E198" s="1316"/>
      <c r="F198" s="1974"/>
      <c r="G198" s="1975"/>
      <c r="H198" s="2674" t="s">
        <v>121</v>
      </c>
      <c r="I198" s="2675"/>
      <c r="J198" s="2644"/>
      <c r="K198" s="2676"/>
      <c r="L198" s="2266"/>
      <c r="M198" s="2267"/>
      <c r="N198" s="2667"/>
      <c r="O198" s="2668">
        <v>1</v>
      </c>
      <c r="P198" s="2669" t="s">
        <v>19</v>
      </c>
      <c r="Q198" s="8460" t="s">
        <v>22</v>
      </c>
      <c r="R198" s="8460" t="s">
        <v>22</v>
      </c>
      <c r="S198" s="8460" t="s">
        <v>22</v>
      </c>
      <c r="T198" s="8460" t="s">
        <v>22</v>
      </c>
      <c r="U198" s="8460" t="s">
        <v>22</v>
      </c>
      <c r="V198" s="8460" t="s">
        <v>22</v>
      </c>
      <c r="W198" s="8460" t="s">
        <v>22</v>
      </c>
      <c r="X198" s="8460" t="s">
        <v>22</v>
      </c>
      <c r="Y198" s="8460" t="s">
        <v>22</v>
      </c>
      <c r="Z198" s="1321"/>
      <c r="AA198" s="1322"/>
      <c r="AB198" s="1322"/>
      <c r="AC198" s="1326"/>
      <c r="AD198" s="1326"/>
      <c r="AE198" s="1327"/>
      <c r="AF198" s="2665"/>
      <c r="AG198" s="2666"/>
      <c r="AH198" s="2666"/>
      <c r="AI198" s="2665"/>
      <c r="AJ198" s="2666"/>
      <c r="AK198" s="2666"/>
      <c r="AL198" s="2131"/>
      <c r="AM198" s="1968"/>
      <c r="AN198" s="1968"/>
      <c r="AO198" s="1968"/>
      <c r="AP198" s="1968"/>
      <c r="AQ198" s="1968"/>
      <c r="AR198" s="1968"/>
      <c r="AS198" s="1968"/>
      <c r="AT198" s="1968"/>
      <c r="AU198" s="1968"/>
      <c r="AV198" s="1968"/>
      <c r="AW198" s="1968"/>
      <c r="AX198" s="1968"/>
      <c r="AY198" s="1968"/>
      <c r="AZ198" s="1968"/>
      <c r="BA198" s="1968"/>
      <c r="BB198" s="1968"/>
      <c r="BC198" s="1968"/>
      <c r="BD198" s="1968"/>
      <c r="BE198" s="1968"/>
      <c r="BF198" s="1968"/>
      <c r="BG198" s="7235"/>
    </row>
    <row customHeight="1" ht="11.25">
      <c r="A199" s="1312" t="s">
        <v>1069</v>
      </c>
      <c r="B199" s="1312"/>
      <c r="C199" s="1312"/>
      <c r="D199" s="1306"/>
      <c r="E199" s="1316"/>
      <c r="F199" s="1974"/>
      <c r="G199" s="1975"/>
      <c r="H199" s="2674" t="s">
        <v>121</v>
      </c>
      <c r="I199" s="2675"/>
      <c r="J199" s="2644"/>
      <c r="K199" s="2676"/>
      <c r="L199" s="2266"/>
      <c r="M199" s="2267"/>
      <c r="N199" s="2667"/>
      <c r="O199" s="2668"/>
      <c r="P199" s="2670"/>
      <c r="Q199" s="8461"/>
      <c r="R199" s="2672"/>
      <c r="S199" s="2673"/>
      <c r="T199" s="2672"/>
      <c r="U199" s="2672"/>
      <c r="V199" s="2672"/>
      <c r="W199" s="2672"/>
      <c r="X199" s="2672"/>
      <c r="Y199" s="2672"/>
      <c r="Z199" s="1973"/>
      <c r="AA199" s="1939">
        <v>1</v>
      </c>
      <c r="AB199" s="1325" t="s">
        <v>1172</v>
      </c>
      <c r="AC199" s="1315">
        <v>0</v>
      </c>
      <c r="AD199" s="1325" t="str">
        <f>AB199</f>
        <v>  За счет платы за технологическое присоединение</v>
      </c>
      <c r="AE199" s="1315">
        <v>1011.87674166667</v>
      </c>
      <c r="AF199" s="2665"/>
      <c r="AG199" s="2666"/>
      <c r="AH199" s="2666"/>
      <c r="AI199" s="2665"/>
      <c r="AJ199" s="2666"/>
      <c r="AK199" s="2666"/>
      <c r="AL199" s="2131"/>
      <c r="AM199" s="1968"/>
      <c r="AN199" s="1968"/>
      <c r="AO199" s="1968"/>
      <c r="AP199" s="1968"/>
      <c r="AQ199" s="1968"/>
      <c r="AR199" s="1968"/>
      <c r="AS199" s="1968"/>
      <c r="AT199" s="1968"/>
      <c r="AU199" s="1968"/>
      <c r="AV199" s="1968"/>
      <c r="AW199" s="1968"/>
      <c r="AX199" s="1968"/>
      <c r="AY199" s="1968"/>
      <c r="AZ199" s="1968"/>
      <c r="BA199" s="1968"/>
      <c r="BB199" s="1968"/>
      <c r="BC199" s="1968"/>
      <c r="BD199" s="1968"/>
      <c r="BE199" s="1968"/>
      <c r="BF199" s="1968"/>
      <c r="BG199" s="7235"/>
    </row>
    <row customHeight="1" ht="11.25">
      <c r="A200" s="1312" t="s">
        <v>1069</v>
      </c>
      <c r="B200" s="1312"/>
      <c r="C200" s="1312"/>
      <c r="D200" s="1306"/>
      <c r="E200" s="1316"/>
      <c r="F200" s="1974"/>
      <c r="G200" s="1975"/>
      <c r="H200" s="2674" t="s">
        <v>121</v>
      </c>
      <c r="I200" s="2675"/>
      <c r="J200" s="2644"/>
      <c r="K200" s="2676"/>
      <c r="L200" s="2266"/>
      <c r="M200" s="2267"/>
      <c r="N200" s="2667"/>
      <c r="O200" s="2668"/>
      <c r="P200" s="2671"/>
      <c r="Q200" s="8461"/>
      <c r="R200" s="2672"/>
      <c r="S200" s="2673"/>
      <c r="T200" s="2672"/>
      <c r="U200" s="2672"/>
      <c r="V200" s="2672"/>
      <c r="W200" s="2672"/>
      <c r="X200" s="2672"/>
      <c r="Y200" s="2672"/>
      <c r="Z200" s="1321"/>
      <c r="AA200" s="1322"/>
      <c r="AB200" s="1387" t="s">
        <v>1107</v>
      </c>
      <c r="AC200" s="1326"/>
      <c r="AD200" s="1326"/>
      <c r="AE200" s="1328"/>
      <c r="AF200" s="2665"/>
      <c r="AG200" s="2666"/>
      <c r="AH200" s="2666"/>
      <c r="AI200" s="2665"/>
      <c r="AJ200" s="2666"/>
      <c r="AK200" s="2666"/>
      <c r="AL200" s="2131"/>
      <c r="AM200" s="1968"/>
      <c r="AN200" s="1968"/>
      <c r="AO200" s="1968"/>
      <c r="AP200" s="1968"/>
      <c r="AQ200" s="1968"/>
      <c r="AR200" s="1968"/>
      <c r="AS200" s="1968"/>
      <c r="AT200" s="1968"/>
      <c r="AU200" s="1968"/>
      <c r="AV200" s="1968"/>
      <c r="AW200" s="1968"/>
      <c r="AX200" s="1968"/>
      <c r="AY200" s="1968"/>
      <c r="AZ200" s="1968"/>
      <c r="BA200" s="1968"/>
      <c r="BB200" s="1968"/>
      <c r="BC200" s="1968"/>
      <c r="BD200" s="1968"/>
      <c r="BE200" s="1968"/>
      <c r="BF200" s="1968"/>
      <c r="BG200" s="7235"/>
    </row>
    <row customHeight="1" ht="11.25">
      <c r="A201" s="1312" t="s">
        <v>1069</v>
      </c>
      <c r="B201" s="1312"/>
      <c r="C201" s="1312"/>
      <c r="D201" s="1306"/>
      <c r="E201" s="1316"/>
      <c r="F201" s="1974"/>
      <c r="G201" s="1975"/>
      <c r="H201" s="2674" t="s">
        <v>121</v>
      </c>
      <c r="I201" s="2675"/>
      <c r="J201" s="2644"/>
      <c r="K201" s="2676"/>
      <c r="L201" s="2266"/>
      <c r="M201" s="2267"/>
      <c r="N201" s="1321"/>
      <c r="O201" s="1322"/>
      <c r="P201" s="1314" t="s">
        <v>1108</v>
      </c>
      <c r="Q201" s="1322"/>
      <c r="R201" s="1322"/>
      <c r="S201" s="1322"/>
      <c r="T201" s="1322"/>
      <c r="U201" s="1322"/>
      <c r="V201" s="1322"/>
      <c r="W201" s="1322"/>
      <c r="X201" s="1322"/>
      <c r="Y201" s="1322"/>
      <c r="Z201" s="1322"/>
      <c r="AA201" s="1322"/>
      <c r="AB201" s="1322"/>
      <c r="AC201" s="1322"/>
      <c r="AD201" s="1322"/>
      <c r="AE201" s="1329"/>
      <c r="AF201" s="2665"/>
      <c r="AG201" s="2666"/>
      <c r="AH201" s="2666"/>
      <c r="AI201" s="2665"/>
      <c r="AJ201" s="2666"/>
      <c r="AK201" s="2666"/>
      <c r="AL201" s="2131"/>
      <c r="AM201" s="1968"/>
      <c r="AN201" s="1968"/>
      <c r="AO201" s="1968"/>
      <c r="AP201" s="1968"/>
      <c r="AQ201" s="1968"/>
      <c r="AR201" s="1968"/>
      <c r="AS201" s="1968"/>
      <c r="AT201" s="1968"/>
      <c r="AU201" s="1968"/>
      <c r="AV201" s="1968"/>
      <c r="AW201" s="1968"/>
      <c r="AX201" s="1968"/>
      <c r="AY201" s="1968"/>
      <c r="AZ201" s="1968"/>
      <c r="BA201" s="1968"/>
      <c r="BB201" s="1968"/>
      <c r="BC201" s="1968"/>
      <c r="BD201" s="1968"/>
      <c r="BE201" s="1968"/>
      <c r="BF201" s="1968"/>
      <c r="BG201" s="7235"/>
    </row>
    <row customHeight="1" ht="11.25">
      <c r="A202" s="1312" t="s">
        <v>1069</v>
      </c>
      <c r="B202" s="1312" t="s">
        <v>1168</v>
      </c>
      <c r="C202" s="1312"/>
      <c r="D202" s="1306"/>
      <c r="E202" s="1316"/>
      <c r="F202" s="1974"/>
      <c r="G202" s="7143" t="s">
        <v>106</v>
      </c>
      <c r="H202" s="2674" t="s">
        <v>91</v>
      </c>
      <c r="I202" s="2675" t="s">
        <v>1169</v>
      </c>
      <c r="J202" s="2644" t="s">
        <v>1174</v>
      </c>
      <c r="K202" s="2676" t="s">
        <v>1175</v>
      </c>
      <c r="L202" s="2266" t="s">
        <v>19</v>
      </c>
      <c r="M202" s="2267"/>
      <c r="N202" s="2129"/>
      <c r="O202" s="1323" t="s">
        <v>398</v>
      </c>
      <c r="P202" s="1324"/>
      <c r="Q202" s="1324"/>
      <c r="R202" s="1324"/>
      <c r="S202" s="1324"/>
      <c r="T202" s="1324"/>
      <c r="U202" s="1324"/>
      <c r="V202" s="1324"/>
      <c r="W202" s="1324"/>
      <c r="X202" s="1324"/>
      <c r="Y202" s="1324"/>
      <c r="Z202" s="1324"/>
      <c r="AA202" s="1324"/>
      <c r="AB202" s="1324"/>
      <c r="AC202" s="1324"/>
      <c r="AD202" s="1324"/>
      <c r="AE202" s="1324"/>
      <c r="AF202" s="2665">
        <v>2026</v>
      </c>
      <c r="AG202" s="2666" t="s">
        <v>1103</v>
      </c>
      <c r="AH202" s="2666" t="s">
        <v>1162</v>
      </c>
      <c r="AI202" s="8456"/>
      <c r="AJ202" s="2666" t="s">
        <v>1105</v>
      </c>
      <c r="AK202" s="2666" t="s">
        <v>1105</v>
      </c>
      <c r="AL202" s="2131"/>
      <c r="AM202" s="1968"/>
      <c r="AN202" s="1968"/>
      <c r="AO202" s="1968"/>
      <c r="AP202" s="1968"/>
      <c r="AQ202" s="1968"/>
      <c r="AR202" s="1968"/>
      <c r="AS202" s="1968"/>
      <c r="AT202" s="1968"/>
      <c r="AU202" s="1968"/>
      <c r="AV202" s="1968"/>
      <c r="AW202" s="1968"/>
      <c r="AX202" s="1968"/>
      <c r="AY202" s="1968"/>
      <c r="AZ202" s="1968"/>
      <c r="BA202" s="1968"/>
      <c r="BB202" s="1968"/>
      <c r="BC202" s="1968"/>
      <c r="BD202" s="1968"/>
      <c r="BE202" s="1968"/>
      <c r="BF202" s="1968"/>
      <c r="BG202" s="7235"/>
    </row>
    <row customHeight="1" ht="11.25">
      <c r="A203" s="1312" t="s">
        <v>1069</v>
      </c>
      <c r="B203" s="1312"/>
      <c r="C203" s="1312"/>
      <c r="D203" s="1306"/>
      <c r="E203" s="1316"/>
      <c r="F203" s="1974"/>
      <c r="G203" s="1975"/>
      <c r="H203" s="2674" t="s">
        <v>105</v>
      </c>
      <c r="I203" s="2675"/>
      <c r="J203" s="2644"/>
      <c r="K203" s="2676"/>
      <c r="L203" s="2266"/>
      <c r="M203" s="2267"/>
      <c r="N203" s="2667"/>
      <c r="O203" s="2668">
        <v>1</v>
      </c>
      <c r="P203" s="2669" t="s">
        <v>63</v>
      </c>
      <c r="Q203" s="8461" t="s">
        <v>1176</v>
      </c>
      <c r="R203" s="8463" t="s">
        <v>1177</v>
      </c>
      <c r="S203" s="8463" t="s">
        <v>113</v>
      </c>
      <c r="T203" s="8463" t="s">
        <v>113</v>
      </c>
      <c r="U203" s="8463" t="s">
        <v>114</v>
      </c>
      <c r="V203" s="8463" t="s">
        <v>1115</v>
      </c>
      <c r="W203" s="8463" t="s">
        <v>1116</v>
      </c>
      <c r="X203" s="8463" t="s">
        <v>1178</v>
      </c>
      <c r="Y203" s="8463" t="s">
        <v>1178</v>
      </c>
      <c r="Z203" s="1321"/>
      <c r="AA203" s="1322"/>
      <c r="AB203" s="1322"/>
      <c r="AC203" s="1326"/>
      <c r="AD203" s="1326"/>
      <c r="AE203" s="1327"/>
      <c r="AF203" s="2665"/>
      <c r="AG203" s="2666"/>
      <c r="AH203" s="2666"/>
      <c r="AI203" s="8456"/>
      <c r="AJ203" s="2666"/>
      <c r="AK203" s="2666"/>
      <c r="AL203" s="2131"/>
      <c r="AM203" s="1968"/>
      <c r="AN203" s="1968"/>
      <c r="AO203" s="1968"/>
      <c r="AP203" s="1968"/>
      <c r="AQ203" s="1968"/>
      <c r="AR203" s="1968"/>
      <c r="AS203" s="1968"/>
      <c r="AT203" s="1968"/>
      <c r="AU203" s="1968"/>
      <c r="AV203" s="1968"/>
      <c r="AW203" s="1968"/>
      <c r="AX203" s="1968"/>
      <c r="AY203" s="1968"/>
      <c r="AZ203" s="1968"/>
      <c r="BA203" s="1968"/>
      <c r="BB203" s="1968"/>
      <c r="BC203" s="1968"/>
      <c r="BD203" s="1968"/>
      <c r="BE203" s="1968"/>
      <c r="BF203" s="1968"/>
      <c r="BG203" s="7235"/>
    </row>
    <row customHeight="1" ht="11.25">
      <c r="A204" s="1312" t="s">
        <v>1069</v>
      </c>
      <c r="B204" s="1312"/>
      <c r="C204" s="1312"/>
      <c r="D204" s="1306"/>
      <c r="E204" s="1316"/>
      <c r="F204" s="1974"/>
      <c r="G204" s="1975"/>
      <c r="H204" s="2674" t="s">
        <v>105</v>
      </c>
      <c r="I204" s="2675"/>
      <c r="J204" s="2644"/>
      <c r="K204" s="2676"/>
      <c r="L204" s="2266"/>
      <c r="M204" s="2267"/>
      <c r="N204" s="2667"/>
      <c r="O204" s="2668"/>
      <c r="P204" s="2670"/>
      <c r="Q204" s="8461"/>
      <c r="R204" s="2672"/>
      <c r="S204" s="2673"/>
      <c r="T204" s="2672"/>
      <c r="U204" s="2672"/>
      <c r="V204" s="2672"/>
      <c r="W204" s="2672"/>
      <c r="X204" s="2672"/>
      <c r="Y204" s="2672"/>
      <c r="Z204" s="1973"/>
      <c r="AA204" s="1939">
        <v>1</v>
      </c>
      <c r="AB204" s="1325" t="s">
        <v>1172</v>
      </c>
      <c r="AC204" s="1315">
        <v>65598.2176468612</v>
      </c>
      <c r="AD204" s="1325" t="str">
        <f>AB204</f>
        <v>  За счет платы за технологическое присоединение</v>
      </c>
      <c r="AE204" s="1315">
        <v>18788.3101083333</v>
      </c>
      <c r="AF204" s="2665"/>
      <c r="AG204" s="2666"/>
      <c r="AH204" s="2666"/>
      <c r="AI204" s="8456"/>
      <c r="AJ204" s="2666"/>
      <c r="AK204" s="2666"/>
      <c r="AL204" s="2131"/>
      <c r="AM204" s="1968"/>
      <c r="AN204" s="1968"/>
      <c r="AO204" s="1968"/>
      <c r="AP204" s="1968"/>
      <c r="AQ204" s="1968"/>
      <c r="AR204" s="1968"/>
      <c r="AS204" s="1968"/>
      <c r="AT204" s="1968"/>
      <c r="AU204" s="1968"/>
      <c r="AV204" s="1968"/>
      <c r="AW204" s="1968"/>
      <c r="AX204" s="1968"/>
      <c r="AY204" s="1968"/>
      <c r="AZ204" s="1968"/>
      <c r="BA204" s="1968"/>
      <c r="BB204" s="1968"/>
      <c r="BC204" s="1968"/>
      <c r="BD204" s="1968"/>
      <c r="BE204" s="1968"/>
      <c r="BF204" s="1968"/>
      <c r="BG204" s="7235"/>
    </row>
    <row customHeight="1" ht="11.25">
      <c r="A205" s="1312" t="s">
        <v>1069</v>
      </c>
      <c r="B205" s="1312"/>
      <c r="C205" s="1312"/>
      <c r="D205" s="1306"/>
      <c r="E205" s="1316"/>
      <c r="F205" s="1974"/>
      <c r="G205" s="1975"/>
      <c r="H205" s="2674" t="s">
        <v>105</v>
      </c>
      <c r="I205" s="2675"/>
      <c r="J205" s="2644"/>
      <c r="K205" s="2676"/>
      <c r="L205" s="2266"/>
      <c r="M205" s="2267"/>
      <c r="N205" s="2667"/>
      <c r="O205" s="2668"/>
      <c r="P205" s="2671"/>
      <c r="Q205" s="8461"/>
      <c r="R205" s="2672"/>
      <c r="S205" s="2673"/>
      <c r="T205" s="2672"/>
      <c r="U205" s="2672"/>
      <c r="V205" s="2672"/>
      <c r="W205" s="2672"/>
      <c r="X205" s="2672"/>
      <c r="Y205" s="2672"/>
      <c r="Z205" s="1321"/>
      <c r="AA205" s="1322"/>
      <c r="AB205" s="1387" t="s">
        <v>1107</v>
      </c>
      <c r="AC205" s="1326"/>
      <c r="AD205" s="1326"/>
      <c r="AE205" s="1328"/>
      <c r="AF205" s="2665"/>
      <c r="AG205" s="2666"/>
      <c r="AH205" s="2666"/>
      <c r="AI205" s="8456"/>
      <c r="AJ205" s="2666"/>
      <c r="AK205" s="2666"/>
      <c r="AL205" s="2131"/>
      <c r="AM205" s="1968"/>
      <c r="AN205" s="1968"/>
      <c r="AO205" s="1968"/>
      <c r="AP205" s="1968"/>
      <c r="AQ205" s="1968"/>
      <c r="AR205" s="1968"/>
      <c r="AS205" s="1968"/>
      <c r="AT205" s="1968"/>
      <c r="AU205" s="1968"/>
      <c r="AV205" s="1968"/>
      <c r="AW205" s="1968"/>
      <c r="AX205" s="1968"/>
      <c r="AY205" s="1968"/>
      <c r="AZ205" s="1968"/>
      <c r="BA205" s="1968"/>
      <c r="BB205" s="1968"/>
      <c r="BC205" s="1968"/>
      <c r="BD205" s="1968"/>
      <c r="BE205" s="1968"/>
      <c r="BF205" s="1968"/>
      <c r="BG205" s="7235"/>
    </row>
    <row customHeight="1" ht="11.25">
      <c r="A206" s="1312" t="s">
        <v>1069</v>
      </c>
      <c r="B206" s="1312"/>
      <c r="C206" s="1312"/>
      <c r="D206" s="1306"/>
      <c r="E206" s="1316"/>
      <c r="F206" s="1974"/>
      <c r="G206" s="1975"/>
      <c r="H206" s="2674" t="s">
        <v>105</v>
      </c>
      <c r="I206" s="2675"/>
      <c r="J206" s="2644"/>
      <c r="K206" s="2676"/>
      <c r="L206" s="2266"/>
      <c r="M206" s="2267"/>
      <c r="N206" s="1321"/>
      <c r="O206" s="1322"/>
      <c r="P206" s="1314" t="s">
        <v>1108</v>
      </c>
      <c r="Q206" s="1322"/>
      <c r="R206" s="1322"/>
      <c r="S206" s="1322"/>
      <c r="T206" s="1322"/>
      <c r="U206" s="1322"/>
      <c r="V206" s="1322"/>
      <c r="W206" s="1322"/>
      <c r="X206" s="1322"/>
      <c r="Y206" s="1322"/>
      <c r="Z206" s="1322"/>
      <c r="AA206" s="1322"/>
      <c r="AB206" s="1322"/>
      <c r="AC206" s="1322"/>
      <c r="AD206" s="1322"/>
      <c r="AE206" s="1329"/>
      <c r="AF206" s="2665"/>
      <c r="AG206" s="2666"/>
      <c r="AH206" s="2666"/>
      <c r="AI206" s="8456"/>
      <c r="AJ206" s="2666"/>
      <c r="AK206" s="2666"/>
      <c r="AL206" s="2131"/>
      <c r="AM206" s="1968"/>
      <c r="AN206" s="1968"/>
      <c r="AO206" s="1968"/>
      <c r="AP206" s="1968"/>
      <c r="AQ206" s="1968"/>
      <c r="AR206" s="1968"/>
      <c r="AS206" s="1968"/>
      <c r="AT206" s="1968"/>
      <c r="AU206" s="1968"/>
      <c r="AV206" s="1968"/>
      <c r="AW206" s="1968"/>
      <c r="AX206" s="1968"/>
      <c r="AY206" s="1968"/>
      <c r="AZ206" s="1968"/>
      <c r="BA206" s="1968"/>
      <c r="BB206" s="1968"/>
      <c r="BC206" s="1968"/>
      <c r="BD206" s="1968"/>
      <c r="BE206" s="1968"/>
      <c r="BF206" s="1968"/>
      <c r="BG206" s="7235"/>
    </row>
    <row customHeight="1" ht="11.25">
      <c r="A207" s="1312" t="s">
        <v>1069</v>
      </c>
      <c r="B207" s="1312" t="s">
        <v>1168</v>
      </c>
      <c r="C207" s="1312"/>
      <c r="D207" s="1306"/>
      <c r="E207" s="1316"/>
      <c r="F207" s="1974"/>
      <c r="G207" s="7143" t="s">
        <v>106</v>
      </c>
      <c r="H207" s="2674" t="s">
        <v>92</v>
      </c>
      <c r="I207" s="2675" t="s">
        <v>1169</v>
      </c>
      <c r="J207" s="2644" t="s">
        <v>1174</v>
      </c>
      <c r="K207" s="2676" t="s">
        <v>1179</v>
      </c>
      <c r="L207" s="2266" t="s">
        <v>19</v>
      </c>
      <c r="M207" s="2267"/>
      <c r="N207" s="2129"/>
      <c r="O207" s="1323" t="s">
        <v>398</v>
      </c>
      <c r="P207" s="1324"/>
      <c r="Q207" s="1324"/>
      <c r="R207" s="1324"/>
      <c r="S207" s="1324"/>
      <c r="T207" s="1324"/>
      <c r="U207" s="1324"/>
      <c r="V207" s="1324"/>
      <c r="W207" s="1324"/>
      <c r="X207" s="1324"/>
      <c r="Y207" s="1324"/>
      <c r="Z207" s="1324"/>
      <c r="AA207" s="1324"/>
      <c r="AB207" s="1324"/>
      <c r="AC207" s="1324"/>
      <c r="AD207" s="1324"/>
      <c r="AE207" s="1324"/>
      <c r="AF207" s="2665">
        <v>2024</v>
      </c>
      <c r="AG207" s="2666" t="s">
        <v>1103</v>
      </c>
      <c r="AH207" s="2666" t="s">
        <v>1154</v>
      </c>
      <c r="AI207" s="8639"/>
      <c r="AJ207" s="2666" t="s">
        <v>1152</v>
      </c>
      <c r="AK207" s="2666" t="s">
        <v>1152</v>
      </c>
      <c r="AL207" s="2131"/>
      <c r="AM207" s="1968"/>
      <c r="AN207" s="1968"/>
      <c r="AO207" s="1968"/>
      <c r="AP207" s="1968"/>
      <c r="AQ207" s="1968"/>
      <c r="AR207" s="1968"/>
      <c r="AS207" s="1968"/>
      <c r="AT207" s="1968"/>
      <c r="AU207" s="1968"/>
      <c r="AV207" s="1968"/>
      <c r="AW207" s="1968"/>
      <c r="AX207" s="1968"/>
      <c r="AY207" s="1968"/>
      <c r="AZ207" s="1968"/>
      <c r="BA207" s="1968"/>
      <c r="BB207" s="1968"/>
      <c r="BC207" s="1968"/>
      <c r="BD207" s="1968"/>
      <c r="BE207" s="1968"/>
      <c r="BF207" s="1968"/>
      <c r="BG207" s="7235"/>
    </row>
    <row customHeight="1" ht="11.25">
      <c r="A208" s="1312" t="s">
        <v>1069</v>
      </c>
      <c r="B208" s="1312"/>
      <c r="C208" s="1312"/>
      <c r="D208" s="1306"/>
      <c r="E208" s="1316"/>
      <c r="F208" s="1974"/>
      <c r="G208" s="1975"/>
      <c r="H208" s="2674" t="s">
        <v>91</v>
      </c>
      <c r="I208" s="2675"/>
      <c r="J208" s="2644"/>
      <c r="K208" s="2676"/>
      <c r="L208" s="2266"/>
      <c r="M208" s="2267"/>
      <c r="N208" s="2667"/>
      <c r="O208" s="2668">
        <v>1</v>
      </c>
      <c r="P208" s="2669" t="s">
        <v>63</v>
      </c>
      <c r="Q208" s="8640" t="s">
        <v>1176</v>
      </c>
      <c r="R208" s="8641" t="s">
        <v>1177</v>
      </c>
      <c r="S208" s="8641" t="s">
        <v>113</v>
      </c>
      <c r="T208" s="8641" t="s">
        <v>113</v>
      </c>
      <c r="U208" s="8641" t="s">
        <v>114</v>
      </c>
      <c r="V208" s="8641" t="s">
        <v>1115</v>
      </c>
      <c r="W208" s="8641" t="s">
        <v>1116</v>
      </c>
      <c r="X208" s="8641" t="s">
        <v>1178</v>
      </c>
      <c r="Y208" s="8641" t="s">
        <v>1178</v>
      </c>
      <c r="Z208" s="1321"/>
      <c r="AA208" s="1322"/>
      <c r="AB208" s="1322"/>
      <c r="AC208" s="1326"/>
      <c r="AD208" s="1326"/>
      <c r="AE208" s="1327"/>
      <c r="AF208" s="2665"/>
      <c r="AG208" s="2666"/>
      <c r="AH208" s="2666"/>
      <c r="AI208" s="8639"/>
      <c r="AJ208" s="2666"/>
      <c r="AK208" s="2666"/>
      <c r="AL208" s="2131"/>
      <c r="AM208" s="1968"/>
      <c r="AN208" s="1968"/>
      <c r="AO208" s="1968"/>
      <c r="AP208" s="1968"/>
      <c r="AQ208" s="1968"/>
      <c r="AR208" s="1968"/>
      <c r="AS208" s="1968"/>
      <c r="AT208" s="1968"/>
      <c r="AU208" s="1968"/>
      <c r="AV208" s="1968"/>
      <c r="AW208" s="1968"/>
      <c r="AX208" s="1968"/>
      <c r="AY208" s="1968"/>
      <c r="AZ208" s="1968"/>
      <c r="BA208" s="1968"/>
      <c r="BB208" s="1968"/>
      <c r="BC208" s="1968"/>
      <c r="BD208" s="1968"/>
      <c r="BE208" s="1968"/>
      <c r="BF208" s="1968"/>
      <c r="BG208" s="7235"/>
    </row>
    <row customHeight="1" ht="11.25">
      <c r="A209" s="1312" t="s">
        <v>1069</v>
      </c>
      <c r="B209" s="1312"/>
      <c r="C209" s="1312"/>
      <c r="D209" s="1306"/>
      <c r="E209" s="1316"/>
      <c r="F209" s="1974"/>
      <c r="G209" s="1975"/>
      <c r="H209" s="2674" t="s">
        <v>91</v>
      </c>
      <c r="I209" s="2675"/>
      <c r="J209" s="2644"/>
      <c r="K209" s="2676"/>
      <c r="L209" s="2266"/>
      <c r="M209" s="2267"/>
      <c r="N209" s="2667"/>
      <c r="O209" s="2668"/>
      <c r="P209" s="2670"/>
      <c r="Q209" s="8640"/>
      <c r="R209" s="2672"/>
      <c r="S209" s="2673"/>
      <c r="T209" s="2672"/>
      <c r="U209" s="2672"/>
      <c r="V209" s="2672"/>
      <c r="W209" s="2672"/>
      <c r="X209" s="2672"/>
      <c r="Y209" s="2672"/>
      <c r="Z209" s="1973"/>
      <c r="AA209" s="1939">
        <v>1</v>
      </c>
      <c r="AB209" s="1325" t="s">
        <v>1172</v>
      </c>
      <c r="AC209" s="1315">
        <v>1701.3689529735</v>
      </c>
      <c r="AD209" s="1325" t="str">
        <f>AB209</f>
        <v>  За счет платы за технологическое присоединение</v>
      </c>
      <c r="AE209" s="1315">
        <v>0</v>
      </c>
      <c r="AF209" s="2665"/>
      <c r="AG209" s="2666"/>
      <c r="AH209" s="2666"/>
      <c r="AI209" s="8639"/>
      <c r="AJ209" s="2666"/>
      <c r="AK209" s="2666"/>
      <c r="AL209" s="2131"/>
      <c r="AM209" s="1968"/>
      <c r="AN209" s="1968"/>
      <c r="AO209" s="1968"/>
      <c r="AP209" s="1968"/>
      <c r="AQ209" s="1968"/>
      <c r="AR209" s="1968"/>
      <c r="AS209" s="1968"/>
      <c r="AT209" s="1968"/>
      <c r="AU209" s="1968"/>
      <c r="AV209" s="1968"/>
      <c r="AW209" s="1968"/>
      <c r="AX209" s="1968"/>
      <c r="AY209" s="1968"/>
      <c r="AZ209" s="1968"/>
      <c r="BA209" s="1968"/>
      <c r="BB209" s="1968"/>
      <c r="BC209" s="1968"/>
      <c r="BD209" s="1968"/>
      <c r="BE209" s="1968"/>
      <c r="BF209" s="1968"/>
      <c r="BG209" s="7235"/>
    </row>
    <row customHeight="1" ht="11.25">
      <c r="A210" s="1312" t="s">
        <v>1069</v>
      </c>
      <c r="B210" s="1312"/>
      <c r="C210" s="1312"/>
      <c r="D210" s="1306"/>
      <c r="E210" s="1316"/>
      <c r="F210" s="1974"/>
      <c r="G210" s="1975"/>
      <c r="H210" s="2674" t="s">
        <v>91</v>
      </c>
      <c r="I210" s="2675"/>
      <c r="J210" s="2644"/>
      <c r="K210" s="2676"/>
      <c r="L210" s="2266"/>
      <c r="M210" s="2267"/>
      <c r="N210" s="2667"/>
      <c r="O210" s="2668"/>
      <c r="P210" s="2671"/>
      <c r="Q210" s="8640"/>
      <c r="R210" s="2672"/>
      <c r="S210" s="2673"/>
      <c r="T210" s="2672"/>
      <c r="U210" s="2672"/>
      <c r="V210" s="2672"/>
      <c r="W210" s="2672"/>
      <c r="X210" s="2672"/>
      <c r="Y210" s="2672"/>
      <c r="Z210" s="1321"/>
      <c r="AA210" s="1322"/>
      <c r="AB210" s="1387" t="s">
        <v>1107</v>
      </c>
      <c r="AC210" s="1326"/>
      <c r="AD210" s="1326"/>
      <c r="AE210" s="1328"/>
      <c r="AF210" s="2665"/>
      <c r="AG210" s="2666"/>
      <c r="AH210" s="2666"/>
      <c r="AI210" s="8639"/>
      <c r="AJ210" s="2666"/>
      <c r="AK210" s="2666"/>
      <c r="AL210" s="2131"/>
      <c r="AM210" s="1968"/>
      <c r="AN210" s="1968"/>
      <c r="AO210" s="1968"/>
      <c r="AP210" s="1968"/>
      <c r="AQ210" s="1968"/>
      <c r="AR210" s="1968"/>
      <c r="AS210" s="1968"/>
      <c r="AT210" s="1968"/>
      <c r="AU210" s="1968"/>
      <c r="AV210" s="1968"/>
      <c r="AW210" s="1968"/>
      <c r="AX210" s="1968"/>
      <c r="AY210" s="1968"/>
      <c r="AZ210" s="1968"/>
      <c r="BA210" s="1968"/>
      <c r="BB210" s="1968"/>
      <c r="BC210" s="1968"/>
      <c r="BD210" s="1968"/>
      <c r="BE210" s="1968"/>
      <c r="BF210" s="1968"/>
      <c r="BG210" s="7235"/>
    </row>
    <row customHeight="1" ht="11.25">
      <c r="A211" s="1312" t="s">
        <v>1069</v>
      </c>
      <c r="B211" s="1312"/>
      <c r="C211" s="1312"/>
      <c r="D211" s="1306"/>
      <c r="E211" s="1316"/>
      <c r="F211" s="1974"/>
      <c r="G211" s="1975"/>
      <c r="H211" s="2674" t="s">
        <v>91</v>
      </c>
      <c r="I211" s="2675"/>
      <c r="J211" s="2644"/>
      <c r="K211" s="2676"/>
      <c r="L211" s="2266"/>
      <c r="M211" s="2267"/>
      <c r="N211" s="1321"/>
      <c r="O211" s="1322"/>
      <c r="P211" s="1314" t="s">
        <v>1108</v>
      </c>
      <c r="Q211" s="1322"/>
      <c r="R211" s="1322"/>
      <c r="S211" s="1322"/>
      <c r="T211" s="1322"/>
      <c r="U211" s="1322"/>
      <c r="V211" s="1322"/>
      <c r="W211" s="1322"/>
      <c r="X211" s="1322"/>
      <c r="Y211" s="1322"/>
      <c r="Z211" s="1322"/>
      <c r="AA211" s="1322"/>
      <c r="AB211" s="1322"/>
      <c r="AC211" s="1322"/>
      <c r="AD211" s="1322"/>
      <c r="AE211" s="1329"/>
      <c r="AF211" s="2665"/>
      <c r="AG211" s="2666"/>
      <c r="AH211" s="2666"/>
      <c r="AI211" s="8639"/>
      <c r="AJ211" s="2666"/>
      <c r="AK211" s="2666"/>
      <c r="AL211" s="2131"/>
      <c r="AM211" s="1968"/>
      <c r="AN211" s="1968"/>
      <c r="AO211" s="1968"/>
      <c r="AP211" s="1968"/>
      <c r="AQ211" s="1968"/>
      <c r="AR211" s="1968"/>
      <c r="AS211" s="1968"/>
      <c r="AT211" s="1968"/>
      <c r="AU211" s="1968"/>
      <c r="AV211" s="1968"/>
      <c r="AW211" s="1968"/>
      <c r="AX211" s="1968"/>
      <c r="AY211" s="1968"/>
      <c r="AZ211" s="1968"/>
      <c r="BA211" s="1968"/>
      <c r="BB211" s="1968"/>
      <c r="BC211" s="1968"/>
      <c r="BD211" s="1968"/>
      <c r="BE211" s="1968"/>
      <c r="BF211" s="1968"/>
      <c r="BG211" s="7235"/>
    </row>
    <row customHeight="1" ht="11.25">
      <c r="A212" s="1312" t="s">
        <v>1069</v>
      </c>
      <c r="B212" s="1312" t="s">
        <v>1168</v>
      </c>
      <c r="C212" s="1312"/>
      <c r="D212" s="1306"/>
      <c r="E212" s="1316"/>
      <c r="F212" s="1974"/>
      <c r="G212" s="7143" t="s">
        <v>106</v>
      </c>
      <c r="H212" s="2674" t="s">
        <v>122</v>
      </c>
      <c r="I212" s="2675" t="s">
        <v>1169</v>
      </c>
      <c r="J212" s="2644" t="s">
        <v>1174</v>
      </c>
      <c r="K212" s="2676" t="s">
        <v>1180</v>
      </c>
      <c r="L212" s="2266" t="s">
        <v>19</v>
      </c>
      <c r="M212" s="2267"/>
      <c r="N212" s="2129"/>
      <c r="O212" s="1323" t="s">
        <v>398</v>
      </c>
      <c r="P212" s="1324"/>
      <c r="Q212" s="1324"/>
      <c r="R212" s="1324"/>
      <c r="S212" s="1324"/>
      <c r="T212" s="1324"/>
      <c r="U212" s="1324"/>
      <c r="V212" s="1324"/>
      <c r="W212" s="1324"/>
      <c r="X212" s="1324"/>
      <c r="Y212" s="1324"/>
      <c r="Z212" s="1324"/>
      <c r="AA212" s="1324"/>
      <c r="AB212" s="1324"/>
      <c r="AC212" s="1324"/>
      <c r="AD212" s="1324"/>
      <c r="AE212" s="1324"/>
      <c r="AF212" s="2665">
        <v>2024</v>
      </c>
      <c r="AG212" s="2666" t="s">
        <v>1103</v>
      </c>
      <c r="AH212" s="2666" t="s">
        <v>1154</v>
      </c>
      <c r="AI212" s="8639"/>
      <c r="AJ212" s="2666" t="s">
        <v>1152</v>
      </c>
      <c r="AK212" s="2666" t="s">
        <v>1152</v>
      </c>
      <c r="AL212" s="2131"/>
      <c r="AM212" s="1968"/>
      <c r="AN212" s="1968"/>
      <c r="AO212" s="1968"/>
      <c r="AP212" s="1968"/>
      <c r="AQ212" s="1968"/>
      <c r="AR212" s="1968"/>
      <c r="AS212" s="1968"/>
      <c r="AT212" s="1968"/>
      <c r="AU212" s="1968"/>
      <c r="AV212" s="1968"/>
      <c r="AW212" s="1968"/>
      <c r="AX212" s="1968"/>
      <c r="AY212" s="1968"/>
      <c r="AZ212" s="1968"/>
      <c r="BA212" s="1968"/>
      <c r="BB212" s="1968"/>
      <c r="BC212" s="1968"/>
      <c r="BD212" s="1968"/>
      <c r="BE212" s="1968"/>
      <c r="BF212" s="1968"/>
      <c r="BG212" s="7235"/>
    </row>
    <row customHeight="1" ht="11.25">
      <c r="A213" s="1312" t="s">
        <v>1069</v>
      </c>
      <c r="B213" s="1312"/>
      <c r="C213" s="1312"/>
      <c r="D213" s="1306"/>
      <c r="E213" s="1316"/>
      <c r="F213" s="1974"/>
      <c r="G213" s="1975"/>
      <c r="H213" s="2674" t="s">
        <v>92</v>
      </c>
      <c r="I213" s="2675"/>
      <c r="J213" s="2644"/>
      <c r="K213" s="2676"/>
      <c r="L213" s="2266"/>
      <c r="M213" s="2267"/>
      <c r="N213" s="2667"/>
      <c r="O213" s="2668">
        <v>1</v>
      </c>
      <c r="P213" s="2669" t="s">
        <v>63</v>
      </c>
      <c r="Q213" s="8640" t="s">
        <v>1176</v>
      </c>
      <c r="R213" s="8641" t="s">
        <v>1177</v>
      </c>
      <c r="S213" s="8641" t="s">
        <v>113</v>
      </c>
      <c r="T213" s="8641" t="s">
        <v>113</v>
      </c>
      <c r="U213" s="8641" t="s">
        <v>114</v>
      </c>
      <c r="V213" s="8641" t="s">
        <v>1115</v>
      </c>
      <c r="W213" s="8641" t="s">
        <v>1116</v>
      </c>
      <c r="X213" s="8641" t="s">
        <v>1178</v>
      </c>
      <c r="Y213" s="8641" t="s">
        <v>1178</v>
      </c>
      <c r="Z213" s="1321"/>
      <c r="AA213" s="1322"/>
      <c r="AB213" s="1322"/>
      <c r="AC213" s="1326"/>
      <c r="AD213" s="1326"/>
      <c r="AE213" s="1327"/>
      <c r="AF213" s="2665"/>
      <c r="AG213" s="2666"/>
      <c r="AH213" s="2666"/>
      <c r="AI213" s="8639"/>
      <c r="AJ213" s="2666"/>
      <c r="AK213" s="2666"/>
      <c r="AL213" s="2131"/>
      <c r="AM213" s="1968"/>
      <c r="AN213" s="1968"/>
      <c r="AO213" s="1968"/>
      <c r="AP213" s="1968"/>
      <c r="AQ213" s="1968"/>
      <c r="AR213" s="1968"/>
      <c r="AS213" s="1968"/>
      <c r="AT213" s="1968"/>
      <c r="AU213" s="1968"/>
      <c r="AV213" s="1968"/>
      <c r="AW213" s="1968"/>
      <c r="AX213" s="1968"/>
      <c r="AY213" s="1968"/>
      <c r="AZ213" s="1968"/>
      <c r="BA213" s="1968"/>
      <c r="BB213" s="1968"/>
      <c r="BC213" s="1968"/>
      <c r="BD213" s="1968"/>
      <c r="BE213" s="1968"/>
      <c r="BF213" s="1968"/>
      <c r="BG213" s="7235"/>
    </row>
    <row customHeight="1" ht="11.25">
      <c r="A214" s="1312" t="s">
        <v>1069</v>
      </c>
      <c r="B214" s="1312"/>
      <c r="C214" s="1312"/>
      <c r="D214" s="1306"/>
      <c r="E214" s="1316"/>
      <c r="F214" s="1974"/>
      <c r="G214" s="1975"/>
      <c r="H214" s="2674" t="s">
        <v>92</v>
      </c>
      <c r="I214" s="2675"/>
      <c r="J214" s="2644"/>
      <c r="K214" s="2676"/>
      <c r="L214" s="2266"/>
      <c r="M214" s="2267"/>
      <c r="N214" s="2667"/>
      <c r="O214" s="2668"/>
      <c r="P214" s="2670"/>
      <c r="Q214" s="8640"/>
      <c r="R214" s="2672"/>
      <c r="S214" s="2673"/>
      <c r="T214" s="2672"/>
      <c r="U214" s="2672"/>
      <c r="V214" s="2672"/>
      <c r="W214" s="2672"/>
      <c r="X214" s="2672"/>
      <c r="Y214" s="2672"/>
      <c r="Z214" s="1973"/>
      <c r="AA214" s="1939">
        <v>1</v>
      </c>
      <c r="AB214" s="1325" t="s">
        <v>1172</v>
      </c>
      <c r="AC214" s="1315">
        <v>3016.56149732553</v>
      </c>
      <c r="AD214" s="1325" t="str">
        <f>AB214</f>
        <v>  За счет платы за технологическое присоединение</v>
      </c>
      <c r="AE214" s="1315">
        <v>300.094191666667</v>
      </c>
      <c r="AF214" s="2665"/>
      <c r="AG214" s="2666"/>
      <c r="AH214" s="2666"/>
      <c r="AI214" s="8639"/>
      <c r="AJ214" s="2666"/>
      <c r="AK214" s="2666"/>
      <c r="AL214" s="2131"/>
      <c r="AM214" s="1968"/>
      <c r="AN214" s="1968"/>
      <c r="AO214" s="1968"/>
      <c r="AP214" s="1968"/>
      <c r="AQ214" s="1968"/>
      <c r="AR214" s="1968"/>
      <c r="AS214" s="1968"/>
      <c r="AT214" s="1968"/>
      <c r="AU214" s="1968"/>
      <c r="AV214" s="1968"/>
      <c r="AW214" s="1968"/>
      <c r="AX214" s="1968"/>
      <c r="AY214" s="1968"/>
      <c r="AZ214" s="1968"/>
      <c r="BA214" s="1968"/>
      <c r="BB214" s="1968"/>
      <c r="BC214" s="1968"/>
      <c r="BD214" s="1968"/>
      <c r="BE214" s="1968"/>
      <c r="BF214" s="1968"/>
      <c r="BG214" s="7235"/>
    </row>
    <row customHeight="1" ht="11.25">
      <c r="A215" s="1312" t="s">
        <v>1069</v>
      </c>
      <c r="B215" s="1312"/>
      <c r="C215" s="1312"/>
      <c r="D215" s="1306"/>
      <c r="E215" s="1316"/>
      <c r="F215" s="1974"/>
      <c r="G215" s="1975"/>
      <c r="H215" s="2674" t="s">
        <v>92</v>
      </c>
      <c r="I215" s="2675"/>
      <c r="J215" s="2644"/>
      <c r="K215" s="2676"/>
      <c r="L215" s="2266"/>
      <c r="M215" s="2267"/>
      <c r="N215" s="2667"/>
      <c r="O215" s="2668"/>
      <c r="P215" s="2671"/>
      <c r="Q215" s="8640"/>
      <c r="R215" s="2672"/>
      <c r="S215" s="2673"/>
      <c r="T215" s="2672"/>
      <c r="U215" s="2672"/>
      <c r="V215" s="2672"/>
      <c r="W215" s="2672"/>
      <c r="X215" s="2672"/>
      <c r="Y215" s="2672"/>
      <c r="Z215" s="1321"/>
      <c r="AA215" s="1322"/>
      <c r="AB215" s="1387" t="s">
        <v>1107</v>
      </c>
      <c r="AC215" s="1326"/>
      <c r="AD215" s="1326"/>
      <c r="AE215" s="1328"/>
      <c r="AF215" s="2665"/>
      <c r="AG215" s="2666"/>
      <c r="AH215" s="2666"/>
      <c r="AI215" s="8639"/>
      <c r="AJ215" s="2666"/>
      <c r="AK215" s="2666"/>
      <c r="AL215" s="2131"/>
      <c r="AM215" s="1968"/>
      <c r="AN215" s="1968"/>
      <c r="AO215" s="1968"/>
      <c r="AP215" s="1968"/>
      <c r="AQ215" s="1968"/>
      <c r="AR215" s="1968"/>
      <c r="AS215" s="1968"/>
      <c r="AT215" s="1968"/>
      <c r="AU215" s="1968"/>
      <c r="AV215" s="1968"/>
      <c r="AW215" s="1968"/>
      <c r="AX215" s="1968"/>
      <c r="AY215" s="1968"/>
      <c r="AZ215" s="1968"/>
      <c r="BA215" s="1968"/>
      <c r="BB215" s="1968"/>
      <c r="BC215" s="1968"/>
      <c r="BD215" s="1968"/>
      <c r="BE215" s="1968"/>
      <c r="BF215" s="1968"/>
      <c r="BG215" s="7235"/>
    </row>
    <row customHeight="1" ht="11.25">
      <c r="A216" s="1312" t="s">
        <v>1069</v>
      </c>
      <c r="B216" s="1312"/>
      <c r="C216" s="1312"/>
      <c r="D216" s="1306"/>
      <c r="E216" s="1316"/>
      <c r="F216" s="1974"/>
      <c r="G216" s="1975"/>
      <c r="H216" s="2674" t="s">
        <v>92</v>
      </c>
      <c r="I216" s="2675"/>
      <c r="J216" s="2644"/>
      <c r="K216" s="2676"/>
      <c r="L216" s="2266"/>
      <c r="M216" s="2267"/>
      <c r="N216" s="1321"/>
      <c r="O216" s="1322"/>
      <c r="P216" s="1314" t="s">
        <v>1108</v>
      </c>
      <c r="Q216" s="1322"/>
      <c r="R216" s="1322"/>
      <c r="S216" s="1322"/>
      <c r="T216" s="1322"/>
      <c r="U216" s="1322"/>
      <c r="V216" s="1322"/>
      <c r="W216" s="1322"/>
      <c r="X216" s="1322"/>
      <c r="Y216" s="1322"/>
      <c r="Z216" s="1322"/>
      <c r="AA216" s="1322"/>
      <c r="AB216" s="1322"/>
      <c r="AC216" s="1322"/>
      <c r="AD216" s="1322"/>
      <c r="AE216" s="1329"/>
      <c r="AF216" s="2665"/>
      <c r="AG216" s="2666"/>
      <c r="AH216" s="2666"/>
      <c r="AI216" s="8639"/>
      <c r="AJ216" s="2666"/>
      <c r="AK216" s="2666"/>
      <c r="AL216" s="2131"/>
      <c r="AM216" s="1968"/>
      <c r="AN216" s="1968"/>
      <c r="AO216" s="1968"/>
      <c r="AP216" s="1968"/>
      <c r="AQ216" s="1968"/>
      <c r="AR216" s="1968"/>
      <c r="AS216" s="1968"/>
      <c r="AT216" s="1968"/>
      <c r="AU216" s="1968"/>
      <c r="AV216" s="1968"/>
      <c r="AW216" s="1968"/>
      <c r="AX216" s="1968"/>
      <c r="AY216" s="1968"/>
      <c r="AZ216" s="1968"/>
      <c r="BA216" s="1968"/>
      <c r="BB216" s="1968"/>
      <c r="BC216" s="1968"/>
      <c r="BD216" s="1968"/>
      <c r="BE216" s="1968"/>
      <c r="BF216" s="1968"/>
      <c r="BG216" s="7235"/>
    </row>
    <row customHeight="1" ht="11.25">
      <c r="A217" s="1312" t="s">
        <v>1069</v>
      </c>
      <c r="B217" s="1312" t="s">
        <v>1168</v>
      </c>
      <c r="C217" s="1312"/>
      <c r="D217" s="1306"/>
      <c r="E217" s="1316"/>
      <c r="F217" s="1974"/>
      <c r="G217" s="7143" t="s">
        <v>106</v>
      </c>
      <c r="H217" s="2674" t="s">
        <v>93</v>
      </c>
      <c r="I217" s="2675" t="s">
        <v>1169</v>
      </c>
      <c r="J217" s="2644" t="s">
        <v>1174</v>
      </c>
      <c r="K217" s="2676" t="s">
        <v>1181</v>
      </c>
      <c r="L217" s="2266" t="s">
        <v>19</v>
      </c>
      <c r="M217" s="2267"/>
      <c r="N217" s="2129"/>
      <c r="O217" s="1323" t="s">
        <v>398</v>
      </c>
      <c r="P217" s="1324"/>
      <c r="Q217" s="1324"/>
      <c r="R217" s="1324"/>
      <c r="S217" s="1324"/>
      <c r="T217" s="1324"/>
      <c r="U217" s="1324"/>
      <c r="V217" s="1324"/>
      <c r="W217" s="1324"/>
      <c r="X217" s="1324"/>
      <c r="Y217" s="1324"/>
      <c r="Z217" s="1324"/>
      <c r="AA217" s="1324"/>
      <c r="AB217" s="1324"/>
      <c r="AC217" s="1324"/>
      <c r="AD217" s="1324"/>
      <c r="AE217" s="1324"/>
      <c r="AF217" s="2665">
        <v>2025</v>
      </c>
      <c r="AG217" s="2666" t="s">
        <v>1103</v>
      </c>
      <c r="AH217" s="2666" t="s">
        <v>1159</v>
      </c>
      <c r="AI217" s="8639"/>
      <c r="AJ217" s="2666" t="s">
        <v>1105</v>
      </c>
      <c r="AK217" s="2666" t="s">
        <v>1105</v>
      </c>
      <c r="AL217" s="2131"/>
      <c r="AM217" s="1968"/>
      <c r="AN217" s="1968"/>
      <c r="AO217" s="1968"/>
      <c r="AP217" s="1968"/>
      <c r="AQ217" s="1968"/>
      <c r="AR217" s="1968"/>
      <c r="AS217" s="1968"/>
      <c r="AT217" s="1968"/>
      <c r="AU217" s="1968"/>
      <c r="AV217" s="1968"/>
      <c r="AW217" s="1968"/>
      <c r="AX217" s="1968"/>
      <c r="AY217" s="1968"/>
      <c r="AZ217" s="1968"/>
      <c r="BA217" s="1968"/>
      <c r="BB217" s="1968"/>
      <c r="BC217" s="1968"/>
      <c r="BD217" s="1968"/>
      <c r="BE217" s="1968"/>
      <c r="BF217" s="1968"/>
      <c r="BG217" s="7235"/>
    </row>
    <row customHeight="1" ht="11.25">
      <c r="A218" s="1312" t="s">
        <v>1069</v>
      </c>
      <c r="B218" s="1312"/>
      <c r="C218" s="1312"/>
      <c r="D218" s="1306"/>
      <c r="E218" s="1316"/>
      <c r="F218" s="1974"/>
      <c r="G218" s="1975"/>
      <c r="H218" s="2674" t="s">
        <v>122</v>
      </c>
      <c r="I218" s="2675"/>
      <c r="J218" s="2644"/>
      <c r="K218" s="2676"/>
      <c r="L218" s="2266"/>
      <c r="M218" s="2267"/>
      <c r="N218" s="2667"/>
      <c r="O218" s="2668">
        <v>1</v>
      </c>
      <c r="P218" s="2669" t="s">
        <v>63</v>
      </c>
      <c r="Q218" s="8640" t="s">
        <v>1176</v>
      </c>
      <c r="R218" s="8641" t="s">
        <v>1177</v>
      </c>
      <c r="S218" s="8641" t="s">
        <v>113</v>
      </c>
      <c r="T218" s="8641" t="s">
        <v>113</v>
      </c>
      <c r="U218" s="8641" t="s">
        <v>114</v>
      </c>
      <c r="V218" s="8641" t="s">
        <v>1115</v>
      </c>
      <c r="W218" s="8641" t="s">
        <v>1116</v>
      </c>
      <c r="X218" s="8641" t="s">
        <v>1178</v>
      </c>
      <c r="Y218" s="8641" t="s">
        <v>1178</v>
      </c>
      <c r="Z218" s="1321"/>
      <c r="AA218" s="1322"/>
      <c r="AB218" s="1322"/>
      <c r="AC218" s="1326"/>
      <c r="AD218" s="1326"/>
      <c r="AE218" s="1327"/>
      <c r="AF218" s="2665"/>
      <c r="AG218" s="2666"/>
      <c r="AH218" s="2666"/>
      <c r="AI218" s="8639"/>
      <c r="AJ218" s="2666"/>
      <c r="AK218" s="2666"/>
      <c r="AL218" s="2131"/>
      <c r="AM218" s="1968"/>
      <c r="AN218" s="1968"/>
      <c r="AO218" s="1968"/>
      <c r="AP218" s="1968"/>
      <c r="AQ218" s="1968"/>
      <c r="AR218" s="1968"/>
      <c r="AS218" s="1968"/>
      <c r="AT218" s="1968"/>
      <c r="AU218" s="1968"/>
      <c r="AV218" s="1968"/>
      <c r="AW218" s="1968"/>
      <c r="AX218" s="1968"/>
      <c r="AY218" s="1968"/>
      <c r="AZ218" s="1968"/>
      <c r="BA218" s="1968"/>
      <c r="BB218" s="1968"/>
      <c r="BC218" s="1968"/>
      <c r="BD218" s="1968"/>
      <c r="BE218" s="1968"/>
      <c r="BF218" s="1968"/>
      <c r="BG218" s="7235"/>
    </row>
    <row customHeight="1" ht="11.25">
      <c r="A219" s="1312" t="s">
        <v>1069</v>
      </c>
      <c r="B219" s="1312"/>
      <c r="C219" s="1312"/>
      <c r="D219" s="1306"/>
      <c r="E219" s="1316"/>
      <c r="F219" s="1974"/>
      <c r="G219" s="1975"/>
      <c r="H219" s="2674" t="s">
        <v>122</v>
      </c>
      <c r="I219" s="2675"/>
      <c r="J219" s="2644"/>
      <c r="K219" s="2676"/>
      <c r="L219" s="2266"/>
      <c r="M219" s="2267"/>
      <c r="N219" s="2667"/>
      <c r="O219" s="2668"/>
      <c r="P219" s="2670"/>
      <c r="Q219" s="8640"/>
      <c r="R219" s="2672"/>
      <c r="S219" s="2673"/>
      <c r="T219" s="2672"/>
      <c r="U219" s="2672"/>
      <c r="V219" s="2672"/>
      <c r="W219" s="2672"/>
      <c r="X219" s="2672"/>
      <c r="Y219" s="2672"/>
      <c r="Z219" s="1973"/>
      <c r="AA219" s="1939">
        <v>1</v>
      </c>
      <c r="AB219" s="1325" t="s">
        <v>1172</v>
      </c>
      <c r="AC219" s="1315">
        <v>0</v>
      </c>
      <c r="AD219" s="1325" t="str">
        <f>AB219</f>
        <v>  За счет платы за технологическое присоединение</v>
      </c>
      <c r="AE219" s="1315">
        <v>1404.27663333333</v>
      </c>
      <c r="AF219" s="2665"/>
      <c r="AG219" s="2666"/>
      <c r="AH219" s="2666"/>
      <c r="AI219" s="8639"/>
      <c r="AJ219" s="2666"/>
      <c r="AK219" s="2666"/>
      <c r="AL219" s="2131"/>
      <c r="AM219" s="1968"/>
      <c r="AN219" s="1968"/>
      <c r="AO219" s="1968"/>
      <c r="AP219" s="1968"/>
      <c r="AQ219" s="1968"/>
      <c r="AR219" s="1968"/>
      <c r="AS219" s="1968"/>
      <c r="AT219" s="1968"/>
      <c r="AU219" s="1968"/>
      <c r="AV219" s="1968"/>
      <c r="AW219" s="1968"/>
      <c r="AX219" s="1968"/>
      <c r="AY219" s="1968"/>
      <c r="AZ219" s="1968"/>
      <c r="BA219" s="1968"/>
      <c r="BB219" s="1968"/>
      <c r="BC219" s="1968"/>
      <c r="BD219" s="1968"/>
      <c r="BE219" s="1968"/>
      <c r="BF219" s="1968"/>
      <c r="BG219" s="7235"/>
    </row>
    <row customHeight="1" ht="11.25">
      <c r="A220" s="1312" t="s">
        <v>1069</v>
      </c>
      <c r="B220" s="1312"/>
      <c r="C220" s="1312"/>
      <c r="D220" s="1306"/>
      <c r="E220" s="1316"/>
      <c r="F220" s="1974"/>
      <c r="G220" s="1975"/>
      <c r="H220" s="2674" t="s">
        <v>122</v>
      </c>
      <c r="I220" s="2675"/>
      <c r="J220" s="2644"/>
      <c r="K220" s="2676"/>
      <c r="L220" s="2266"/>
      <c r="M220" s="2267"/>
      <c r="N220" s="2667"/>
      <c r="O220" s="2668"/>
      <c r="P220" s="2671"/>
      <c r="Q220" s="8640"/>
      <c r="R220" s="2672"/>
      <c r="S220" s="2673"/>
      <c r="T220" s="2672"/>
      <c r="U220" s="2672"/>
      <c r="V220" s="2672"/>
      <c r="W220" s="2672"/>
      <c r="X220" s="2672"/>
      <c r="Y220" s="2672"/>
      <c r="Z220" s="1321"/>
      <c r="AA220" s="1322"/>
      <c r="AB220" s="1387" t="s">
        <v>1107</v>
      </c>
      <c r="AC220" s="1326"/>
      <c r="AD220" s="1326"/>
      <c r="AE220" s="1328"/>
      <c r="AF220" s="2665"/>
      <c r="AG220" s="2666"/>
      <c r="AH220" s="2666"/>
      <c r="AI220" s="8639"/>
      <c r="AJ220" s="2666"/>
      <c r="AK220" s="2666"/>
      <c r="AL220" s="2131"/>
      <c r="AM220" s="1968"/>
      <c r="AN220" s="1968"/>
      <c r="AO220" s="1968"/>
      <c r="AP220" s="1968"/>
      <c r="AQ220" s="1968"/>
      <c r="AR220" s="1968"/>
      <c r="AS220" s="1968"/>
      <c r="AT220" s="1968"/>
      <c r="AU220" s="1968"/>
      <c r="AV220" s="1968"/>
      <c r="AW220" s="1968"/>
      <c r="AX220" s="1968"/>
      <c r="AY220" s="1968"/>
      <c r="AZ220" s="1968"/>
      <c r="BA220" s="1968"/>
      <c r="BB220" s="1968"/>
      <c r="BC220" s="1968"/>
      <c r="BD220" s="1968"/>
      <c r="BE220" s="1968"/>
      <c r="BF220" s="1968"/>
      <c r="BG220" s="7235"/>
    </row>
    <row customHeight="1" ht="11.25">
      <c r="A221" s="1312" t="s">
        <v>1069</v>
      </c>
      <c r="B221" s="1312"/>
      <c r="C221" s="1312"/>
      <c r="D221" s="1306"/>
      <c r="E221" s="1316"/>
      <c r="F221" s="1974"/>
      <c r="G221" s="1975"/>
      <c r="H221" s="2674" t="s">
        <v>122</v>
      </c>
      <c r="I221" s="2675"/>
      <c r="J221" s="2644"/>
      <c r="K221" s="2676"/>
      <c r="L221" s="2266"/>
      <c r="M221" s="2267"/>
      <c r="N221" s="1321"/>
      <c r="O221" s="1322"/>
      <c r="P221" s="1314" t="s">
        <v>1108</v>
      </c>
      <c r="Q221" s="1322"/>
      <c r="R221" s="1322"/>
      <c r="S221" s="1322"/>
      <c r="T221" s="1322"/>
      <c r="U221" s="1322"/>
      <c r="V221" s="1322"/>
      <c r="W221" s="1322"/>
      <c r="X221" s="1322"/>
      <c r="Y221" s="1322"/>
      <c r="Z221" s="1322"/>
      <c r="AA221" s="1322"/>
      <c r="AB221" s="1322"/>
      <c r="AC221" s="1322"/>
      <c r="AD221" s="1322"/>
      <c r="AE221" s="1329"/>
      <c r="AF221" s="2665"/>
      <c r="AG221" s="2666"/>
      <c r="AH221" s="2666"/>
      <c r="AI221" s="8639"/>
      <c r="AJ221" s="2666"/>
      <c r="AK221" s="2666"/>
      <c r="AL221" s="2131"/>
      <c r="AM221" s="1968"/>
      <c r="AN221" s="1968"/>
      <c r="AO221" s="1968"/>
      <c r="AP221" s="1968"/>
      <c r="AQ221" s="1968"/>
      <c r="AR221" s="1968"/>
      <c r="AS221" s="1968"/>
      <c r="AT221" s="1968"/>
      <c r="AU221" s="1968"/>
      <c r="AV221" s="1968"/>
      <c r="AW221" s="1968"/>
      <c r="AX221" s="1968"/>
      <c r="AY221" s="1968"/>
      <c r="AZ221" s="1968"/>
      <c r="BA221" s="1968"/>
      <c r="BB221" s="1968"/>
      <c r="BC221" s="1968"/>
      <c r="BD221" s="1968"/>
      <c r="BE221" s="1968"/>
      <c r="BF221" s="1968"/>
      <c r="BG221" s="7235"/>
    </row>
    <row customHeight="1" ht="11.25">
      <c r="A222" s="1312" t="s">
        <v>1069</v>
      </c>
      <c r="B222" s="1312" t="s">
        <v>1168</v>
      </c>
      <c r="C222" s="1312"/>
      <c r="D222" s="1306"/>
      <c r="E222" s="1316"/>
      <c r="F222" s="1974"/>
      <c r="G222" s="7143" t="s">
        <v>106</v>
      </c>
      <c r="H222" s="2674" t="s">
        <v>94</v>
      </c>
      <c r="I222" s="2675" t="s">
        <v>1169</v>
      </c>
      <c r="J222" s="2644" t="s">
        <v>1174</v>
      </c>
      <c r="K222" s="2676" t="s">
        <v>1182</v>
      </c>
      <c r="L222" s="2266" t="s">
        <v>19</v>
      </c>
      <c r="M222" s="2267"/>
      <c r="N222" s="2129"/>
      <c r="O222" s="1323" t="s">
        <v>398</v>
      </c>
      <c r="P222" s="1324"/>
      <c r="Q222" s="1324"/>
      <c r="R222" s="1324"/>
      <c r="S222" s="1324"/>
      <c r="T222" s="1324"/>
      <c r="U222" s="1324"/>
      <c r="V222" s="1324"/>
      <c r="W222" s="1324"/>
      <c r="X222" s="1324"/>
      <c r="Y222" s="1324"/>
      <c r="Z222" s="1324"/>
      <c r="AA222" s="1324"/>
      <c r="AB222" s="1324"/>
      <c r="AC222" s="1324"/>
      <c r="AD222" s="1324"/>
      <c r="AE222" s="1324"/>
      <c r="AF222" s="2665">
        <v>2024</v>
      </c>
      <c r="AG222" s="2666" t="s">
        <v>1103</v>
      </c>
      <c r="AH222" s="2666" t="s">
        <v>1154</v>
      </c>
      <c r="AI222" s="8639"/>
      <c r="AJ222" s="2666" t="s">
        <v>1152</v>
      </c>
      <c r="AK222" s="2666" t="s">
        <v>1152</v>
      </c>
      <c r="AL222" s="2131"/>
      <c r="AM222" s="1968"/>
      <c r="AN222" s="1968"/>
      <c r="AO222" s="1968"/>
      <c r="AP222" s="1968"/>
      <c r="AQ222" s="1968"/>
      <c r="AR222" s="1968"/>
      <c r="AS222" s="1968"/>
      <c r="AT222" s="1968"/>
      <c r="AU222" s="1968"/>
      <c r="AV222" s="1968"/>
      <c r="AW222" s="1968"/>
      <c r="AX222" s="1968"/>
      <c r="AY222" s="1968"/>
      <c r="AZ222" s="1968"/>
      <c r="BA222" s="1968"/>
      <c r="BB222" s="1968"/>
      <c r="BC222" s="1968"/>
      <c r="BD222" s="1968"/>
      <c r="BE222" s="1968"/>
      <c r="BF222" s="1968"/>
      <c r="BG222" s="7235"/>
    </row>
    <row customHeight="1" ht="11.25">
      <c r="A223" s="1312" t="s">
        <v>1069</v>
      </c>
      <c r="B223" s="1312"/>
      <c r="C223" s="1312"/>
      <c r="D223" s="1306"/>
      <c r="E223" s="1316"/>
      <c r="F223" s="1974"/>
      <c r="G223" s="1975"/>
      <c r="H223" s="2674" t="s">
        <v>93</v>
      </c>
      <c r="I223" s="2675"/>
      <c r="J223" s="2644"/>
      <c r="K223" s="2676"/>
      <c r="L223" s="2266"/>
      <c r="M223" s="2267"/>
      <c r="N223" s="2667"/>
      <c r="O223" s="2668">
        <v>1</v>
      </c>
      <c r="P223" s="2669" t="s">
        <v>63</v>
      </c>
      <c r="Q223" s="8640" t="s">
        <v>1176</v>
      </c>
      <c r="R223" s="8641" t="s">
        <v>1177</v>
      </c>
      <c r="S223" s="8641" t="s">
        <v>113</v>
      </c>
      <c r="T223" s="8641" t="s">
        <v>113</v>
      </c>
      <c r="U223" s="8641" t="s">
        <v>114</v>
      </c>
      <c r="V223" s="8641" t="s">
        <v>1115</v>
      </c>
      <c r="W223" s="8641" t="s">
        <v>1116</v>
      </c>
      <c r="X223" s="8641" t="s">
        <v>1178</v>
      </c>
      <c r="Y223" s="8641" t="s">
        <v>1178</v>
      </c>
      <c r="Z223" s="1321"/>
      <c r="AA223" s="1322"/>
      <c r="AB223" s="1322"/>
      <c r="AC223" s="1326"/>
      <c r="AD223" s="1326"/>
      <c r="AE223" s="1327"/>
      <c r="AF223" s="2665"/>
      <c r="AG223" s="2666"/>
      <c r="AH223" s="2666"/>
      <c r="AI223" s="8639"/>
      <c r="AJ223" s="2666"/>
      <c r="AK223" s="2666"/>
      <c r="AL223" s="2131"/>
      <c r="AM223" s="1968"/>
      <c r="AN223" s="1968"/>
      <c r="AO223" s="1968"/>
      <c r="AP223" s="1968"/>
      <c r="AQ223" s="1968"/>
      <c r="AR223" s="1968"/>
      <c r="AS223" s="1968"/>
      <c r="AT223" s="1968"/>
      <c r="AU223" s="1968"/>
      <c r="AV223" s="1968"/>
      <c r="AW223" s="1968"/>
      <c r="AX223" s="1968"/>
      <c r="AY223" s="1968"/>
      <c r="AZ223" s="1968"/>
      <c r="BA223" s="1968"/>
      <c r="BB223" s="1968"/>
      <c r="BC223" s="1968"/>
      <c r="BD223" s="1968"/>
      <c r="BE223" s="1968"/>
      <c r="BF223" s="1968"/>
      <c r="BG223" s="7235"/>
    </row>
    <row customHeight="1" ht="11.25">
      <c r="A224" s="1312" t="s">
        <v>1069</v>
      </c>
      <c r="B224" s="1312"/>
      <c r="C224" s="1312"/>
      <c r="D224" s="1306"/>
      <c r="E224" s="1316"/>
      <c r="F224" s="1974"/>
      <c r="G224" s="1975"/>
      <c r="H224" s="2674" t="s">
        <v>93</v>
      </c>
      <c r="I224" s="2675"/>
      <c r="J224" s="2644"/>
      <c r="K224" s="2676"/>
      <c r="L224" s="2266"/>
      <c r="M224" s="2267"/>
      <c r="N224" s="2667"/>
      <c r="O224" s="2668"/>
      <c r="P224" s="2670"/>
      <c r="Q224" s="8640"/>
      <c r="R224" s="2672"/>
      <c r="S224" s="2673"/>
      <c r="T224" s="2672"/>
      <c r="U224" s="2672"/>
      <c r="V224" s="2672"/>
      <c r="W224" s="2672"/>
      <c r="X224" s="2672"/>
      <c r="Y224" s="2672"/>
      <c r="Z224" s="1973"/>
      <c r="AA224" s="1939">
        <v>1</v>
      </c>
      <c r="AB224" s="1325" t="s">
        <v>1172</v>
      </c>
      <c r="AC224" s="1315">
        <v>1553.24700713532</v>
      </c>
      <c r="AD224" s="1325" t="str">
        <f>AB224</f>
        <v>  За счет платы за технологическое присоединение</v>
      </c>
      <c r="AE224" s="1315">
        <v>0</v>
      </c>
      <c r="AF224" s="2665"/>
      <c r="AG224" s="2666"/>
      <c r="AH224" s="2666"/>
      <c r="AI224" s="8639"/>
      <c r="AJ224" s="2666"/>
      <c r="AK224" s="2666"/>
      <c r="AL224" s="2131"/>
      <c r="AM224" s="1968"/>
      <c r="AN224" s="1968"/>
      <c r="AO224" s="1968"/>
      <c r="AP224" s="1968"/>
      <c r="AQ224" s="1968"/>
      <c r="AR224" s="1968"/>
      <c r="AS224" s="1968"/>
      <c r="AT224" s="1968"/>
      <c r="AU224" s="1968"/>
      <c r="AV224" s="1968"/>
      <c r="AW224" s="1968"/>
      <c r="AX224" s="1968"/>
      <c r="AY224" s="1968"/>
      <c r="AZ224" s="1968"/>
      <c r="BA224" s="1968"/>
      <c r="BB224" s="1968"/>
      <c r="BC224" s="1968"/>
      <c r="BD224" s="1968"/>
      <c r="BE224" s="1968"/>
      <c r="BF224" s="1968"/>
      <c r="BG224" s="7235"/>
    </row>
    <row customHeight="1" ht="11.25">
      <c r="A225" s="1312" t="s">
        <v>1069</v>
      </c>
      <c r="B225" s="1312"/>
      <c r="C225" s="1312"/>
      <c r="D225" s="1306"/>
      <c r="E225" s="1316"/>
      <c r="F225" s="1974"/>
      <c r="G225" s="1975"/>
      <c r="H225" s="2674" t="s">
        <v>93</v>
      </c>
      <c r="I225" s="2675"/>
      <c r="J225" s="2644"/>
      <c r="K225" s="2676"/>
      <c r="L225" s="2266"/>
      <c r="M225" s="2267"/>
      <c r="N225" s="2667"/>
      <c r="O225" s="2668"/>
      <c r="P225" s="2671"/>
      <c r="Q225" s="8640"/>
      <c r="R225" s="2672"/>
      <c r="S225" s="2673"/>
      <c r="T225" s="2672"/>
      <c r="U225" s="2672"/>
      <c r="V225" s="2672"/>
      <c r="W225" s="2672"/>
      <c r="X225" s="2672"/>
      <c r="Y225" s="2672"/>
      <c r="Z225" s="1321"/>
      <c r="AA225" s="1322"/>
      <c r="AB225" s="1387" t="s">
        <v>1107</v>
      </c>
      <c r="AC225" s="1326"/>
      <c r="AD225" s="1326"/>
      <c r="AE225" s="1328"/>
      <c r="AF225" s="2665"/>
      <c r="AG225" s="2666"/>
      <c r="AH225" s="2666"/>
      <c r="AI225" s="8639"/>
      <c r="AJ225" s="2666"/>
      <c r="AK225" s="2666"/>
      <c r="AL225" s="2131"/>
      <c r="AM225" s="1968"/>
      <c r="AN225" s="1968"/>
      <c r="AO225" s="1968"/>
      <c r="AP225" s="1968"/>
      <c r="AQ225" s="1968"/>
      <c r="AR225" s="1968"/>
      <c r="AS225" s="1968"/>
      <c r="AT225" s="1968"/>
      <c r="AU225" s="1968"/>
      <c r="AV225" s="1968"/>
      <c r="AW225" s="1968"/>
      <c r="AX225" s="1968"/>
      <c r="AY225" s="1968"/>
      <c r="AZ225" s="1968"/>
      <c r="BA225" s="1968"/>
      <c r="BB225" s="1968"/>
      <c r="BC225" s="1968"/>
      <c r="BD225" s="1968"/>
      <c r="BE225" s="1968"/>
      <c r="BF225" s="1968"/>
      <c r="BG225" s="7235"/>
    </row>
    <row customHeight="1" ht="11.25">
      <c r="A226" s="1312" t="s">
        <v>1069</v>
      </c>
      <c r="B226" s="1312"/>
      <c r="C226" s="1312"/>
      <c r="D226" s="1306"/>
      <c r="E226" s="1316"/>
      <c r="F226" s="1974"/>
      <c r="G226" s="1975"/>
      <c r="H226" s="2674" t="s">
        <v>93</v>
      </c>
      <c r="I226" s="2675"/>
      <c r="J226" s="2644"/>
      <c r="K226" s="2676"/>
      <c r="L226" s="2266"/>
      <c r="M226" s="2267"/>
      <c r="N226" s="1321"/>
      <c r="O226" s="1322"/>
      <c r="P226" s="1314" t="s">
        <v>1108</v>
      </c>
      <c r="Q226" s="1322"/>
      <c r="R226" s="1322"/>
      <c r="S226" s="1322"/>
      <c r="T226" s="1322"/>
      <c r="U226" s="1322"/>
      <c r="V226" s="1322"/>
      <c r="W226" s="1322"/>
      <c r="X226" s="1322"/>
      <c r="Y226" s="1322"/>
      <c r="Z226" s="1322"/>
      <c r="AA226" s="1322"/>
      <c r="AB226" s="1322"/>
      <c r="AC226" s="1322"/>
      <c r="AD226" s="1322"/>
      <c r="AE226" s="1329"/>
      <c r="AF226" s="2665"/>
      <c r="AG226" s="2666"/>
      <c r="AH226" s="2666"/>
      <c r="AI226" s="8639"/>
      <c r="AJ226" s="2666"/>
      <c r="AK226" s="2666"/>
      <c r="AL226" s="2131"/>
      <c r="AM226" s="1968"/>
      <c r="AN226" s="1968"/>
      <c r="AO226" s="1968"/>
      <c r="AP226" s="1968"/>
      <c r="AQ226" s="1968"/>
      <c r="AR226" s="1968"/>
      <c r="AS226" s="1968"/>
      <c r="AT226" s="1968"/>
      <c r="AU226" s="1968"/>
      <c r="AV226" s="1968"/>
      <c r="AW226" s="1968"/>
      <c r="AX226" s="1968"/>
      <c r="AY226" s="1968"/>
      <c r="AZ226" s="1968"/>
      <c r="BA226" s="1968"/>
      <c r="BB226" s="1968"/>
      <c r="BC226" s="1968"/>
      <c r="BD226" s="1968"/>
      <c r="BE226" s="1968"/>
      <c r="BF226" s="1968"/>
      <c r="BG226" s="7235"/>
    </row>
    <row customHeight="1" ht="11.25">
      <c r="A227" s="1312" t="s">
        <v>1069</v>
      </c>
      <c r="B227" s="1312" t="s">
        <v>1168</v>
      </c>
      <c r="C227" s="1312"/>
      <c r="D227" s="1306"/>
      <c r="E227" s="1316"/>
      <c r="F227" s="1974"/>
      <c r="G227" s="7143" t="s">
        <v>106</v>
      </c>
      <c r="H227" s="2674" t="s">
        <v>123</v>
      </c>
      <c r="I227" s="2675" t="s">
        <v>1169</v>
      </c>
      <c r="J227" s="2644" t="s">
        <v>1174</v>
      </c>
      <c r="K227" s="2676" t="s">
        <v>1183</v>
      </c>
      <c r="L227" s="2266" t="s">
        <v>19</v>
      </c>
      <c r="M227" s="2267"/>
      <c r="N227" s="2129"/>
      <c r="O227" s="1323" t="s">
        <v>398</v>
      </c>
      <c r="P227" s="1324"/>
      <c r="Q227" s="1324"/>
      <c r="R227" s="1324"/>
      <c r="S227" s="1324"/>
      <c r="T227" s="1324"/>
      <c r="U227" s="1324"/>
      <c r="V227" s="1324"/>
      <c r="W227" s="1324"/>
      <c r="X227" s="1324"/>
      <c r="Y227" s="1324"/>
      <c r="Z227" s="1324"/>
      <c r="AA227" s="1324"/>
      <c r="AB227" s="1324"/>
      <c r="AC227" s="1324"/>
      <c r="AD227" s="1324"/>
      <c r="AE227" s="1324"/>
      <c r="AF227" s="2665">
        <v>2024</v>
      </c>
      <c r="AG227" s="2666" t="s">
        <v>1103</v>
      </c>
      <c r="AH227" s="2666" t="s">
        <v>1154</v>
      </c>
      <c r="AI227" s="8639"/>
      <c r="AJ227" s="2666" t="s">
        <v>1152</v>
      </c>
      <c r="AK227" s="2666" t="s">
        <v>1152</v>
      </c>
      <c r="AL227" s="2131"/>
      <c r="AM227" s="1968"/>
      <c r="AN227" s="1968"/>
      <c r="AO227" s="1968"/>
      <c r="AP227" s="1968"/>
      <c r="AQ227" s="1968"/>
      <c r="AR227" s="1968"/>
      <c r="AS227" s="1968"/>
      <c r="AT227" s="1968"/>
      <c r="AU227" s="1968"/>
      <c r="AV227" s="1968"/>
      <c r="AW227" s="1968"/>
      <c r="AX227" s="1968"/>
      <c r="AY227" s="1968"/>
      <c r="AZ227" s="1968"/>
      <c r="BA227" s="1968"/>
      <c r="BB227" s="1968"/>
      <c r="BC227" s="1968"/>
      <c r="BD227" s="1968"/>
      <c r="BE227" s="1968"/>
      <c r="BF227" s="1968"/>
      <c r="BG227" s="7235"/>
    </row>
    <row customHeight="1" ht="11.25">
      <c r="A228" s="1312" t="s">
        <v>1069</v>
      </c>
      <c r="B228" s="1312"/>
      <c r="C228" s="1312"/>
      <c r="D228" s="1306"/>
      <c r="E228" s="1316"/>
      <c r="F228" s="1974"/>
      <c r="G228" s="1975"/>
      <c r="H228" s="2674" t="s">
        <v>94</v>
      </c>
      <c r="I228" s="2675"/>
      <c r="J228" s="2644"/>
      <c r="K228" s="2676"/>
      <c r="L228" s="2266"/>
      <c r="M228" s="2267"/>
      <c r="N228" s="2667"/>
      <c r="O228" s="2668">
        <v>1</v>
      </c>
      <c r="P228" s="2669" t="s">
        <v>63</v>
      </c>
      <c r="Q228" s="8640" t="s">
        <v>1176</v>
      </c>
      <c r="R228" s="8641" t="s">
        <v>1177</v>
      </c>
      <c r="S228" s="8641" t="s">
        <v>113</v>
      </c>
      <c r="T228" s="8641" t="s">
        <v>113</v>
      </c>
      <c r="U228" s="8641" t="s">
        <v>114</v>
      </c>
      <c r="V228" s="8641" t="s">
        <v>1115</v>
      </c>
      <c r="W228" s="8641" t="s">
        <v>1116</v>
      </c>
      <c r="X228" s="8641" t="s">
        <v>1178</v>
      </c>
      <c r="Y228" s="8641" t="s">
        <v>1178</v>
      </c>
      <c r="Z228" s="1321"/>
      <c r="AA228" s="1322"/>
      <c r="AB228" s="1322"/>
      <c r="AC228" s="1326"/>
      <c r="AD228" s="1326"/>
      <c r="AE228" s="1327"/>
      <c r="AF228" s="2665"/>
      <c r="AG228" s="2666"/>
      <c r="AH228" s="2666"/>
      <c r="AI228" s="8639"/>
      <c r="AJ228" s="2666"/>
      <c r="AK228" s="2666"/>
      <c r="AL228" s="2131"/>
      <c r="AM228" s="1968"/>
      <c r="AN228" s="1968"/>
      <c r="AO228" s="1968"/>
      <c r="AP228" s="1968"/>
      <c r="AQ228" s="1968"/>
      <c r="AR228" s="1968"/>
      <c r="AS228" s="1968"/>
      <c r="AT228" s="1968"/>
      <c r="AU228" s="1968"/>
      <c r="AV228" s="1968"/>
      <c r="AW228" s="1968"/>
      <c r="AX228" s="1968"/>
      <c r="AY228" s="1968"/>
      <c r="AZ228" s="1968"/>
      <c r="BA228" s="1968"/>
      <c r="BB228" s="1968"/>
      <c r="BC228" s="1968"/>
      <c r="BD228" s="1968"/>
      <c r="BE228" s="1968"/>
      <c r="BF228" s="1968"/>
      <c r="BG228" s="7235"/>
    </row>
    <row customHeight="1" ht="11.25">
      <c r="A229" s="1312" t="s">
        <v>1069</v>
      </c>
      <c r="B229" s="1312"/>
      <c r="C229" s="1312"/>
      <c r="D229" s="1306"/>
      <c r="E229" s="1316"/>
      <c r="F229" s="1974"/>
      <c r="G229" s="1975"/>
      <c r="H229" s="2674" t="s">
        <v>94</v>
      </c>
      <c r="I229" s="2675"/>
      <c r="J229" s="2644"/>
      <c r="K229" s="2676"/>
      <c r="L229" s="2266"/>
      <c r="M229" s="2267"/>
      <c r="N229" s="2667"/>
      <c r="O229" s="2668"/>
      <c r="P229" s="2670"/>
      <c r="Q229" s="8640"/>
      <c r="R229" s="2672"/>
      <c r="S229" s="2673"/>
      <c r="T229" s="2672"/>
      <c r="U229" s="2672"/>
      <c r="V229" s="2672"/>
      <c r="W229" s="2672"/>
      <c r="X229" s="2672"/>
      <c r="Y229" s="2672"/>
      <c r="Z229" s="1973"/>
      <c r="AA229" s="1939">
        <v>1</v>
      </c>
      <c r="AB229" s="1325" t="s">
        <v>1172</v>
      </c>
      <c r="AC229" s="1315">
        <v>1095.46948259635</v>
      </c>
      <c r="AD229" s="1325" t="str">
        <f>AB229</f>
        <v>  За счет платы за технологическое присоединение</v>
      </c>
      <c r="AE229" s="1315">
        <v>0</v>
      </c>
      <c r="AF229" s="2665"/>
      <c r="AG229" s="2666"/>
      <c r="AH229" s="2666"/>
      <c r="AI229" s="8639"/>
      <c r="AJ229" s="2666"/>
      <c r="AK229" s="2666"/>
      <c r="AL229" s="2131"/>
      <c r="AM229" s="1968"/>
      <c r="AN229" s="1968"/>
      <c r="AO229" s="1968"/>
      <c r="AP229" s="1968"/>
      <c r="AQ229" s="1968"/>
      <c r="AR229" s="1968"/>
      <c r="AS229" s="1968"/>
      <c r="AT229" s="1968"/>
      <c r="AU229" s="1968"/>
      <c r="AV229" s="1968"/>
      <c r="AW229" s="1968"/>
      <c r="AX229" s="1968"/>
      <c r="AY229" s="1968"/>
      <c r="AZ229" s="1968"/>
      <c r="BA229" s="1968"/>
      <c r="BB229" s="1968"/>
      <c r="BC229" s="1968"/>
      <c r="BD229" s="1968"/>
      <c r="BE229" s="1968"/>
      <c r="BF229" s="1968"/>
      <c r="BG229" s="7235"/>
    </row>
    <row customHeight="1" ht="11.25">
      <c r="A230" s="1312" t="s">
        <v>1069</v>
      </c>
      <c r="B230" s="1312"/>
      <c r="C230" s="1312"/>
      <c r="D230" s="1306"/>
      <c r="E230" s="1316"/>
      <c r="F230" s="1974"/>
      <c r="G230" s="1975"/>
      <c r="H230" s="2674" t="s">
        <v>94</v>
      </c>
      <c r="I230" s="2675"/>
      <c r="J230" s="2644"/>
      <c r="K230" s="2676"/>
      <c r="L230" s="2266"/>
      <c r="M230" s="2267"/>
      <c r="N230" s="2667"/>
      <c r="O230" s="2668"/>
      <c r="P230" s="2671"/>
      <c r="Q230" s="8640"/>
      <c r="R230" s="2672"/>
      <c r="S230" s="2673"/>
      <c r="T230" s="2672"/>
      <c r="U230" s="2672"/>
      <c r="V230" s="2672"/>
      <c r="W230" s="2672"/>
      <c r="X230" s="2672"/>
      <c r="Y230" s="2672"/>
      <c r="Z230" s="1321"/>
      <c r="AA230" s="1322"/>
      <c r="AB230" s="1387" t="s">
        <v>1107</v>
      </c>
      <c r="AC230" s="1326"/>
      <c r="AD230" s="1326"/>
      <c r="AE230" s="1328"/>
      <c r="AF230" s="2665"/>
      <c r="AG230" s="2666"/>
      <c r="AH230" s="2666"/>
      <c r="AI230" s="8639"/>
      <c r="AJ230" s="2666"/>
      <c r="AK230" s="2666"/>
      <c r="AL230" s="2131"/>
      <c r="AM230" s="1968"/>
      <c r="AN230" s="1968"/>
      <c r="AO230" s="1968"/>
      <c r="AP230" s="1968"/>
      <c r="AQ230" s="1968"/>
      <c r="AR230" s="1968"/>
      <c r="AS230" s="1968"/>
      <c r="AT230" s="1968"/>
      <c r="AU230" s="1968"/>
      <c r="AV230" s="1968"/>
      <c r="AW230" s="1968"/>
      <c r="AX230" s="1968"/>
      <c r="AY230" s="1968"/>
      <c r="AZ230" s="1968"/>
      <c r="BA230" s="1968"/>
      <c r="BB230" s="1968"/>
      <c r="BC230" s="1968"/>
      <c r="BD230" s="1968"/>
      <c r="BE230" s="1968"/>
      <c r="BF230" s="1968"/>
      <c r="BG230" s="7235"/>
    </row>
    <row customHeight="1" ht="11.25">
      <c r="A231" s="1312" t="s">
        <v>1069</v>
      </c>
      <c r="B231" s="1312"/>
      <c r="C231" s="1312"/>
      <c r="D231" s="1306"/>
      <c r="E231" s="1316"/>
      <c r="F231" s="1974"/>
      <c r="G231" s="1975"/>
      <c r="H231" s="2674" t="s">
        <v>94</v>
      </c>
      <c r="I231" s="2675"/>
      <c r="J231" s="2644"/>
      <c r="K231" s="2676"/>
      <c r="L231" s="2266"/>
      <c r="M231" s="2267"/>
      <c r="N231" s="1321"/>
      <c r="O231" s="1322"/>
      <c r="P231" s="1314" t="s">
        <v>1108</v>
      </c>
      <c r="Q231" s="1322"/>
      <c r="R231" s="1322"/>
      <c r="S231" s="1322"/>
      <c r="T231" s="1322"/>
      <c r="U231" s="1322"/>
      <c r="V231" s="1322"/>
      <c r="W231" s="1322"/>
      <c r="X231" s="1322"/>
      <c r="Y231" s="1322"/>
      <c r="Z231" s="1322"/>
      <c r="AA231" s="1322"/>
      <c r="AB231" s="1322"/>
      <c r="AC231" s="1322"/>
      <c r="AD231" s="1322"/>
      <c r="AE231" s="1329"/>
      <c r="AF231" s="2665"/>
      <c r="AG231" s="2666"/>
      <c r="AH231" s="2666"/>
      <c r="AI231" s="8639"/>
      <c r="AJ231" s="2666"/>
      <c r="AK231" s="2666"/>
      <c r="AL231" s="2131"/>
      <c r="AM231" s="1968"/>
      <c r="AN231" s="1968"/>
      <c r="AO231" s="1968"/>
      <c r="AP231" s="1968"/>
      <c r="AQ231" s="1968"/>
      <c r="AR231" s="1968"/>
      <c r="AS231" s="1968"/>
      <c r="AT231" s="1968"/>
      <c r="AU231" s="1968"/>
      <c r="AV231" s="1968"/>
      <c r="AW231" s="1968"/>
      <c r="AX231" s="1968"/>
      <c r="AY231" s="1968"/>
      <c r="AZ231" s="1968"/>
      <c r="BA231" s="1968"/>
      <c r="BB231" s="1968"/>
      <c r="BC231" s="1968"/>
      <c r="BD231" s="1968"/>
      <c r="BE231" s="1968"/>
      <c r="BF231" s="1968"/>
      <c r="BG231" s="7235"/>
    </row>
    <row customHeight="1" ht="11.25">
      <c r="A232" s="1312" t="s">
        <v>1069</v>
      </c>
      <c r="B232" s="1312" t="s">
        <v>1168</v>
      </c>
      <c r="C232" s="1312"/>
      <c r="D232" s="1306"/>
      <c r="E232" s="1316"/>
      <c r="F232" s="1974"/>
      <c r="G232" s="7143" t="s">
        <v>106</v>
      </c>
      <c r="H232" s="2674" t="s">
        <v>172</v>
      </c>
      <c r="I232" s="2675" t="s">
        <v>1169</v>
      </c>
      <c r="J232" s="2644" t="s">
        <v>1174</v>
      </c>
      <c r="K232" s="2676" t="s">
        <v>1184</v>
      </c>
      <c r="L232" s="2266" t="s">
        <v>19</v>
      </c>
      <c r="M232" s="2267"/>
      <c r="N232" s="2129"/>
      <c r="O232" s="1323" t="s">
        <v>398</v>
      </c>
      <c r="P232" s="1324"/>
      <c r="Q232" s="1324"/>
      <c r="R232" s="1324"/>
      <c r="S232" s="1324"/>
      <c r="T232" s="1324"/>
      <c r="U232" s="1324"/>
      <c r="V232" s="1324"/>
      <c r="W232" s="1324"/>
      <c r="X232" s="1324"/>
      <c r="Y232" s="1324"/>
      <c r="Z232" s="1324"/>
      <c r="AA232" s="1324"/>
      <c r="AB232" s="1324"/>
      <c r="AC232" s="1324"/>
      <c r="AD232" s="1324"/>
      <c r="AE232" s="1324"/>
      <c r="AF232" s="2665">
        <v>2024</v>
      </c>
      <c r="AG232" s="2666" t="s">
        <v>1103</v>
      </c>
      <c r="AH232" s="2666" t="s">
        <v>1154</v>
      </c>
      <c r="AI232" s="8639"/>
      <c r="AJ232" s="2666" t="s">
        <v>1152</v>
      </c>
      <c r="AK232" s="2666" t="s">
        <v>1152</v>
      </c>
      <c r="AL232" s="2131"/>
      <c r="AM232" s="1968"/>
      <c r="AN232" s="1968"/>
      <c r="AO232" s="1968"/>
      <c r="AP232" s="1968"/>
      <c r="AQ232" s="1968"/>
      <c r="AR232" s="1968"/>
      <c r="AS232" s="1968"/>
      <c r="AT232" s="1968"/>
      <c r="AU232" s="1968"/>
      <c r="AV232" s="1968"/>
      <c r="AW232" s="1968"/>
      <c r="AX232" s="1968"/>
      <c r="AY232" s="1968"/>
      <c r="AZ232" s="1968"/>
      <c r="BA232" s="1968"/>
      <c r="BB232" s="1968"/>
      <c r="BC232" s="1968"/>
      <c r="BD232" s="1968"/>
      <c r="BE232" s="1968"/>
      <c r="BF232" s="1968"/>
      <c r="BG232" s="7235"/>
    </row>
    <row customHeight="1" ht="11.25">
      <c r="A233" s="1312" t="s">
        <v>1069</v>
      </c>
      <c r="B233" s="1312"/>
      <c r="C233" s="1312"/>
      <c r="D233" s="1306"/>
      <c r="E233" s="1316"/>
      <c r="F233" s="1974"/>
      <c r="G233" s="1975"/>
      <c r="H233" s="2674" t="s">
        <v>123</v>
      </c>
      <c r="I233" s="2675"/>
      <c r="J233" s="2644"/>
      <c r="K233" s="2676"/>
      <c r="L233" s="2266"/>
      <c r="M233" s="2267"/>
      <c r="N233" s="2667"/>
      <c r="O233" s="2668">
        <v>1</v>
      </c>
      <c r="P233" s="2669" t="s">
        <v>63</v>
      </c>
      <c r="Q233" s="8640" t="s">
        <v>1176</v>
      </c>
      <c r="R233" s="8641" t="s">
        <v>1177</v>
      </c>
      <c r="S233" s="8641" t="s">
        <v>113</v>
      </c>
      <c r="T233" s="8641" t="s">
        <v>113</v>
      </c>
      <c r="U233" s="8641" t="s">
        <v>114</v>
      </c>
      <c r="V233" s="8641" t="s">
        <v>1115</v>
      </c>
      <c r="W233" s="8641" t="s">
        <v>1116</v>
      </c>
      <c r="X233" s="8641" t="s">
        <v>1178</v>
      </c>
      <c r="Y233" s="8641" t="s">
        <v>1178</v>
      </c>
      <c r="Z233" s="1321"/>
      <c r="AA233" s="1322"/>
      <c r="AB233" s="1322"/>
      <c r="AC233" s="1326"/>
      <c r="AD233" s="1326"/>
      <c r="AE233" s="1327"/>
      <c r="AF233" s="2665"/>
      <c r="AG233" s="2666"/>
      <c r="AH233" s="2666"/>
      <c r="AI233" s="8639"/>
      <c r="AJ233" s="2666"/>
      <c r="AK233" s="2666"/>
      <c r="AL233" s="2131"/>
      <c r="AM233" s="1968"/>
      <c r="AN233" s="1968"/>
      <c r="AO233" s="1968"/>
      <c r="AP233" s="1968"/>
      <c r="AQ233" s="1968"/>
      <c r="AR233" s="1968"/>
      <c r="AS233" s="1968"/>
      <c r="AT233" s="1968"/>
      <c r="AU233" s="1968"/>
      <c r="AV233" s="1968"/>
      <c r="AW233" s="1968"/>
      <c r="AX233" s="1968"/>
      <c r="AY233" s="1968"/>
      <c r="AZ233" s="1968"/>
      <c r="BA233" s="1968"/>
      <c r="BB233" s="1968"/>
      <c r="BC233" s="1968"/>
      <c r="BD233" s="1968"/>
      <c r="BE233" s="1968"/>
      <c r="BF233" s="1968"/>
      <c r="BG233" s="7235"/>
    </row>
    <row customHeight="1" ht="11.25">
      <c r="A234" s="1312" t="s">
        <v>1069</v>
      </c>
      <c r="B234" s="1312"/>
      <c r="C234" s="1312"/>
      <c r="D234" s="1306"/>
      <c r="E234" s="1316"/>
      <c r="F234" s="1974"/>
      <c r="G234" s="1975"/>
      <c r="H234" s="2674" t="s">
        <v>123</v>
      </c>
      <c r="I234" s="2675"/>
      <c r="J234" s="2644"/>
      <c r="K234" s="2676"/>
      <c r="L234" s="2266"/>
      <c r="M234" s="2267"/>
      <c r="N234" s="2667"/>
      <c r="O234" s="2668"/>
      <c r="P234" s="2670"/>
      <c r="Q234" s="8640"/>
      <c r="R234" s="2672"/>
      <c r="S234" s="2673"/>
      <c r="T234" s="2672"/>
      <c r="U234" s="2672"/>
      <c r="V234" s="2672"/>
      <c r="W234" s="2672"/>
      <c r="X234" s="2672"/>
      <c r="Y234" s="2672"/>
      <c r="Z234" s="1973"/>
      <c r="AA234" s="1939">
        <v>1</v>
      </c>
      <c r="AB234" s="1325" t="s">
        <v>1172</v>
      </c>
      <c r="AC234" s="1315">
        <v>7367.7580339734</v>
      </c>
      <c r="AD234" s="1325" t="str">
        <f>AB234</f>
        <v>  За счет платы за технологическое присоединение</v>
      </c>
      <c r="AE234" s="1315">
        <v>1096.54445833333</v>
      </c>
      <c r="AF234" s="2665"/>
      <c r="AG234" s="2666"/>
      <c r="AH234" s="2666"/>
      <c r="AI234" s="8639"/>
      <c r="AJ234" s="2666"/>
      <c r="AK234" s="2666"/>
      <c r="AL234" s="2131"/>
      <c r="AM234" s="1968"/>
      <c r="AN234" s="1968"/>
      <c r="AO234" s="1968"/>
      <c r="AP234" s="1968"/>
      <c r="AQ234" s="1968"/>
      <c r="AR234" s="1968"/>
      <c r="AS234" s="1968"/>
      <c r="AT234" s="1968"/>
      <c r="AU234" s="1968"/>
      <c r="AV234" s="1968"/>
      <c r="AW234" s="1968"/>
      <c r="AX234" s="1968"/>
      <c r="AY234" s="1968"/>
      <c r="AZ234" s="1968"/>
      <c r="BA234" s="1968"/>
      <c r="BB234" s="1968"/>
      <c r="BC234" s="1968"/>
      <c r="BD234" s="1968"/>
      <c r="BE234" s="1968"/>
      <c r="BF234" s="1968"/>
      <c r="BG234" s="7235"/>
    </row>
    <row customHeight="1" ht="11.25">
      <c r="A235" s="1312" t="s">
        <v>1069</v>
      </c>
      <c r="B235" s="1312"/>
      <c r="C235" s="1312"/>
      <c r="D235" s="1306"/>
      <c r="E235" s="1316"/>
      <c r="F235" s="1974"/>
      <c r="G235" s="1975"/>
      <c r="H235" s="2674" t="s">
        <v>123</v>
      </c>
      <c r="I235" s="2675"/>
      <c r="J235" s="2644"/>
      <c r="K235" s="2676"/>
      <c r="L235" s="2266"/>
      <c r="M235" s="2267"/>
      <c r="N235" s="2667"/>
      <c r="O235" s="2668"/>
      <c r="P235" s="2671"/>
      <c r="Q235" s="8640"/>
      <c r="R235" s="2672"/>
      <c r="S235" s="2673"/>
      <c r="T235" s="2672"/>
      <c r="U235" s="2672"/>
      <c r="V235" s="2672"/>
      <c r="W235" s="2672"/>
      <c r="X235" s="2672"/>
      <c r="Y235" s="2672"/>
      <c r="Z235" s="1321"/>
      <c r="AA235" s="1322"/>
      <c r="AB235" s="1387" t="s">
        <v>1107</v>
      </c>
      <c r="AC235" s="1326"/>
      <c r="AD235" s="1326"/>
      <c r="AE235" s="1328"/>
      <c r="AF235" s="2665"/>
      <c r="AG235" s="2666"/>
      <c r="AH235" s="2666"/>
      <c r="AI235" s="8639"/>
      <c r="AJ235" s="2666"/>
      <c r="AK235" s="2666"/>
      <c r="AL235" s="2131"/>
      <c r="AM235" s="1968"/>
      <c r="AN235" s="1968"/>
      <c r="AO235" s="1968"/>
      <c r="AP235" s="1968"/>
      <c r="AQ235" s="1968"/>
      <c r="AR235" s="1968"/>
      <c r="AS235" s="1968"/>
      <c r="AT235" s="1968"/>
      <c r="AU235" s="1968"/>
      <c r="AV235" s="1968"/>
      <c r="AW235" s="1968"/>
      <c r="AX235" s="1968"/>
      <c r="AY235" s="1968"/>
      <c r="AZ235" s="1968"/>
      <c r="BA235" s="1968"/>
      <c r="BB235" s="1968"/>
      <c r="BC235" s="1968"/>
      <c r="BD235" s="1968"/>
      <c r="BE235" s="1968"/>
      <c r="BF235" s="1968"/>
      <c r="BG235" s="7235"/>
    </row>
    <row customHeight="1" ht="11.25">
      <c r="A236" s="1312" t="s">
        <v>1069</v>
      </c>
      <c r="B236" s="1312"/>
      <c r="C236" s="1312"/>
      <c r="D236" s="1306"/>
      <c r="E236" s="1316"/>
      <c r="F236" s="1974"/>
      <c r="G236" s="1975"/>
      <c r="H236" s="2674" t="s">
        <v>123</v>
      </c>
      <c r="I236" s="2675"/>
      <c r="J236" s="2644"/>
      <c r="K236" s="2676"/>
      <c r="L236" s="2266"/>
      <c r="M236" s="2267"/>
      <c r="N236" s="1321"/>
      <c r="O236" s="1322"/>
      <c r="P236" s="1314" t="s">
        <v>1108</v>
      </c>
      <c r="Q236" s="1322"/>
      <c r="R236" s="1322"/>
      <c r="S236" s="1322"/>
      <c r="T236" s="1322"/>
      <c r="U236" s="1322"/>
      <c r="V236" s="1322"/>
      <c r="W236" s="1322"/>
      <c r="X236" s="1322"/>
      <c r="Y236" s="1322"/>
      <c r="Z236" s="1322"/>
      <c r="AA236" s="1322"/>
      <c r="AB236" s="1322"/>
      <c r="AC236" s="1322"/>
      <c r="AD236" s="1322"/>
      <c r="AE236" s="1329"/>
      <c r="AF236" s="2665"/>
      <c r="AG236" s="2666"/>
      <c r="AH236" s="2666"/>
      <c r="AI236" s="8639"/>
      <c r="AJ236" s="2666"/>
      <c r="AK236" s="2666"/>
      <c r="AL236" s="2131"/>
      <c r="AM236" s="1968"/>
      <c r="AN236" s="1968"/>
      <c r="AO236" s="1968"/>
      <c r="AP236" s="1968"/>
      <c r="AQ236" s="1968"/>
      <c r="AR236" s="1968"/>
      <c r="AS236" s="1968"/>
      <c r="AT236" s="1968"/>
      <c r="AU236" s="1968"/>
      <c r="AV236" s="1968"/>
      <c r="AW236" s="1968"/>
      <c r="AX236" s="1968"/>
      <c r="AY236" s="1968"/>
      <c r="AZ236" s="1968"/>
      <c r="BA236" s="1968"/>
      <c r="BB236" s="1968"/>
      <c r="BC236" s="1968"/>
      <c r="BD236" s="1968"/>
      <c r="BE236" s="1968"/>
      <c r="BF236" s="1968"/>
      <c r="BG236" s="7235"/>
    </row>
    <row customHeight="1" ht="11.25">
      <c r="A237" s="1312" t="s">
        <v>1069</v>
      </c>
      <c r="B237" s="1312" t="s">
        <v>1168</v>
      </c>
      <c r="C237" s="1312"/>
      <c r="D237" s="1306"/>
      <c r="E237" s="1316"/>
      <c r="F237" s="1974"/>
      <c r="G237" s="7143" t="s">
        <v>106</v>
      </c>
      <c r="H237" s="2674" t="s">
        <v>173</v>
      </c>
      <c r="I237" s="2675" t="s">
        <v>1169</v>
      </c>
      <c r="J237" s="2644" t="s">
        <v>1174</v>
      </c>
      <c r="K237" s="2676" t="s">
        <v>1185</v>
      </c>
      <c r="L237" s="2266" t="s">
        <v>19</v>
      </c>
      <c r="M237" s="2267"/>
      <c r="N237" s="2129"/>
      <c r="O237" s="1323" t="s">
        <v>398</v>
      </c>
      <c r="P237" s="1324"/>
      <c r="Q237" s="1324"/>
      <c r="R237" s="1324"/>
      <c r="S237" s="1324"/>
      <c r="T237" s="1324"/>
      <c r="U237" s="1324"/>
      <c r="V237" s="1324"/>
      <c r="W237" s="1324"/>
      <c r="X237" s="1324"/>
      <c r="Y237" s="1324"/>
      <c r="Z237" s="1324"/>
      <c r="AA237" s="1324"/>
      <c r="AB237" s="1324"/>
      <c r="AC237" s="1324"/>
      <c r="AD237" s="1324"/>
      <c r="AE237" s="1324"/>
      <c r="AF237" s="2665">
        <v>2024</v>
      </c>
      <c r="AG237" s="2666" t="s">
        <v>1103</v>
      </c>
      <c r="AH237" s="2666" t="s">
        <v>1154</v>
      </c>
      <c r="AI237" s="8639"/>
      <c r="AJ237" s="2666" t="s">
        <v>1152</v>
      </c>
      <c r="AK237" s="2666" t="s">
        <v>1152</v>
      </c>
      <c r="AL237" s="2131"/>
      <c r="AM237" s="1968"/>
      <c r="AN237" s="1968"/>
      <c r="AO237" s="1968"/>
      <c r="AP237" s="1968"/>
      <c r="AQ237" s="1968"/>
      <c r="AR237" s="1968"/>
      <c r="AS237" s="1968"/>
      <c r="AT237" s="1968"/>
      <c r="AU237" s="1968"/>
      <c r="AV237" s="1968"/>
      <c r="AW237" s="1968"/>
      <c r="AX237" s="1968"/>
      <c r="AY237" s="1968"/>
      <c r="AZ237" s="1968"/>
      <c r="BA237" s="1968"/>
      <c r="BB237" s="1968"/>
      <c r="BC237" s="1968"/>
      <c r="BD237" s="1968"/>
      <c r="BE237" s="1968"/>
      <c r="BF237" s="1968"/>
      <c r="BG237" s="7235"/>
    </row>
    <row customHeight="1" ht="11.25">
      <c r="A238" s="1312" t="s">
        <v>1069</v>
      </c>
      <c r="B238" s="1312"/>
      <c r="C238" s="1312"/>
      <c r="D238" s="1306"/>
      <c r="E238" s="1316"/>
      <c r="F238" s="1974"/>
      <c r="G238" s="1975"/>
      <c r="H238" s="2674" t="s">
        <v>172</v>
      </c>
      <c r="I238" s="2675"/>
      <c r="J238" s="2644"/>
      <c r="K238" s="2676"/>
      <c r="L238" s="2266"/>
      <c r="M238" s="2267"/>
      <c r="N238" s="2667"/>
      <c r="O238" s="2668">
        <v>1</v>
      </c>
      <c r="P238" s="2669" t="s">
        <v>63</v>
      </c>
      <c r="Q238" s="8640" t="s">
        <v>1176</v>
      </c>
      <c r="R238" s="8641" t="s">
        <v>1177</v>
      </c>
      <c r="S238" s="8641" t="s">
        <v>113</v>
      </c>
      <c r="T238" s="8641" t="s">
        <v>113</v>
      </c>
      <c r="U238" s="8641" t="s">
        <v>114</v>
      </c>
      <c r="V238" s="8641" t="s">
        <v>1115</v>
      </c>
      <c r="W238" s="8641" t="s">
        <v>1116</v>
      </c>
      <c r="X238" s="8641" t="s">
        <v>1178</v>
      </c>
      <c r="Y238" s="8641" t="s">
        <v>1178</v>
      </c>
      <c r="Z238" s="1321"/>
      <c r="AA238" s="1322"/>
      <c r="AB238" s="1322"/>
      <c r="AC238" s="1326"/>
      <c r="AD238" s="1326"/>
      <c r="AE238" s="1327"/>
      <c r="AF238" s="2665"/>
      <c r="AG238" s="2666"/>
      <c r="AH238" s="2666"/>
      <c r="AI238" s="8639"/>
      <c r="AJ238" s="2666"/>
      <c r="AK238" s="2666"/>
      <c r="AL238" s="2131"/>
      <c r="AM238" s="1968"/>
      <c r="AN238" s="1968"/>
      <c r="AO238" s="1968"/>
      <c r="AP238" s="1968"/>
      <c r="AQ238" s="1968"/>
      <c r="AR238" s="1968"/>
      <c r="AS238" s="1968"/>
      <c r="AT238" s="1968"/>
      <c r="AU238" s="1968"/>
      <c r="AV238" s="1968"/>
      <c r="AW238" s="1968"/>
      <c r="AX238" s="1968"/>
      <c r="AY238" s="1968"/>
      <c r="AZ238" s="1968"/>
      <c r="BA238" s="1968"/>
      <c r="BB238" s="1968"/>
      <c r="BC238" s="1968"/>
      <c r="BD238" s="1968"/>
      <c r="BE238" s="1968"/>
      <c r="BF238" s="1968"/>
      <c r="BG238" s="7235"/>
    </row>
    <row customHeight="1" ht="11.25">
      <c r="A239" s="1312" t="s">
        <v>1069</v>
      </c>
      <c r="B239" s="1312"/>
      <c r="C239" s="1312"/>
      <c r="D239" s="1306"/>
      <c r="E239" s="1316"/>
      <c r="F239" s="1974"/>
      <c r="G239" s="1975"/>
      <c r="H239" s="2674" t="s">
        <v>172</v>
      </c>
      <c r="I239" s="2675"/>
      <c r="J239" s="2644"/>
      <c r="K239" s="2676"/>
      <c r="L239" s="2266"/>
      <c r="M239" s="2267"/>
      <c r="N239" s="2667"/>
      <c r="O239" s="2668"/>
      <c r="P239" s="2670"/>
      <c r="Q239" s="8640"/>
      <c r="R239" s="2672"/>
      <c r="S239" s="2673"/>
      <c r="T239" s="2672"/>
      <c r="U239" s="2672"/>
      <c r="V239" s="2672"/>
      <c r="W239" s="2672"/>
      <c r="X239" s="2672"/>
      <c r="Y239" s="2672"/>
      <c r="Z239" s="1973"/>
      <c r="AA239" s="1939">
        <v>1</v>
      </c>
      <c r="AB239" s="1325" t="s">
        <v>1172</v>
      </c>
      <c r="AC239" s="1315">
        <v>9179.79604001458</v>
      </c>
      <c r="AD239" s="1325" t="str">
        <f>AB239</f>
        <v>  За счет платы за технологическое присоединение</v>
      </c>
      <c r="AE239" s="1315">
        <v>1704.56614166667</v>
      </c>
      <c r="AF239" s="2665"/>
      <c r="AG239" s="2666"/>
      <c r="AH239" s="2666"/>
      <c r="AI239" s="8639"/>
      <c r="AJ239" s="2666"/>
      <c r="AK239" s="2666"/>
      <c r="AL239" s="2131"/>
      <c r="AM239" s="1968"/>
      <c r="AN239" s="1968"/>
      <c r="AO239" s="1968"/>
      <c r="AP239" s="1968"/>
      <c r="AQ239" s="1968"/>
      <c r="AR239" s="1968"/>
      <c r="AS239" s="1968"/>
      <c r="AT239" s="1968"/>
      <c r="AU239" s="1968"/>
      <c r="AV239" s="1968"/>
      <c r="AW239" s="1968"/>
      <c r="AX239" s="1968"/>
      <c r="AY239" s="1968"/>
      <c r="AZ239" s="1968"/>
      <c r="BA239" s="1968"/>
      <c r="BB239" s="1968"/>
      <c r="BC239" s="1968"/>
      <c r="BD239" s="1968"/>
      <c r="BE239" s="1968"/>
      <c r="BF239" s="1968"/>
      <c r="BG239" s="7235"/>
    </row>
    <row customHeight="1" ht="11.25">
      <c r="A240" s="1312" t="s">
        <v>1069</v>
      </c>
      <c r="B240" s="1312"/>
      <c r="C240" s="1312"/>
      <c r="D240" s="1306"/>
      <c r="E240" s="1316"/>
      <c r="F240" s="1974"/>
      <c r="G240" s="1975"/>
      <c r="H240" s="2674" t="s">
        <v>172</v>
      </c>
      <c r="I240" s="2675"/>
      <c r="J240" s="2644"/>
      <c r="K240" s="2676"/>
      <c r="L240" s="2266"/>
      <c r="M240" s="2267"/>
      <c r="N240" s="2667"/>
      <c r="O240" s="2668"/>
      <c r="P240" s="2671"/>
      <c r="Q240" s="8640"/>
      <c r="R240" s="2672"/>
      <c r="S240" s="2673"/>
      <c r="T240" s="2672"/>
      <c r="U240" s="2672"/>
      <c r="V240" s="2672"/>
      <c r="W240" s="2672"/>
      <c r="X240" s="2672"/>
      <c r="Y240" s="2672"/>
      <c r="Z240" s="1321"/>
      <c r="AA240" s="1322"/>
      <c r="AB240" s="1387" t="s">
        <v>1107</v>
      </c>
      <c r="AC240" s="1326"/>
      <c r="AD240" s="1326"/>
      <c r="AE240" s="1328"/>
      <c r="AF240" s="2665"/>
      <c r="AG240" s="2666"/>
      <c r="AH240" s="2666"/>
      <c r="AI240" s="8639"/>
      <c r="AJ240" s="2666"/>
      <c r="AK240" s="2666"/>
      <c r="AL240" s="2131"/>
      <c r="AM240" s="1968"/>
      <c r="AN240" s="1968"/>
      <c r="AO240" s="1968"/>
      <c r="AP240" s="1968"/>
      <c r="AQ240" s="1968"/>
      <c r="AR240" s="1968"/>
      <c r="AS240" s="1968"/>
      <c r="AT240" s="1968"/>
      <c r="AU240" s="1968"/>
      <c r="AV240" s="1968"/>
      <c r="AW240" s="1968"/>
      <c r="AX240" s="1968"/>
      <c r="AY240" s="1968"/>
      <c r="AZ240" s="1968"/>
      <c r="BA240" s="1968"/>
      <c r="BB240" s="1968"/>
      <c r="BC240" s="1968"/>
      <c r="BD240" s="1968"/>
      <c r="BE240" s="1968"/>
      <c r="BF240" s="1968"/>
      <c r="BG240" s="7235"/>
    </row>
    <row customHeight="1" ht="11.25">
      <c r="A241" s="1312" t="s">
        <v>1069</v>
      </c>
      <c r="B241" s="1312"/>
      <c r="C241" s="1312"/>
      <c r="D241" s="1306"/>
      <c r="E241" s="1316"/>
      <c r="F241" s="1974"/>
      <c r="G241" s="1975"/>
      <c r="H241" s="2674" t="s">
        <v>172</v>
      </c>
      <c r="I241" s="2675"/>
      <c r="J241" s="2644"/>
      <c r="K241" s="2676"/>
      <c r="L241" s="2266"/>
      <c r="M241" s="2267"/>
      <c r="N241" s="1321"/>
      <c r="O241" s="1322"/>
      <c r="P241" s="1314" t="s">
        <v>1108</v>
      </c>
      <c r="Q241" s="1322"/>
      <c r="R241" s="1322"/>
      <c r="S241" s="1322"/>
      <c r="T241" s="1322"/>
      <c r="U241" s="1322"/>
      <c r="V241" s="1322"/>
      <c r="W241" s="1322"/>
      <c r="X241" s="1322"/>
      <c r="Y241" s="1322"/>
      <c r="Z241" s="1322"/>
      <c r="AA241" s="1322"/>
      <c r="AB241" s="1322"/>
      <c r="AC241" s="1322"/>
      <c r="AD241" s="1322"/>
      <c r="AE241" s="1329"/>
      <c r="AF241" s="2665"/>
      <c r="AG241" s="2666"/>
      <c r="AH241" s="2666"/>
      <c r="AI241" s="8639"/>
      <c r="AJ241" s="2666"/>
      <c r="AK241" s="2666"/>
      <c r="AL241" s="2131"/>
      <c r="AM241" s="1968"/>
      <c r="AN241" s="1968"/>
      <c r="AO241" s="1968"/>
      <c r="AP241" s="1968"/>
      <c r="AQ241" s="1968"/>
      <c r="AR241" s="1968"/>
      <c r="AS241" s="1968"/>
      <c r="AT241" s="1968"/>
      <c r="AU241" s="1968"/>
      <c r="AV241" s="1968"/>
      <c r="AW241" s="1968"/>
      <c r="AX241" s="1968"/>
      <c r="AY241" s="1968"/>
      <c r="AZ241" s="1968"/>
      <c r="BA241" s="1968"/>
      <c r="BB241" s="1968"/>
      <c r="BC241" s="1968"/>
      <c r="BD241" s="1968"/>
      <c r="BE241" s="1968"/>
      <c r="BF241" s="1968"/>
      <c r="BG241" s="7235"/>
    </row>
    <row customHeight="1" ht="11.25">
      <c r="A242" s="1312" t="s">
        <v>1069</v>
      </c>
      <c r="B242" s="1312" t="s">
        <v>1168</v>
      </c>
      <c r="C242" s="1312"/>
      <c r="D242" s="1306"/>
      <c r="E242" s="1316"/>
      <c r="F242" s="1974"/>
      <c r="G242" s="7143" t="s">
        <v>106</v>
      </c>
      <c r="H242" s="2674" t="s">
        <v>174</v>
      </c>
      <c r="I242" s="2675" t="s">
        <v>1169</v>
      </c>
      <c r="J242" s="2644" t="s">
        <v>1174</v>
      </c>
      <c r="K242" s="2676" t="s">
        <v>1186</v>
      </c>
      <c r="L242" s="2266" t="s">
        <v>19</v>
      </c>
      <c r="M242" s="2267"/>
      <c r="N242" s="2129"/>
      <c r="O242" s="1323" t="s">
        <v>398</v>
      </c>
      <c r="P242" s="1324"/>
      <c r="Q242" s="1324"/>
      <c r="R242" s="1324"/>
      <c r="S242" s="1324"/>
      <c r="T242" s="1324"/>
      <c r="U242" s="1324"/>
      <c r="V242" s="1324"/>
      <c r="W242" s="1324"/>
      <c r="X242" s="1324"/>
      <c r="Y242" s="1324"/>
      <c r="Z242" s="1324"/>
      <c r="AA242" s="1324"/>
      <c r="AB242" s="1324"/>
      <c r="AC242" s="1324"/>
      <c r="AD242" s="1324"/>
      <c r="AE242" s="1324"/>
      <c r="AF242" s="2665">
        <v>2024</v>
      </c>
      <c r="AG242" s="2666" t="s">
        <v>1103</v>
      </c>
      <c r="AH242" s="2666" t="s">
        <v>1154</v>
      </c>
      <c r="AI242" s="8639"/>
      <c r="AJ242" s="2666" t="s">
        <v>1152</v>
      </c>
      <c r="AK242" s="2666" t="s">
        <v>1152</v>
      </c>
      <c r="AL242" s="2131"/>
      <c r="AM242" s="1968"/>
      <c r="AN242" s="1968"/>
      <c r="AO242" s="1968"/>
      <c r="AP242" s="1968"/>
      <c r="AQ242" s="1968"/>
      <c r="AR242" s="1968"/>
      <c r="AS242" s="1968"/>
      <c r="AT242" s="1968"/>
      <c r="AU242" s="1968"/>
      <c r="AV242" s="1968"/>
      <c r="AW242" s="1968"/>
      <c r="AX242" s="1968"/>
      <c r="AY242" s="1968"/>
      <c r="AZ242" s="1968"/>
      <c r="BA242" s="1968"/>
      <c r="BB242" s="1968"/>
      <c r="BC242" s="1968"/>
      <c r="BD242" s="1968"/>
      <c r="BE242" s="1968"/>
      <c r="BF242" s="1968"/>
      <c r="BG242" s="7235"/>
    </row>
    <row customHeight="1" ht="11.25">
      <c r="A243" s="1312" t="s">
        <v>1069</v>
      </c>
      <c r="B243" s="1312"/>
      <c r="C243" s="1312"/>
      <c r="D243" s="1306"/>
      <c r="E243" s="1316"/>
      <c r="F243" s="1974"/>
      <c r="G243" s="1975"/>
      <c r="H243" s="2674" t="s">
        <v>173</v>
      </c>
      <c r="I243" s="2675"/>
      <c r="J243" s="2644"/>
      <c r="K243" s="2676"/>
      <c r="L243" s="2266"/>
      <c r="M243" s="2267"/>
      <c r="N243" s="2667"/>
      <c r="O243" s="2668">
        <v>1</v>
      </c>
      <c r="P243" s="2669" t="s">
        <v>63</v>
      </c>
      <c r="Q243" s="8640" t="s">
        <v>1176</v>
      </c>
      <c r="R243" s="8641" t="s">
        <v>1177</v>
      </c>
      <c r="S243" s="8641" t="s">
        <v>113</v>
      </c>
      <c r="T243" s="8641" t="s">
        <v>113</v>
      </c>
      <c r="U243" s="8641" t="s">
        <v>114</v>
      </c>
      <c r="V243" s="8641" t="s">
        <v>1115</v>
      </c>
      <c r="W243" s="8641" t="s">
        <v>1116</v>
      </c>
      <c r="X243" s="8641" t="s">
        <v>1178</v>
      </c>
      <c r="Y243" s="8641" t="s">
        <v>1178</v>
      </c>
      <c r="Z243" s="1321"/>
      <c r="AA243" s="1322"/>
      <c r="AB243" s="1322"/>
      <c r="AC243" s="1326"/>
      <c r="AD243" s="1326"/>
      <c r="AE243" s="1327"/>
      <c r="AF243" s="2665"/>
      <c r="AG243" s="2666"/>
      <c r="AH243" s="2666"/>
      <c r="AI243" s="8639"/>
      <c r="AJ243" s="2666"/>
      <c r="AK243" s="2666"/>
      <c r="AL243" s="2131"/>
      <c r="AM243" s="1968"/>
      <c r="AN243" s="1968"/>
      <c r="AO243" s="1968"/>
      <c r="AP243" s="1968"/>
      <c r="AQ243" s="1968"/>
      <c r="AR243" s="1968"/>
      <c r="AS243" s="1968"/>
      <c r="AT243" s="1968"/>
      <c r="AU243" s="1968"/>
      <c r="AV243" s="1968"/>
      <c r="AW243" s="1968"/>
      <c r="AX243" s="1968"/>
      <c r="AY243" s="1968"/>
      <c r="AZ243" s="1968"/>
      <c r="BA243" s="1968"/>
      <c r="BB243" s="1968"/>
      <c r="BC243" s="1968"/>
      <c r="BD243" s="1968"/>
      <c r="BE243" s="1968"/>
      <c r="BF243" s="1968"/>
      <c r="BG243" s="7235"/>
    </row>
    <row customHeight="1" ht="11.25">
      <c r="A244" s="1312" t="s">
        <v>1069</v>
      </c>
      <c r="B244" s="1312"/>
      <c r="C244" s="1312"/>
      <c r="D244" s="1306"/>
      <c r="E244" s="1316"/>
      <c r="F244" s="1974"/>
      <c r="G244" s="1975"/>
      <c r="H244" s="2674" t="s">
        <v>173</v>
      </c>
      <c r="I244" s="2675"/>
      <c r="J244" s="2644"/>
      <c r="K244" s="2676"/>
      <c r="L244" s="2266"/>
      <c r="M244" s="2267"/>
      <c r="N244" s="2667"/>
      <c r="O244" s="2668"/>
      <c r="P244" s="2670"/>
      <c r="Q244" s="8640"/>
      <c r="R244" s="2672"/>
      <c r="S244" s="2673"/>
      <c r="T244" s="2672"/>
      <c r="U244" s="2672"/>
      <c r="V244" s="2672"/>
      <c r="W244" s="2672"/>
      <c r="X244" s="2672"/>
      <c r="Y244" s="2672"/>
      <c r="Z244" s="1973"/>
      <c r="AA244" s="1939">
        <v>1</v>
      </c>
      <c r="AB244" s="1325" t="s">
        <v>1172</v>
      </c>
      <c r="AC244" s="1315">
        <v>263.9189937026</v>
      </c>
      <c r="AD244" s="1325" t="str">
        <f>AB244</f>
        <v>  За счет платы за технологическое присоединение</v>
      </c>
      <c r="AE244" s="1315">
        <v>0</v>
      </c>
      <c r="AF244" s="2665"/>
      <c r="AG244" s="2666"/>
      <c r="AH244" s="2666"/>
      <c r="AI244" s="8639"/>
      <c r="AJ244" s="2666"/>
      <c r="AK244" s="2666"/>
      <c r="AL244" s="2131"/>
      <c r="AM244" s="1968"/>
      <c r="AN244" s="1968"/>
      <c r="AO244" s="1968"/>
      <c r="AP244" s="1968"/>
      <c r="AQ244" s="1968"/>
      <c r="AR244" s="1968"/>
      <c r="AS244" s="1968"/>
      <c r="AT244" s="1968"/>
      <c r="AU244" s="1968"/>
      <c r="AV244" s="1968"/>
      <c r="AW244" s="1968"/>
      <c r="AX244" s="1968"/>
      <c r="AY244" s="1968"/>
      <c r="AZ244" s="1968"/>
      <c r="BA244" s="1968"/>
      <c r="BB244" s="1968"/>
      <c r="BC244" s="1968"/>
      <c r="BD244" s="1968"/>
      <c r="BE244" s="1968"/>
      <c r="BF244" s="1968"/>
      <c r="BG244" s="7235"/>
    </row>
    <row customHeight="1" ht="11.25">
      <c r="A245" s="1312" t="s">
        <v>1069</v>
      </c>
      <c r="B245" s="1312"/>
      <c r="C245" s="1312"/>
      <c r="D245" s="1306"/>
      <c r="E245" s="1316"/>
      <c r="F245" s="1974"/>
      <c r="G245" s="1975"/>
      <c r="H245" s="2674" t="s">
        <v>173</v>
      </c>
      <c r="I245" s="2675"/>
      <c r="J245" s="2644"/>
      <c r="K245" s="2676"/>
      <c r="L245" s="2266"/>
      <c r="M245" s="2267"/>
      <c r="N245" s="2667"/>
      <c r="O245" s="2668"/>
      <c r="P245" s="2671"/>
      <c r="Q245" s="8640"/>
      <c r="R245" s="2672"/>
      <c r="S245" s="2673"/>
      <c r="T245" s="2672"/>
      <c r="U245" s="2672"/>
      <c r="V245" s="2672"/>
      <c r="W245" s="2672"/>
      <c r="X245" s="2672"/>
      <c r="Y245" s="2672"/>
      <c r="Z245" s="1321"/>
      <c r="AA245" s="1322"/>
      <c r="AB245" s="1387" t="s">
        <v>1107</v>
      </c>
      <c r="AC245" s="1326"/>
      <c r="AD245" s="1326"/>
      <c r="AE245" s="1328"/>
      <c r="AF245" s="2665"/>
      <c r="AG245" s="2666"/>
      <c r="AH245" s="2666"/>
      <c r="AI245" s="8639"/>
      <c r="AJ245" s="2666"/>
      <c r="AK245" s="2666"/>
      <c r="AL245" s="2131"/>
      <c r="AM245" s="1968"/>
      <c r="AN245" s="1968"/>
      <c r="AO245" s="1968"/>
      <c r="AP245" s="1968"/>
      <c r="AQ245" s="1968"/>
      <c r="AR245" s="1968"/>
      <c r="AS245" s="1968"/>
      <c r="AT245" s="1968"/>
      <c r="AU245" s="1968"/>
      <c r="AV245" s="1968"/>
      <c r="AW245" s="1968"/>
      <c r="AX245" s="1968"/>
      <c r="AY245" s="1968"/>
      <c r="AZ245" s="1968"/>
      <c r="BA245" s="1968"/>
      <c r="BB245" s="1968"/>
      <c r="BC245" s="1968"/>
      <c r="BD245" s="1968"/>
      <c r="BE245" s="1968"/>
      <c r="BF245" s="1968"/>
      <c r="BG245" s="7235"/>
    </row>
    <row customHeight="1" ht="11.25">
      <c r="A246" s="1312" t="s">
        <v>1069</v>
      </c>
      <c r="B246" s="1312"/>
      <c r="C246" s="1312"/>
      <c r="D246" s="1306"/>
      <c r="E246" s="1316"/>
      <c r="F246" s="1974"/>
      <c r="G246" s="1975"/>
      <c r="H246" s="2674" t="s">
        <v>173</v>
      </c>
      <c r="I246" s="2675"/>
      <c r="J246" s="2644"/>
      <c r="K246" s="2676"/>
      <c r="L246" s="2266"/>
      <c r="M246" s="2267"/>
      <c r="N246" s="1321"/>
      <c r="O246" s="1322"/>
      <c r="P246" s="1314" t="s">
        <v>1108</v>
      </c>
      <c r="Q246" s="1322"/>
      <c r="R246" s="1322"/>
      <c r="S246" s="1322"/>
      <c r="T246" s="1322"/>
      <c r="U246" s="1322"/>
      <c r="V246" s="1322"/>
      <c r="W246" s="1322"/>
      <c r="X246" s="1322"/>
      <c r="Y246" s="1322"/>
      <c r="Z246" s="1322"/>
      <c r="AA246" s="1322"/>
      <c r="AB246" s="1322"/>
      <c r="AC246" s="1322"/>
      <c r="AD246" s="1322"/>
      <c r="AE246" s="1329"/>
      <c r="AF246" s="2665"/>
      <c r="AG246" s="2666"/>
      <c r="AH246" s="2666"/>
      <c r="AI246" s="8639"/>
      <c r="AJ246" s="2666"/>
      <c r="AK246" s="2666"/>
      <c r="AL246" s="2131"/>
      <c r="AM246" s="1968"/>
      <c r="AN246" s="1968"/>
      <c r="AO246" s="1968"/>
      <c r="AP246" s="1968"/>
      <c r="AQ246" s="1968"/>
      <c r="AR246" s="1968"/>
      <c r="AS246" s="1968"/>
      <c r="AT246" s="1968"/>
      <c r="AU246" s="1968"/>
      <c r="AV246" s="1968"/>
      <c r="AW246" s="1968"/>
      <c r="AX246" s="1968"/>
      <c r="AY246" s="1968"/>
      <c r="AZ246" s="1968"/>
      <c r="BA246" s="1968"/>
      <c r="BB246" s="1968"/>
      <c r="BC246" s="1968"/>
      <c r="BD246" s="1968"/>
      <c r="BE246" s="1968"/>
      <c r="BF246" s="1968"/>
      <c r="BG246" s="7235"/>
    </row>
    <row customHeight="1" ht="11.25">
      <c r="A247" s="1312" t="s">
        <v>1069</v>
      </c>
      <c r="B247" s="1312" t="s">
        <v>1168</v>
      </c>
      <c r="C247" s="1312"/>
      <c r="D247" s="1306"/>
      <c r="E247" s="1316"/>
      <c r="F247" s="1974"/>
      <c r="G247" s="7143" t="s">
        <v>106</v>
      </c>
      <c r="H247" s="2674" t="s">
        <v>175</v>
      </c>
      <c r="I247" s="2675" t="s">
        <v>1169</v>
      </c>
      <c r="J247" s="2644" t="s">
        <v>1174</v>
      </c>
      <c r="K247" s="2676" t="s">
        <v>1187</v>
      </c>
      <c r="L247" s="2266" t="s">
        <v>19</v>
      </c>
      <c r="M247" s="2267"/>
      <c r="N247" s="2129"/>
      <c r="O247" s="1323" t="s">
        <v>398</v>
      </c>
      <c r="P247" s="1324"/>
      <c r="Q247" s="1324"/>
      <c r="R247" s="1324"/>
      <c r="S247" s="1324"/>
      <c r="T247" s="1324"/>
      <c r="U247" s="1324"/>
      <c r="V247" s="1324"/>
      <c r="W247" s="1324"/>
      <c r="X247" s="1324"/>
      <c r="Y247" s="1324"/>
      <c r="Z247" s="1324"/>
      <c r="AA247" s="1324"/>
      <c r="AB247" s="1324"/>
      <c r="AC247" s="1324"/>
      <c r="AD247" s="1324"/>
      <c r="AE247" s="1324"/>
      <c r="AF247" s="2665">
        <v>2024</v>
      </c>
      <c r="AG247" s="2666" t="s">
        <v>1103</v>
      </c>
      <c r="AH247" s="2666" t="s">
        <v>1154</v>
      </c>
      <c r="AI247" s="8639"/>
      <c r="AJ247" s="2666" t="s">
        <v>1152</v>
      </c>
      <c r="AK247" s="2666" t="s">
        <v>1152</v>
      </c>
      <c r="AL247" s="2131"/>
      <c r="AM247" s="1968"/>
      <c r="AN247" s="1968"/>
      <c r="AO247" s="1968"/>
      <c r="AP247" s="1968"/>
      <c r="AQ247" s="1968"/>
      <c r="AR247" s="1968"/>
      <c r="AS247" s="1968"/>
      <c r="AT247" s="1968"/>
      <c r="AU247" s="1968"/>
      <c r="AV247" s="1968"/>
      <c r="AW247" s="1968"/>
      <c r="AX247" s="1968"/>
      <c r="AY247" s="1968"/>
      <c r="AZ247" s="1968"/>
      <c r="BA247" s="1968"/>
      <c r="BB247" s="1968"/>
      <c r="BC247" s="1968"/>
      <c r="BD247" s="1968"/>
      <c r="BE247" s="1968"/>
      <c r="BF247" s="1968"/>
      <c r="BG247" s="7235"/>
    </row>
    <row customHeight="1" ht="11.25">
      <c r="A248" s="1312" t="s">
        <v>1069</v>
      </c>
      <c r="B248" s="1312"/>
      <c r="C248" s="1312"/>
      <c r="D248" s="1306"/>
      <c r="E248" s="1316"/>
      <c r="F248" s="1974"/>
      <c r="G248" s="1975"/>
      <c r="H248" s="2674" t="s">
        <v>174</v>
      </c>
      <c r="I248" s="2675"/>
      <c r="J248" s="2644"/>
      <c r="K248" s="2676"/>
      <c r="L248" s="2266"/>
      <c r="M248" s="2267"/>
      <c r="N248" s="2667"/>
      <c r="O248" s="2668">
        <v>1</v>
      </c>
      <c r="P248" s="2669" t="s">
        <v>63</v>
      </c>
      <c r="Q248" s="8640" t="s">
        <v>1176</v>
      </c>
      <c r="R248" s="8641" t="s">
        <v>1177</v>
      </c>
      <c r="S248" s="8641" t="s">
        <v>113</v>
      </c>
      <c r="T248" s="8641" t="s">
        <v>113</v>
      </c>
      <c r="U248" s="8641" t="s">
        <v>114</v>
      </c>
      <c r="V248" s="8641" t="s">
        <v>1115</v>
      </c>
      <c r="W248" s="8641" t="s">
        <v>1116</v>
      </c>
      <c r="X248" s="8641" t="s">
        <v>1178</v>
      </c>
      <c r="Y248" s="8641" t="s">
        <v>1178</v>
      </c>
      <c r="Z248" s="1321"/>
      <c r="AA248" s="1322"/>
      <c r="AB248" s="1322"/>
      <c r="AC248" s="1326"/>
      <c r="AD248" s="1326"/>
      <c r="AE248" s="1327"/>
      <c r="AF248" s="2665"/>
      <c r="AG248" s="2666"/>
      <c r="AH248" s="2666"/>
      <c r="AI248" s="8639"/>
      <c r="AJ248" s="2666"/>
      <c r="AK248" s="2666"/>
      <c r="AL248" s="2131"/>
      <c r="AM248" s="1968"/>
      <c r="AN248" s="1968"/>
      <c r="AO248" s="1968"/>
      <c r="AP248" s="1968"/>
      <c r="AQ248" s="1968"/>
      <c r="AR248" s="1968"/>
      <c r="AS248" s="1968"/>
      <c r="AT248" s="1968"/>
      <c r="AU248" s="1968"/>
      <c r="AV248" s="1968"/>
      <c r="AW248" s="1968"/>
      <c r="AX248" s="1968"/>
      <c r="AY248" s="1968"/>
      <c r="AZ248" s="1968"/>
      <c r="BA248" s="1968"/>
      <c r="BB248" s="1968"/>
      <c r="BC248" s="1968"/>
      <c r="BD248" s="1968"/>
      <c r="BE248" s="1968"/>
      <c r="BF248" s="1968"/>
      <c r="BG248" s="7235"/>
    </row>
    <row customHeight="1" ht="11.25">
      <c r="A249" s="1312" t="s">
        <v>1069</v>
      </c>
      <c r="B249" s="1312"/>
      <c r="C249" s="1312"/>
      <c r="D249" s="1306"/>
      <c r="E249" s="1316"/>
      <c r="F249" s="1974"/>
      <c r="G249" s="1975"/>
      <c r="H249" s="2674" t="s">
        <v>174</v>
      </c>
      <c r="I249" s="2675"/>
      <c r="J249" s="2644"/>
      <c r="K249" s="2676"/>
      <c r="L249" s="2266"/>
      <c r="M249" s="2267"/>
      <c r="N249" s="2667"/>
      <c r="O249" s="2668"/>
      <c r="P249" s="2670"/>
      <c r="Q249" s="8640"/>
      <c r="R249" s="2672"/>
      <c r="S249" s="2673"/>
      <c r="T249" s="2672"/>
      <c r="U249" s="2672"/>
      <c r="V249" s="2672"/>
      <c r="W249" s="2672"/>
      <c r="X249" s="2672"/>
      <c r="Y249" s="2672"/>
      <c r="Z249" s="1973"/>
      <c r="AA249" s="1939">
        <v>1</v>
      </c>
      <c r="AB249" s="1325" t="s">
        <v>1172</v>
      </c>
      <c r="AC249" s="1315">
        <v>6850.88086536</v>
      </c>
      <c r="AD249" s="1325" t="str">
        <f>AB249</f>
        <v>  За счет платы за технологическое присоединение</v>
      </c>
      <c r="AE249" s="1315">
        <v>87.1833583333333</v>
      </c>
      <c r="AF249" s="2665"/>
      <c r="AG249" s="2666"/>
      <c r="AH249" s="2666"/>
      <c r="AI249" s="8639"/>
      <c r="AJ249" s="2666"/>
      <c r="AK249" s="2666"/>
      <c r="AL249" s="2131"/>
      <c r="AM249" s="1968"/>
      <c r="AN249" s="1968"/>
      <c r="AO249" s="1968"/>
      <c r="AP249" s="1968"/>
      <c r="AQ249" s="1968"/>
      <c r="AR249" s="1968"/>
      <c r="AS249" s="1968"/>
      <c r="AT249" s="1968"/>
      <c r="AU249" s="1968"/>
      <c r="AV249" s="1968"/>
      <c r="AW249" s="1968"/>
      <c r="AX249" s="1968"/>
      <c r="AY249" s="1968"/>
      <c r="AZ249" s="1968"/>
      <c r="BA249" s="1968"/>
      <c r="BB249" s="1968"/>
      <c r="BC249" s="1968"/>
      <c r="BD249" s="1968"/>
      <c r="BE249" s="1968"/>
      <c r="BF249" s="1968"/>
      <c r="BG249" s="7235"/>
    </row>
    <row customHeight="1" ht="11.25">
      <c r="A250" s="1312" t="s">
        <v>1069</v>
      </c>
      <c r="B250" s="1312"/>
      <c r="C250" s="1312"/>
      <c r="D250" s="1306"/>
      <c r="E250" s="1316"/>
      <c r="F250" s="1974"/>
      <c r="G250" s="1975"/>
      <c r="H250" s="2674" t="s">
        <v>174</v>
      </c>
      <c r="I250" s="2675"/>
      <c r="J250" s="2644"/>
      <c r="K250" s="2676"/>
      <c r="L250" s="2266"/>
      <c r="M250" s="2267"/>
      <c r="N250" s="2667"/>
      <c r="O250" s="2668"/>
      <c r="P250" s="2671"/>
      <c r="Q250" s="8640"/>
      <c r="R250" s="2672"/>
      <c r="S250" s="2673"/>
      <c r="T250" s="2672"/>
      <c r="U250" s="2672"/>
      <c r="V250" s="2672"/>
      <c r="W250" s="2672"/>
      <c r="X250" s="2672"/>
      <c r="Y250" s="2672"/>
      <c r="Z250" s="1321"/>
      <c r="AA250" s="1322"/>
      <c r="AB250" s="1387" t="s">
        <v>1107</v>
      </c>
      <c r="AC250" s="1326"/>
      <c r="AD250" s="1326"/>
      <c r="AE250" s="1328"/>
      <c r="AF250" s="2665"/>
      <c r="AG250" s="2666"/>
      <c r="AH250" s="2666"/>
      <c r="AI250" s="8639"/>
      <c r="AJ250" s="2666"/>
      <c r="AK250" s="2666"/>
      <c r="AL250" s="2131"/>
      <c r="AM250" s="1968"/>
      <c r="AN250" s="1968"/>
      <c r="AO250" s="1968"/>
      <c r="AP250" s="1968"/>
      <c r="AQ250" s="1968"/>
      <c r="AR250" s="1968"/>
      <c r="AS250" s="1968"/>
      <c r="AT250" s="1968"/>
      <c r="AU250" s="1968"/>
      <c r="AV250" s="1968"/>
      <c r="AW250" s="1968"/>
      <c r="AX250" s="1968"/>
      <c r="AY250" s="1968"/>
      <c r="AZ250" s="1968"/>
      <c r="BA250" s="1968"/>
      <c r="BB250" s="1968"/>
      <c r="BC250" s="1968"/>
      <c r="BD250" s="1968"/>
      <c r="BE250" s="1968"/>
      <c r="BF250" s="1968"/>
      <c r="BG250" s="7235"/>
    </row>
    <row customHeight="1" ht="11.25">
      <c r="A251" s="1312" t="s">
        <v>1069</v>
      </c>
      <c r="B251" s="1312"/>
      <c r="C251" s="1312"/>
      <c r="D251" s="1306"/>
      <c r="E251" s="1316"/>
      <c r="F251" s="1974"/>
      <c r="G251" s="1975"/>
      <c r="H251" s="2674" t="s">
        <v>174</v>
      </c>
      <c r="I251" s="2675"/>
      <c r="J251" s="2644"/>
      <c r="K251" s="2676"/>
      <c r="L251" s="2266"/>
      <c r="M251" s="2267"/>
      <c r="N251" s="1321"/>
      <c r="O251" s="1322"/>
      <c r="P251" s="1314" t="s">
        <v>1108</v>
      </c>
      <c r="Q251" s="1322"/>
      <c r="R251" s="1322"/>
      <c r="S251" s="1322"/>
      <c r="T251" s="1322"/>
      <c r="U251" s="1322"/>
      <c r="V251" s="1322"/>
      <c r="W251" s="1322"/>
      <c r="X251" s="1322"/>
      <c r="Y251" s="1322"/>
      <c r="Z251" s="1322"/>
      <c r="AA251" s="1322"/>
      <c r="AB251" s="1322"/>
      <c r="AC251" s="1322"/>
      <c r="AD251" s="1322"/>
      <c r="AE251" s="1329"/>
      <c r="AF251" s="2665"/>
      <c r="AG251" s="2666"/>
      <c r="AH251" s="2666"/>
      <c r="AI251" s="8639"/>
      <c r="AJ251" s="2666"/>
      <c r="AK251" s="2666"/>
      <c r="AL251" s="2131"/>
      <c r="AM251" s="1968"/>
      <c r="AN251" s="1968"/>
      <c r="AO251" s="1968"/>
      <c r="AP251" s="1968"/>
      <c r="AQ251" s="1968"/>
      <c r="AR251" s="1968"/>
      <c r="AS251" s="1968"/>
      <c r="AT251" s="1968"/>
      <c r="AU251" s="1968"/>
      <c r="AV251" s="1968"/>
      <c r="AW251" s="1968"/>
      <c r="AX251" s="1968"/>
      <c r="AY251" s="1968"/>
      <c r="AZ251" s="1968"/>
      <c r="BA251" s="1968"/>
      <c r="BB251" s="1968"/>
      <c r="BC251" s="1968"/>
      <c r="BD251" s="1968"/>
      <c r="BE251" s="1968"/>
      <c r="BF251" s="1968"/>
      <c r="BG251" s="7235"/>
    </row>
    <row customHeight="1" ht="11.25">
      <c r="A252" s="1312" t="s">
        <v>1069</v>
      </c>
      <c r="B252" s="1312" t="s">
        <v>1168</v>
      </c>
      <c r="C252" s="1312"/>
      <c r="D252" s="1306"/>
      <c r="E252" s="1316"/>
      <c r="F252" s="1974"/>
      <c r="G252" s="7143" t="s">
        <v>106</v>
      </c>
      <c r="H252" s="2674" t="s">
        <v>176</v>
      </c>
      <c r="I252" s="2675" t="s">
        <v>1169</v>
      </c>
      <c r="J252" s="2644" t="s">
        <v>1174</v>
      </c>
      <c r="K252" s="2676" t="s">
        <v>1188</v>
      </c>
      <c r="L252" s="2266" t="s">
        <v>19</v>
      </c>
      <c r="M252" s="2267"/>
      <c r="N252" s="2129"/>
      <c r="O252" s="1323" t="s">
        <v>398</v>
      </c>
      <c r="P252" s="1324"/>
      <c r="Q252" s="1324"/>
      <c r="R252" s="1324"/>
      <c r="S252" s="1324"/>
      <c r="T252" s="1324"/>
      <c r="U252" s="1324"/>
      <c r="V252" s="1324"/>
      <c r="W252" s="1324"/>
      <c r="X252" s="1324"/>
      <c r="Y252" s="1324"/>
      <c r="Z252" s="1324"/>
      <c r="AA252" s="1324"/>
      <c r="AB252" s="1324"/>
      <c r="AC252" s="1324"/>
      <c r="AD252" s="1324"/>
      <c r="AE252" s="1324"/>
      <c r="AF252" s="2665">
        <v>2024</v>
      </c>
      <c r="AG252" s="2666" t="s">
        <v>1103</v>
      </c>
      <c r="AH252" s="2666" t="s">
        <v>1154</v>
      </c>
      <c r="AI252" s="2665">
        <v>2024</v>
      </c>
      <c r="AJ252" s="2666" t="s">
        <v>1103</v>
      </c>
      <c r="AK252" s="2666" t="s">
        <v>1154</v>
      </c>
      <c r="AL252" s="2131"/>
      <c r="AM252" s="1968"/>
      <c r="AN252" s="1968"/>
      <c r="AO252" s="1968"/>
      <c r="AP252" s="1968"/>
      <c r="AQ252" s="1968"/>
      <c r="AR252" s="1968"/>
      <c r="AS252" s="1968"/>
      <c r="AT252" s="1968"/>
      <c r="AU252" s="1968"/>
      <c r="AV252" s="1968"/>
      <c r="AW252" s="1968"/>
      <c r="AX252" s="1968"/>
      <c r="AY252" s="1968"/>
      <c r="AZ252" s="1968"/>
      <c r="BA252" s="1968"/>
      <c r="BB252" s="1968"/>
      <c r="BC252" s="1968"/>
      <c r="BD252" s="1968"/>
      <c r="BE252" s="1968"/>
      <c r="BF252" s="1968"/>
      <c r="BG252" s="7235"/>
    </row>
    <row customHeight="1" ht="11.25">
      <c r="A253" s="1312" t="s">
        <v>1069</v>
      </c>
      <c r="B253" s="1312"/>
      <c r="C253" s="1312"/>
      <c r="D253" s="1306"/>
      <c r="E253" s="1316"/>
      <c r="F253" s="1974"/>
      <c r="G253" s="1975"/>
      <c r="H253" s="2674" t="s">
        <v>175</v>
      </c>
      <c r="I253" s="2675"/>
      <c r="J253" s="2644"/>
      <c r="K253" s="2676"/>
      <c r="L253" s="2266"/>
      <c r="M253" s="2267"/>
      <c r="N253" s="2667"/>
      <c r="O253" s="2668">
        <v>1</v>
      </c>
      <c r="P253" s="2669" t="s">
        <v>63</v>
      </c>
      <c r="Q253" s="8640" t="s">
        <v>1176</v>
      </c>
      <c r="R253" s="8641" t="s">
        <v>1177</v>
      </c>
      <c r="S253" s="8641" t="s">
        <v>113</v>
      </c>
      <c r="T253" s="8641" t="s">
        <v>113</v>
      </c>
      <c r="U253" s="8641" t="s">
        <v>114</v>
      </c>
      <c r="V253" s="8641" t="s">
        <v>1115</v>
      </c>
      <c r="W253" s="8641" t="s">
        <v>1116</v>
      </c>
      <c r="X253" s="8641" t="s">
        <v>1178</v>
      </c>
      <c r="Y253" s="8641" t="s">
        <v>1178</v>
      </c>
      <c r="Z253" s="1321"/>
      <c r="AA253" s="1322"/>
      <c r="AB253" s="1322"/>
      <c r="AC253" s="1326"/>
      <c r="AD253" s="1326"/>
      <c r="AE253" s="1327"/>
      <c r="AF253" s="2665"/>
      <c r="AG253" s="2666"/>
      <c r="AH253" s="2666"/>
      <c r="AI253" s="2665"/>
      <c r="AJ253" s="2666"/>
      <c r="AK253" s="2666"/>
      <c r="AL253" s="2131"/>
      <c r="AM253" s="1968"/>
      <c r="AN253" s="1968"/>
      <c r="AO253" s="1968"/>
      <c r="AP253" s="1968"/>
      <c r="AQ253" s="1968"/>
      <c r="AR253" s="1968"/>
      <c r="AS253" s="1968"/>
      <c r="AT253" s="1968"/>
      <c r="AU253" s="1968"/>
      <c r="AV253" s="1968"/>
      <c r="AW253" s="1968"/>
      <c r="AX253" s="1968"/>
      <c r="AY253" s="1968"/>
      <c r="AZ253" s="1968"/>
      <c r="BA253" s="1968"/>
      <c r="BB253" s="1968"/>
      <c r="BC253" s="1968"/>
      <c r="BD253" s="1968"/>
      <c r="BE253" s="1968"/>
      <c r="BF253" s="1968"/>
      <c r="BG253" s="7235"/>
    </row>
    <row customHeight="1" ht="11.25">
      <c r="A254" s="1312" t="s">
        <v>1069</v>
      </c>
      <c r="B254" s="1312"/>
      <c r="C254" s="1312"/>
      <c r="D254" s="1306"/>
      <c r="E254" s="1316"/>
      <c r="F254" s="1974"/>
      <c r="G254" s="1975"/>
      <c r="H254" s="2674" t="s">
        <v>175</v>
      </c>
      <c r="I254" s="2675"/>
      <c r="J254" s="2644"/>
      <c r="K254" s="2676"/>
      <c r="L254" s="2266"/>
      <c r="M254" s="2267"/>
      <c r="N254" s="2667"/>
      <c r="O254" s="2668"/>
      <c r="P254" s="2670"/>
      <c r="Q254" s="8640"/>
      <c r="R254" s="2672"/>
      <c r="S254" s="2673"/>
      <c r="T254" s="2672"/>
      <c r="U254" s="2672"/>
      <c r="V254" s="2672"/>
      <c r="W254" s="2672"/>
      <c r="X254" s="2672"/>
      <c r="Y254" s="2672"/>
      <c r="Z254" s="1973"/>
      <c r="AA254" s="1939">
        <v>1</v>
      </c>
      <c r="AB254" s="1325" t="s">
        <v>1172</v>
      </c>
      <c r="AC254" s="1315">
        <v>0</v>
      </c>
      <c r="AD254" s="1325" t="str">
        <f>AB254</f>
        <v>  За счет платы за технологическое присоединение</v>
      </c>
      <c r="AE254" s="1315">
        <v>846.651858333333</v>
      </c>
      <c r="AF254" s="2665"/>
      <c r="AG254" s="2666"/>
      <c r="AH254" s="2666"/>
      <c r="AI254" s="2665"/>
      <c r="AJ254" s="2666"/>
      <c r="AK254" s="2666"/>
      <c r="AL254" s="2131"/>
      <c r="AM254" s="1968"/>
      <c r="AN254" s="1968"/>
      <c r="AO254" s="1968"/>
      <c r="AP254" s="1968"/>
      <c r="AQ254" s="1968"/>
      <c r="AR254" s="1968"/>
      <c r="AS254" s="1968"/>
      <c r="AT254" s="1968"/>
      <c r="AU254" s="1968"/>
      <c r="AV254" s="1968"/>
      <c r="AW254" s="1968"/>
      <c r="AX254" s="1968"/>
      <c r="AY254" s="1968"/>
      <c r="AZ254" s="1968"/>
      <c r="BA254" s="1968"/>
      <c r="BB254" s="1968"/>
      <c r="BC254" s="1968"/>
      <c r="BD254" s="1968"/>
      <c r="BE254" s="1968"/>
      <c r="BF254" s="1968"/>
      <c r="BG254" s="7235"/>
    </row>
    <row customHeight="1" ht="11.25">
      <c r="A255" s="1312" t="s">
        <v>1069</v>
      </c>
      <c r="B255" s="1312"/>
      <c r="C255" s="1312"/>
      <c r="D255" s="1306"/>
      <c r="E255" s="1316"/>
      <c r="F255" s="1974"/>
      <c r="G255" s="1975"/>
      <c r="H255" s="2674" t="s">
        <v>175</v>
      </c>
      <c r="I255" s="2675"/>
      <c r="J255" s="2644"/>
      <c r="K255" s="2676"/>
      <c r="L255" s="2266"/>
      <c r="M255" s="2267"/>
      <c r="N255" s="2667"/>
      <c r="O255" s="2668"/>
      <c r="P255" s="2671"/>
      <c r="Q255" s="8640"/>
      <c r="R255" s="2672"/>
      <c r="S255" s="2673"/>
      <c r="T255" s="2672"/>
      <c r="U255" s="2672"/>
      <c r="V255" s="2672"/>
      <c r="W255" s="2672"/>
      <c r="X255" s="2672"/>
      <c r="Y255" s="2672"/>
      <c r="Z255" s="1321"/>
      <c r="AA255" s="1322"/>
      <c r="AB255" s="1387" t="s">
        <v>1107</v>
      </c>
      <c r="AC255" s="1326"/>
      <c r="AD255" s="1326"/>
      <c r="AE255" s="1328"/>
      <c r="AF255" s="2665"/>
      <c r="AG255" s="2666"/>
      <c r="AH255" s="2666"/>
      <c r="AI255" s="2665"/>
      <c r="AJ255" s="2666"/>
      <c r="AK255" s="2666"/>
      <c r="AL255" s="2131"/>
      <c r="AM255" s="1968"/>
      <c r="AN255" s="1968"/>
      <c r="AO255" s="1968"/>
      <c r="AP255" s="1968"/>
      <c r="AQ255" s="1968"/>
      <c r="AR255" s="1968"/>
      <c r="AS255" s="1968"/>
      <c r="AT255" s="1968"/>
      <c r="AU255" s="1968"/>
      <c r="AV255" s="1968"/>
      <c r="AW255" s="1968"/>
      <c r="AX255" s="1968"/>
      <c r="AY255" s="1968"/>
      <c r="AZ255" s="1968"/>
      <c r="BA255" s="1968"/>
      <c r="BB255" s="1968"/>
      <c r="BC255" s="1968"/>
      <c r="BD255" s="1968"/>
      <c r="BE255" s="1968"/>
      <c r="BF255" s="1968"/>
      <c r="BG255" s="7235"/>
    </row>
    <row customHeight="1" ht="11.25">
      <c r="A256" s="1312" t="s">
        <v>1069</v>
      </c>
      <c r="B256" s="1312"/>
      <c r="C256" s="1312"/>
      <c r="D256" s="1306"/>
      <c r="E256" s="1316"/>
      <c r="F256" s="1974"/>
      <c r="G256" s="1975"/>
      <c r="H256" s="2674" t="s">
        <v>175</v>
      </c>
      <c r="I256" s="2675"/>
      <c r="J256" s="2644"/>
      <c r="K256" s="2676"/>
      <c r="L256" s="2266"/>
      <c r="M256" s="2267"/>
      <c r="N256" s="1321"/>
      <c r="O256" s="1322"/>
      <c r="P256" s="1314" t="s">
        <v>1108</v>
      </c>
      <c r="Q256" s="1322"/>
      <c r="R256" s="1322"/>
      <c r="S256" s="1322"/>
      <c r="T256" s="1322"/>
      <c r="U256" s="1322"/>
      <c r="V256" s="1322"/>
      <c r="W256" s="1322"/>
      <c r="X256" s="1322"/>
      <c r="Y256" s="1322"/>
      <c r="Z256" s="1322"/>
      <c r="AA256" s="1322"/>
      <c r="AB256" s="1322"/>
      <c r="AC256" s="1322"/>
      <c r="AD256" s="1322"/>
      <c r="AE256" s="1329"/>
      <c r="AF256" s="2665"/>
      <c r="AG256" s="2666"/>
      <c r="AH256" s="2666"/>
      <c r="AI256" s="2665"/>
      <c r="AJ256" s="2666"/>
      <c r="AK256" s="2666"/>
      <c r="AL256" s="2131"/>
      <c r="AM256" s="1968"/>
      <c r="AN256" s="1968"/>
      <c r="AO256" s="1968"/>
      <c r="AP256" s="1968"/>
      <c r="AQ256" s="1968"/>
      <c r="AR256" s="1968"/>
      <c r="AS256" s="1968"/>
      <c r="AT256" s="1968"/>
      <c r="AU256" s="1968"/>
      <c r="AV256" s="1968"/>
      <c r="AW256" s="1968"/>
      <c r="AX256" s="1968"/>
      <c r="AY256" s="1968"/>
      <c r="AZ256" s="1968"/>
      <c r="BA256" s="1968"/>
      <c r="BB256" s="1968"/>
      <c r="BC256" s="1968"/>
      <c r="BD256" s="1968"/>
      <c r="BE256" s="1968"/>
      <c r="BF256" s="1968"/>
      <c r="BG256" s="7235"/>
    </row>
    <row customHeight="1" ht="11.25">
      <c r="A257" s="1312" t="s">
        <v>1069</v>
      </c>
      <c r="B257" s="1312" t="s">
        <v>1168</v>
      </c>
      <c r="C257" s="1312"/>
      <c r="D257" s="1306"/>
      <c r="E257" s="1316"/>
      <c r="F257" s="1974"/>
      <c r="G257" s="7143" t="s">
        <v>106</v>
      </c>
      <c r="H257" s="2674" t="s">
        <v>177</v>
      </c>
      <c r="I257" s="2675" t="s">
        <v>1169</v>
      </c>
      <c r="J257" s="2644" t="s">
        <v>1174</v>
      </c>
      <c r="K257" s="2676" t="s">
        <v>1189</v>
      </c>
      <c r="L257" s="2266" t="s">
        <v>19</v>
      </c>
      <c r="M257" s="2267"/>
      <c r="N257" s="2129"/>
      <c r="O257" s="1323" t="s">
        <v>398</v>
      </c>
      <c r="P257" s="1324"/>
      <c r="Q257" s="1324"/>
      <c r="R257" s="1324"/>
      <c r="S257" s="1324"/>
      <c r="T257" s="1324"/>
      <c r="U257" s="1324"/>
      <c r="V257" s="1324"/>
      <c r="W257" s="1324"/>
      <c r="X257" s="1324"/>
      <c r="Y257" s="1324"/>
      <c r="Z257" s="1324"/>
      <c r="AA257" s="1324"/>
      <c r="AB257" s="1324"/>
      <c r="AC257" s="1324"/>
      <c r="AD257" s="1324"/>
      <c r="AE257" s="1324"/>
      <c r="AF257" s="2665">
        <v>2023</v>
      </c>
      <c r="AG257" s="2666" t="s">
        <v>1103</v>
      </c>
      <c r="AH257" s="2666" t="s">
        <v>1151</v>
      </c>
      <c r="AI257" s="8639"/>
      <c r="AJ257" s="2666" t="s">
        <v>1152</v>
      </c>
      <c r="AK257" s="2666" t="s">
        <v>1152</v>
      </c>
      <c r="AL257" s="2131"/>
      <c r="AM257" s="1968"/>
      <c r="AN257" s="1968"/>
      <c r="AO257" s="1968"/>
      <c r="AP257" s="1968"/>
      <c r="AQ257" s="1968"/>
      <c r="AR257" s="1968"/>
      <c r="AS257" s="1968"/>
      <c r="AT257" s="1968"/>
      <c r="AU257" s="1968"/>
      <c r="AV257" s="1968"/>
      <c r="AW257" s="1968"/>
      <c r="AX257" s="1968"/>
      <c r="AY257" s="1968"/>
      <c r="AZ257" s="1968"/>
      <c r="BA257" s="1968"/>
      <c r="BB257" s="1968"/>
      <c r="BC257" s="1968"/>
      <c r="BD257" s="1968"/>
      <c r="BE257" s="1968"/>
      <c r="BF257" s="1968"/>
      <c r="BG257" s="7235"/>
    </row>
    <row customHeight="1" ht="11.25">
      <c r="A258" s="1312" t="s">
        <v>1069</v>
      </c>
      <c r="B258" s="1312"/>
      <c r="C258" s="1312"/>
      <c r="D258" s="1306"/>
      <c r="E258" s="1316"/>
      <c r="F258" s="1974"/>
      <c r="G258" s="1975"/>
      <c r="H258" s="2674" t="s">
        <v>176</v>
      </c>
      <c r="I258" s="2675"/>
      <c r="J258" s="2644"/>
      <c r="K258" s="2676"/>
      <c r="L258" s="2266"/>
      <c r="M258" s="2267"/>
      <c r="N258" s="2667"/>
      <c r="O258" s="2668">
        <v>1</v>
      </c>
      <c r="P258" s="2669" t="s">
        <v>63</v>
      </c>
      <c r="Q258" s="8640" t="s">
        <v>1176</v>
      </c>
      <c r="R258" s="8641" t="s">
        <v>1177</v>
      </c>
      <c r="S258" s="8641" t="s">
        <v>113</v>
      </c>
      <c r="T258" s="8641" t="s">
        <v>113</v>
      </c>
      <c r="U258" s="8641" t="s">
        <v>114</v>
      </c>
      <c r="V258" s="8641" t="s">
        <v>1115</v>
      </c>
      <c r="W258" s="8641" t="s">
        <v>1116</v>
      </c>
      <c r="X258" s="8641" t="s">
        <v>1178</v>
      </c>
      <c r="Y258" s="8641" t="s">
        <v>1178</v>
      </c>
      <c r="Z258" s="1321"/>
      <c r="AA258" s="1322"/>
      <c r="AB258" s="1322"/>
      <c r="AC258" s="1326"/>
      <c r="AD258" s="1326"/>
      <c r="AE258" s="1327"/>
      <c r="AF258" s="2665"/>
      <c r="AG258" s="2666"/>
      <c r="AH258" s="2666"/>
      <c r="AI258" s="8639"/>
      <c r="AJ258" s="2666"/>
      <c r="AK258" s="2666"/>
      <c r="AL258" s="2131"/>
      <c r="AM258" s="1968"/>
      <c r="AN258" s="1968"/>
      <c r="AO258" s="1968"/>
      <c r="AP258" s="1968"/>
      <c r="AQ258" s="1968"/>
      <c r="AR258" s="1968"/>
      <c r="AS258" s="1968"/>
      <c r="AT258" s="1968"/>
      <c r="AU258" s="1968"/>
      <c r="AV258" s="1968"/>
      <c r="AW258" s="1968"/>
      <c r="AX258" s="1968"/>
      <c r="AY258" s="1968"/>
      <c r="AZ258" s="1968"/>
      <c r="BA258" s="1968"/>
      <c r="BB258" s="1968"/>
      <c r="BC258" s="1968"/>
      <c r="BD258" s="1968"/>
      <c r="BE258" s="1968"/>
      <c r="BF258" s="1968"/>
      <c r="BG258" s="7235"/>
    </row>
    <row customHeight="1" ht="11.25">
      <c r="A259" s="1312" t="s">
        <v>1069</v>
      </c>
      <c r="B259" s="1312"/>
      <c r="C259" s="1312"/>
      <c r="D259" s="1306"/>
      <c r="E259" s="1316"/>
      <c r="F259" s="1974"/>
      <c r="G259" s="1975"/>
      <c r="H259" s="2674" t="s">
        <v>176</v>
      </c>
      <c r="I259" s="2675"/>
      <c r="J259" s="2644"/>
      <c r="K259" s="2676"/>
      <c r="L259" s="2266"/>
      <c r="M259" s="2267"/>
      <c r="N259" s="2667"/>
      <c r="O259" s="2668"/>
      <c r="P259" s="2670"/>
      <c r="Q259" s="8640"/>
      <c r="R259" s="2672"/>
      <c r="S259" s="2673"/>
      <c r="T259" s="2672"/>
      <c r="U259" s="2672"/>
      <c r="V259" s="2672"/>
      <c r="W259" s="2672"/>
      <c r="X259" s="2672"/>
      <c r="Y259" s="2672"/>
      <c r="Z259" s="1973"/>
      <c r="AA259" s="1939">
        <v>1</v>
      </c>
      <c r="AB259" s="1325" t="s">
        <v>1172</v>
      </c>
      <c r="AC259" s="1315">
        <v>0</v>
      </c>
      <c r="AD259" s="1325" t="str">
        <f>AB259</f>
        <v>  За счет платы за технологическое присоединение</v>
      </c>
      <c r="AE259" s="1315">
        <v>2189.89738333333</v>
      </c>
      <c r="AF259" s="2665"/>
      <c r="AG259" s="2666"/>
      <c r="AH259" s="2666"/>
      <c r="AI259" s="8639"/>
      <c r="AJ259" s="2666"/>
      <c r="AK259" s="2666"/>
      <c r="AL259" s="2131"/>
      <c r="AM259" s="1968"/>
      <c r="AN259" s="1968"/>
      <c r="AO259" s="1968"/>
      <c r="AP259" s="1968"/>
      <c r="AQ259" s="1968"/>
      <c r="AR259" s="1968"/>
      <c r="AS259" s="1968"/>
      <c r="AT259" s="1968"/>
      <c r="AU259" s="1968"/>
      <c r="AV259" s="1968"/>
      <c r="AW259" s="1968"/>
      <c r="AX259" s="1968"/>
      <c r="AY259" s="1968"/>
      <c r="AZ259" s="1968"/>
      <c r="BA259" s="1968"/>
      <c r="BB259" s="1968"/>
      <c r="BC259" s="1968"/>
      <c r="BD259" s="1968"/>
      <c r="BE259" s="1968"/>
      <c r="BF259" s="1968"/>
      <c r="BG259" s="7235"/>
    </row>
    <row customHeight="1" ht="11.25">
      <c r="A260" s="1312" t="s">
        <v>1069</v>
      </c>
      <c r="B260" s="1312"/>
      <c r="C260" s="1312"/>
      <c r="D260" s="1306"/>
      <c r="E260" s="1316"/>
      <c r="F260" s="1974"/>
      <c r="G260" s="1975"/>
      <c r="H260" s="2674" t="s">
        <v>176</v>
      </c>
      <c r="I260" s="2675"/>
      <c r="J260" s="2644"/>
      <c r="K260" s="2676"/>
      <c r="L260" s="2266"/>
      <c r="M260" s="2267"/>
      <c r="N260" s="2667"/>
      <c r="O260" s="2668"/>
      <c r="P260" s="2671"/>
      <c r="Q260" s="8640"/>
      <c r="R260" s="2672"/>
      <c r="S260" s="2673"/>
      <c r="T260" s="2672"/>
      <c r="U260" s="2672"/>
      <c r="V260" s="2672"/>
      <c r="W260" s="2672"/>
      <c r="X260" s="2672"/>
      <c r="Y260" s="2672"/>
      <c r="Z260" s="1321"/>
      <c r="AA260" s="1322"/>
      <c r="AB260" s="1387" t="s">
        <v>1107</v>
      </c>
      <c r="AC260" s="1326"/>
      <c r="AD260" s="1326"/>
      <c r="AE260" s="1328"/>
      <c r="AF260" s="2665"/>
      <c r="AG260" s="2666"/>
      <c r="AH260" s="2666"/>
      <c r="AI260" s="8639"/>
      <c r="AJ260" s="2666"/>
      <c r="AK260" s="2666"/>
      <c r="AL260" s="2131"/>
      <c r="AM260" s="1968"/>
      <c r="AN260" s="1968"/>
      <c r="AO260" s="1968"/>
      <c r="AP260" s="1968"/>
      <c r="AQ260" s="1968"/>
      <c r="AR260" s="1968"/>
      <c r="AS260" s="1968"/>
      <c r="AT260" s="1968"/>
      <c r="AU260" s="1968"/>
      <c r="AV260" s="1968"/>
      <c r="AW260" s="1968"/>
      <c r="AX260" s="1968"/>
      <c r="AY260" s="1968"/>
      <c r="AZ260" s="1968"/>
      <c r="BA260" s="1968"/>
      <c r="BB260" s="1968"/>
      <c r="BC260" s="1968"/>
      <c r="BD260" s="1968"/>
      <c r="BE260" s="1968"/>
      <c r="BF260" s="1968"/>
      <c r="BG260" s="7235"/>
    </row>
    <row customHeight="1" ht="11.25">
      <c r="A261" s="1312" t="s">
        <v>1069</v>
      </c>
      <c r="B261" s="1312"/>
      <c r="C261" s="1312"/>
      <c r="D261" s="1306"/>
      <c r="E261" s="1316"/>
      <c r="F261" s="1974"/>
      <c r="G261" s="1975"/>
      <c r="H261" s="2674" t="s">
        <v>176</v>
      </c>
      <c r="I261" s="2675"/>
      <c r="J261" s="2644"/>
      <c r="K261" s="2676"/>
      <c r="L261" s="2266"/>
      <c r="M261" s="2267"/>
      <c r="N261" s="1321"/>
      <c r="O261" s="1322"/>
      <c r="P261" s="1314" t="s">
        <v>1108</v>
      </c>
      <c r="Q261" s="1322"/>
      <c r="R261" s="1322"/>
      <c r="S261" s="1322"/>
      <c r="T261" s="1322"/>
      <c r="U261" s="1322"/>
      <c r="V261" s="1322"/>
      <c r="W261" s="1322"/>
      <c r="X261" s="1322"/>
      <c r="Y261" s="1322"/>
      <c r="Z261" s="1322"/>
      <c r="AA261" s="1322"/>
      <c r="AB261" s="1322"/>
      <c r="AC261" s="1322"/>
      <c r="AD261" s="1322"/>
      <c r="AE261" s="1329"/>
      <c r="AF261" s="2665"/>
      <c r="AG261" s="2666"/>
      <c r="AH261" s="2666"/>
      <c r="AI261" s="8639"/>
      <c r="AJ261" s="2666"/>
      <c r="AK261" s="2666"/>
      <c r="AL261" s="2131"/>
      <c r="AM261" s="1968"/>
      <c r="AN261" s="1968"/>
      <c r="AO261" s="1968"/>
      <c r="AP261" s="1968"/>
      <c r="AQ261" s="1968"/>
      <c r="AR261" s="1968"/>
      <c r="AS261" s="1968"/>
      <c r="AT261" s="1968"/>
      <c r="AU261" s="1968"/>
      <c r="AV261" s="1968"/>
      <c r="AW261" s="1968"/>
      <c r="AX261" s="1968"/>
      <c r="AY261" s="1968"/>
      <c r="AZ261" s="1968"/>
      <c r="BA261" s="1968"/>
      <c r="BB261" s="1968"/>
      <c r="BC261" s="1968"/>
      <c r="BD261" s="1968"/>
      <c r="BE261" s="1968"/>
      <c r="BF261" s="1968"/>
      <c r="BG261" s="7235"/>
    </row>
    <row customHeight="1" ht="11.25">
      <c r="A262" s="1312" t="s">
        <v>1069</v>
      </c>
      <c r="B262" s="1312" t="s">
        <v>1168</v>
      </c>
      <c r="C262" s="1312"/>
      <c r="D262" s="1306"/>
      <c r="E262" s="1316"/>
      <c r="F262" s="1974"/>
      <c r="G262" s="7143" t="s">
        <v>106</v>
      </c>
      <c r="H262" s="2674" t="s">
        <v>1190</v>
      </c>
      <c r="I262" s="2675" t="s">
        <v>1169</v>
      </c>
      <c r="J262" s="2644" t="s">
        <v>1174</v>
      </c>
      <c r="K262" s="2676" t="s">
        <v>1191</v>
      </c>
      <c r="L262" s="2266" t="s">
        <v>19</v>
      </c>
      <c r="M262" s="2267"/>
      <c r="N262" s="2129"/>
      <c r="O262" s="1323" t="s">
        <v>398</v>
      </c>
      <c r="P262" s="1324"/>
      <c r="Q262" s="1324"/>
      <c r="R262" s="1324"/>
      <c r="S262" s="1324"/>
      <c r="T262" s="1324"/>
      <c r="U262" s="1324"/>
      <c r="V262" s="1324"/>
      <c r="W262" s="1324"/>
      <c r="X262" s="1324"/>
      <c r="Y262" s="1324"/>
      <c r="Z262" s="1324"/>
      <c r="AA262" s="1324"/>
      <c r="AB262" s="1324"/>
      <c r="AC262" s="1324"/>
      <c r="AD262" s="1324"/>
      <c r="AE262" s="1324"/>
      <c r="AF262" s="2665">
        <v>2023</v>
      </c>
      <c r="AG262" s="2666" t="s">
        <v>1103</v>
      </c>
      <c r="AH262" s="2666" t="s">
        <v>1151</v>
      </c>
      <c r="AI262" s="8639"/>
      <c r="AJ262" s="2666" t="s">
        <v>1152</v>
      </c>
      <c r="AK262" s="2666" t="s">
        <v>1152</v>
      </c>
      <c r="AL262" s="2131"/>
      <c r="AM262" s="1968"/>
      <c r="AN262" s="1968"/>
      <c r="AO262" s="1968"/>
      <c r="AP262" s="1968"/>
      <c r="AQ262" s="1968"/>
      <c r="AR262" s="1968"/>
      <c r="AS262" s="1968"/>
      <c r="AT262" s="1968"/>
      <c r="AU262" s="1968"/>
      <c r="AV262" s="1968"/>
      <c r="AW262" s="1968"/>
      <c r="AX262" s="1968"/>
      <c r="AY262" s="1968"/>
      <c r="AZ262" s="1968"/>
      <c r="BA262" s="1968"/>
      <c r="BB262" s="1968"/>
      <c r="BC262" s="1968"/>
      <c r="BD262" s="1968"/>
      <c r="BE262" s="1968"/>
      <c r="BF262" s="1968"/>
      <c r="BG262" s="7235"/>
    </row>
    <row customHeight="1" ht="11.25">
      <c r="A263" s="1312" t="s">
        <v>1069</v>
      </c>
      <c r="B263" s="1312"/>
      <c r="C263" s="1312"/>
      <c r="D263" s="1306"/>
      <c r="E263" s="1316"/>
      <c r="F263" s="1974"/>
      <c r="G263" s="1975"/>
      <c r="H263" s="2674" t="s">
        <v>177</v>
      </c>
      <c r="I263" s="2675"/>
      <c r="J263" s="2644"/>
      <c r="K263" s="2676"/>
      <c r="L263" s="2266"/>
      <c r="M263" s="2267"/>
      <c r="N263" s="2667"/>
      <c r="O263" s="2668">
        <v>1</v>
      </c>
      <c r="P263" s="2669" t="s">
        <v>63</v>
      </c>
      <c r="Q263" s="8640" t="s">
        <v>133</v>
      </c>
      <c r="R263" s="8641" t="s">
        <v>1114</v>
      </c>
      <c r="S263" s="8641" t="s">
        <v>109</v>
      </c>
      <c r="T263" s="8641" t="s">
        <v>109</v>
      </c>
      <c r="U263" s="8641" t="s">
        <v>110</v>
      </c>
      <c r="V263" s="8641" t="s">
        <v>1192</v>
      </c>
      <c r="W263" s="8641" t="s">
        <v>1193</v>
      </c>
      <c r="X263" s="8641" t="s">
        <v>1194</v>
      </c>
      <c r="Y263" s="8641" t="s">
        <v>1195</v>
      </c>
      <c r="Z263" s="1321"/>
      <c r="AA263" s="1322"/>
      <c r="AB263" s="1322"/>
      <c r="AC263" s="1326"/>
      <c r="AD263" s="1326"/>
      <c r="AE263" s="1327"/>
      <c r="AF263" s="2665"/>
      <c r="AG263" s="2666"/>
      <c r="AH263" s="2666"/>
      <c r="AI263" s="8639"/>
      <c r="AJ263" s="2666"/>
      <c r="AK263" s="2666"/>
      <c r="AL263" s="2131"/>
      <c r="AM263" s="1968"/>
      <c r="AN263" s="1968"/>
      <c r="AO263" s="1968"/>
      <c r="AP263" s="1968"/>
      <c r="AQ263" s="1968"/>
      <c r="AR263" s="1968"/>
      <c r="AS263" s="1968"/>
      <c r="AT263" s="1968"/>
      <c r="AU263" s="1968"/>
      <c r="AV263" s="1968"/>
      <c r="AW263" s="1968"/>
      <c r="AX263" s="1968"/>
      <c r="AY263" s="1968"/>
      <c r="AZ263" s="1968"/>
      <c r="BA263" s="1968"/>
      <c r="BB263" s="1968"/>
      <c r="BC263" s="1968"/>
      <c r="BD263" s="1968"/>
      <c r="BE263" s="1968"/>
      <c r="BF263" s="1968"/>
      <c r="BG263" s="7235"/>
    </row>
    <row customHeight="1" ht="11.25">
      <c r="A264" s="1312" t="s">
        <v>1069</v>
      </c>
      <c r="B264" s="1312"/>
      <c r="C264" s="1312"/>
      <c r="D264" s="1306"/>
      <c r="E264" s="1316"/>
      <c r="F264" s="1974"/>
      <c r="G264" s="1975"/>
      <c r="H264" s="2674" t="s">
        <v>177</v>
      </c>
      <c r="I264" s="2675"/>
      <c r="J264" s="2644"/>
      <c r="K264" s="2676"/>
      <c r="L264" s="2266"/>
      <c r="M264" s="2267"/>
      <c r="N264" s="2667"/>
      <c r="O264" s="2668"/>
      <c r="P264" s="2670"/>
      <c r="Q264" s="8640"/>
      <c r="R264" s="2672"/>
      <c r="S264" s="2673"/>
      <c r="T264" s="2672"/>
      <c r="U264" s="2672"/>
      <c r="V264" s="2672"/>
      <c r="W264" s="2672"/>
      <c r="X264" s="2672"/>
      <c r="Y264" s="2672"/>
      <c r="Z264" s="1973"/>
      <c r="AA264" s="1939">
        <v>1</v>
      </c>
      <c r="AB264" s="1325" t="s">
        <v>1172</v>
      </c>
      <c r="AC264" s="1315">
        <v>0</v>
      </c>
      <c r="AD264" s="1325" t="str">
        <f>AB264</f>
        <v>  За счет платы за технологическое присоединение</v>
      </c>
      <c r="AE264" s="1315">
        <v>4113.86582833333</v>
      </c>
      <c r="AF264" s="2665"/>
      <c r="AG264" s="2666"/>
      <c r="AH264" s="2666"/>
      <c r="AI264" s="8639"/>
      <c r="AJ264" s="2666"/>
      <c r="AK264" s="2666"/>
      <c r="AL264" s="2131"/>
      <c r="AM264" s="1968"/>
      <c r="AN264" s="1968"/>
      <c r="AO264" s="1968"/>
      <c r="AP264" s="1968"/>
      <c r="AQ264" s="1968"/>
      <c r="AR264" s="1968"/>
      <c r="AS264" s="1968"/>
      <c r="AT264" s="1968"/>
      <c r="AU264" s="1968"/>
      <c r="AV264" s="1968"/>
      <c r="AW264" s="1968"/>
      <c r="AX264" s="1968"/>
      <c r="AY264" s="1968"/>
      <c r="AZ264" s="1968"/>
      <c r="BA264" s="1968"/>
      <c r="BB264" s="1968"/>
      <c r="BC264" s="1968"/>
      <c r="BD264" s="1968"/>
      <c r="BE264" s="1968"/>
      <c r="BF264" s="1968"/>
      <c r="BG264" s="7235"/>
    </row>
    <row customHeight="1" ht="11.25">
      <c r="A265" s="1312" t="s">
        <v>1069</v>
      </c>
      <c r="B265" s="1312"/>
      <c r="C265" s="1312"/>
      <c r="D265" s="1306"/>
      <c r="E265" s="1316"/>
      <c r="F265" s="1974"/>
      <c r="G265" s="1975"/>
      <c r="H265" s="2674" t="s">
        <v>177</v>
      </c>
      <c r="I265" s="2675"/>
      <c r="J265" s="2644"/>
      <c r="K265" s="2676"/>
      <c r="L265" s="2266"/>
      <c r="M265" s="2267"/>
      <c r="N265" s="2667"/>
      <c r="O265" s="2668"/>
      <c r="P265" s="2671"/>
      <c r="Q265" s="8640"/>
      <c r="R265" s="2672"/>
      <c r="S265" s="2673"/>
      <c r="T265" s="2672"/>
      <c r="U265" s="2672"/>
      <c r="V265" s="2672"/>
      <c r="W265" s="2672"/>
      <c r="X265" s="2672"/>
      <c r="Y265" s="2672"/>
      <c r="Z265" s="1321"/>
      <c r="AA265" s="1322"/>
      <c r="AB265" s="1387" t="s">
        <v>1107</v>
      </c>
      <c r="AC265" s="1326"/>
      <c r="AD265" s="1326"/>
      <c r="AE265" s="1328"/>
      <c r="AF265" s="2665"/>
      <c r="AG265" s="2666"/>
      <c r="AH265" s="2666"/>
      <c r="AI265" s="8639"/>
      <c r="AJ265" s="2666"/>
      <c r="AK265" s="2666"/>
      <c r="AL265" s="2131"/>
      <c r="AM265" s="1968"/>
      <c r="AN265" s="1968"/>
      <c r="AO265" s="1968"/>
      <c r="AP265" s="1968"/>
      <c r="AQ265" s="1968"/>
      <c r="AR265" s="1968"/>
      <c r="AS265" s="1968"/>
      <c r="AT265" s="1968"/>
      <c r="AU265" s="1968"/>
      <c r="AV265" s="1968"/>
      <c r="AW265" s="1968"/>
      <c r="AX265" s="1968"/>
      <c r="AY265" s="1968"/>
      <c r="AZ265" s="1968"/>
      <c r="BA265" s="1968"/>
      <c r="BB265" s="1968"/>
      <c r="BC265" s="1968"/>
      <c r="BD265" s="1968"/>
      <c r="BE265" s="1968"/>
      <c r="BF265" s="1968"/>
      <c r="BG265" s="7235"/>
    </row>
    <row customHeight="1" ht="11.25">
      <c r="A266" s="1312" t="s">
        <v>1069</v>
      </c>
      <c r="B266" s="1312"/>
      <c r="C266" s="1312"/>
      <c r="D266" s="1306"/>
      <c r="E266" s="1316"/>
      <c r="F266" s="1974"/>
      <c r="G266" s="1975"/>
      <c r="H266" s="2674" t="s">
        <v>177</v>
      </c>
      <c r="I266" s="2675"/>
      <c r="J266" s="2644"/>
      <c r="K266" s="2676"/>
      <c r="L266" s="2266"/>
      <c r="M266" s="2267"/>
      <c r="N266" s="1321"/>
      <c r="O266" s="1322"/>
      <c r="P266" s="1314" t="s">
        <v>1108</v>
      </c>
      <c r="Q266" s="1322"/>
      <c r="R266" s="1322"/>
      <c r="S266" s="1322"/>
      <c r="T266" s="1322"/>
      <c r="U266" s="1322"/>
      <c r="V266" s="1322"/>
      <c r="W266" s="1322"/>
      <c r="X266" s="1322"/>
      <c r="Y266" s="1322"/>
      <c r="Z266" s="1322"/>
      <c r="AA266" s="1322"/>
      <c r="AB266" s="1322"/>
      <c r="AC266" s="1322"/>
      <c r="AD266" s="1322"/>
      <c r="AE266" s="1329"/>
      <c r="AF266" s="2665"/>
      <c r="AG266" s="2666"/>
      <c r="AH266" s="2666"/>
      <c r="AI266" s="8639"/>
      <c r="AJ266" s="2666"/>
      <c r="AK266" s="2666"/>
      <c r="AL266" s="2131"/>
      <c r="AM266" s="1968"/>
      <c r="AN266" s="1968"/>
      <c r="AO266" s="1968"/>
      <c r="AP266" s="1968"/>
      <c r="AQ266" s="1968"/>
      <c r="AR266" s="1968"/>
      <c r="AS266" s="1968"/>
      <c r="AT266" s="1968"/>
      <c r="AU266" s="1968"/>
      <c r="AV266" s="1968"/>
      <c r="AW266" s="1968"/>
      <c r="AX266" s="1968"/>
      <c r="AY266" s="1968"/>
      <c r="AZ266" s="1968"/>
      <c r="BA266" s="1968"/>
      <c r="BB266" s="1968"/>
      <c r="BC266" s="1968"/>
      <c r="BD266" s="1968"/>
      <c r="BE266" s="1968"/>
      <c r="BF266" s="1968"/>
      <c r="BG266" s="7235"/>
    </row>
    <row customHeight="1" ht="11.25">
      <c r="A267" s="1312" t="s">
        <v>1069</v>
      </c>
      <c r="B267" s="1312" t="s">
        <v>1168</v>
      </c>
      <c r="C267" s="1312"/>
      <c r="D267" s="1306"/>
      <c r="E267" s="1316"/>
      <c r="F267" s="1974"/>
      <c r="G267" s="7143" t="s">
        <v>106</v>
      </c>
      <c r="H267" s="2674" t="s">
        <v>1196</v>
      </c>
      <c r="I267" s="2675" t="s">
        <v>1169</v>
      </c>
      <c r="J267" s="2644" t="s">
        <v>1174</v>
      </c>
      <c r="K267" s="2676" t="s">
        <v>1197</v>
      </c>
      <c r="L267" s="2266" t="s">
        <v>19</v>
      </c>
      <c r="M267" s="2267"/>
      <c r="N267" s="2129"/>
      <c r="O267" s="1323" t="s">
        <v>398</v>
      </c>
      <c r="P267" s="1324"/>
      <c r="Q267" s="1324"/>
      <c r="R267" s="1324"/>
      <c r="S267" s="1324"/>
      <c r="T267" s="1324"/>
      <c r="U267" s="1324"/>
      <c r="V267" s="1324"/>
      <c r="W267" s="1324"/>
      <c r="X267" s="1324"/>
      <c r="Y267" s="1324"/>
      <c r="Z267" s="1324"/>
      <c r="AA267" s="1324"/>
      <c r="AB267" s="1324"/>
      <c r="AC267" s="1324"/>
      <c r="AD267" s="1324"/>
      <c r="AE267" s="1324"/>
      <c r="AF267" s="2665">
        <v>2023</v>
      </c>
      <c r="AG267" s="2666" t="s">
        <v>1103</v>
      </c>
      <c r="AH267" s="2666" t="s">
        <v>1151</v>
      </c>
      <c r="AI267" s="8639"/>
      <c r="AJ267" s="2666" t="s">
        <v>1152</v>
      </c>
      <c r="AK267" s="2666" t="s">
        <v>1152</v>
      </c>
      <c r="AL267" s="2131"/>
      <c r="AM267" s="1968"/>
      <c r="AN267" s="1968"/>
      <c r="AO267" s="1968"/>
      <c r="AP267" s="1968"/>
      <c r="AQ267" s="1968"/>
      <c r="AR267" s="1968"/>
      <c r="AS267" s="1968"/>
      <c r="AT267" s="1968"/>
      <c r="AU267" s="1968"/>
      <c r="AV267" s="1968"/>
      <c r="AW267" s="1968"/>
      <c r="AX267" s="1968"/>
      <c r="AY267" s="1968"/>
      <c r="AZ267" s="1968"/>
      <c r="BA267" s="1968"/>
      <c r="BB267" s="1968"/>
      <c r="BC267" s="1968"/>
      <c r="BD267" s="1968"/>
      <c r="BE267" s="1968"/>
      <c r="BF267" s="1968"/>
      <c r="BG267" s="7235"/>
    </row>
    <row customHeight="1" ht="11.25">
      <c r="A268" s="1312" t="s">
        <v>1069</v>
      </c>
      <c r="B268" s="1312"/>
      <c r="C268" s="1312"/>
      <c r="D268" s="1306"/>
      <c r="E268" s="1316"/>
      <c r="F268" s="1974"/>
      <c r="G268" s="1975"/>
      <c r="H268" s="2674" t="s">
        <v>1190</v>
      </c>
      <c r="I268" s="2675"/>
      <c r="J268" s="2644"/>
      <c r="K268" s="2676"/>
      <c r="L268" s="2266"/>
      <c r="M268" s="2267"/>
      <c r="N268" s="2667"/>
      <c r="O268" s="2668">
        <v>1</v>
      </c>
      <c r="P268" s="2669" t="s">
        <v>63</v>
      </c>
      <c r="Q268" s="8640" t="s">
        <v>133</v>
      </c>
      <c r="R268" s="8641" t="s">
        <v>1114</v>
      </c>
      <c r="S268" s="8641" t="s">
        <v>109</v>
      </c>
      <c r="T268" s="8641" t="s">
        <v>109</v>
      </c>
      <c r="U268" s="8641" t="s">
        <v>110</v>
      </c>
      <c r="V268" s="8641" t="s">
        <v>1192</v>
      </c>
      <c r="W268" s="8641" t="s">
        <v>1193</v>
      </c>
      <c r="X268" s="8641" t="s">
        <v>1194</v>
      </c>
      <c r="Y268" s="8641" t="s">
        <v>1195</v>
      </c>
      <c r="Z268" s="1321"/>
      <c r="AA268" s="1322"/>
      <c r="AB268" s="1322"/>
      <c r="AC268" s="1326"/>
      <c r="AD268" s="1326"/>
      <c r="AE268" s="1327"/>
      <c r="AF268" s="2665"/>
      <c r="AG268" s="2666"/>
      <c r="AH268" s="2666"/>
      <c r="AI268" s="8639"/>
      <c r="AJ268" s="2666"/>
      <c r="AK268" s="2666"/>
      <c r="AL268" s="2131"/>
      <c r="AM268" s="1968"/>
      <c r="AN268" s="1968"/>
      <c r="AO268" s="1968"/>
      <c r="AP268" s="1968"/>
      <c r="AQ268" s="1968"/>
      <c r="AR268" s="1968"/>
      <c r="AS268" s="1968"/>
      <c r="AT268" s="1968"/>
      <c r="AU268" s="1968"/>
      <c r="AV268" s="1968"/>
      <c r="AW268" s="1968"/>
      <c r="AX268" s="1968"/>
      <c r="AY268" s="1968"/>
      <c r="AZ268" s="1968"/>
      <c r="BA268" s="1968"/>
      <c r="BB268" s="1968"/>
      <c r="BC268" s="1968"/>
      <c r="BD268" s="1968"/>
      <c r="BE268" s="1968"/>
      <c r="BF268" s="1968"/>
      <c r="BG268" s="7235"/>
    </row>
    <row customHeight="1" ht="11.25">
      <c r="A269" s="1312" t="s">
        <v>1069</v>
      </c>
      <c r="B269" s="1312"/>
      <c r="C269" s="1312"/>
      <c r="D269" s="1306"/>
      <c r="E269" s="1316"/>
      <c r="F269" s="1974"/>
      <c r="G269" s="1975"/>
      <c r="H269" s="2674" t="s">
        <v>1190</v>
      </c>
      <c r="I269" s="2675"/>
      <c r="J269" s="2644"/>
      <c r="K269" s="2676"/>
      <c r="L269" s="2266"/>
      <c r="M269" s="2267"/>
      <c r="N269" s="2667"/>
      <c r="O269" s="2668"/>
      <c r="P269" s="2670"/>
      <c r="Q269" s="8640"/>
      <c r="R269" s="2672"/>
      <c r="S269" s="2673"/>
      <c r="T269" s="2672"/>
      <c r="U269" s="2672"/>
      <c r="V269" s="2672"/>
      <c r="W269" s="2672"/>
      <c r="X269" s="2672"/>
      <c r="Y269" s="2672"/>
      <c r="Z269" s="1973"/>
      <c r="AA269" s="1939">
        <v>1</v>
      </c>
      <c r="AB269" s="1325" t="s">
        <v>1172</v>
      </c>
      <c r="AC269" s="1315">
        <v>0</v>
      </c>
      <c r="AD269" s="1325" t="str">
        <f>AB269</f>
        <v>  За счет платы за технологическое присоединение</v>
      </c>
      <c r="AE269" s="1315">
        <v>6742.218855</v>
      </c>
      <c r="AF269" s="2665"/>
      <c r="AG269" s="2666"/>
      <c r="AH269" s="2666"/>
      <c r="AI269" s="8639"/>
      <c r="AJ269" s="2666"/>
      <c r="AK269" s="2666"/>
      <c r="AL269" s="2131"/>
      <c r="AM269" s="1968"/>
      <c r="AN269" s="1968"/>
      <c r="AO269" s="1968"/>
      <c r="AP269" s="1968"/>
      <c r="AQ269" s="1968"/>
      <c r="AR269" s="1968"/>
      <c r="AS269" s="1968"/>
      <c r="AT269" s="1968"/>
      <c r="AU269" s="1968"/>
      <c r="AV269" s="1968"/>
      <c r="AW269" s="1968"/>
      <c r="AX269" s="1968"/>
      <c r="AY269" s="1968"/>
      <c r="AZ269" s="1968"/>
      <c r="BA269" s="1968"/>
      <c r="BB269" s="1968"/>
      <c r="BC269" s="1968"/>
      <c r="BD269" s="1968"/>
      <c r="BE269" s="1968"/>
      <c r="BF269" s="1968"/>
      <c r="BG269" s="7235"/>
    </row>
    <row customHeight="1" ht="11.25">
      <c r="A270" s="1312" t="s">
        <v>1069</v>
      </c>
      <c r="B270" s="1312"/>
      <c r="C270" s="1312"/>
      <c r="D270" s="1306"/>
      <c r="E270" s="1316"/>
      <c r="F270" s="1974"/>
      <c r="G270" s="1975"/>
      <c r="H270" s="2674" t="s">
        <v>1190</v>
      </c>
      <c r="I270" s="2675"/>
      <c r="J270" s="2644"/>
      <c r="K270" s="2676"/>
      <c r="L270" s="2266"/>
      <c r="M270" s="2267"/>
      <c r="N270" s="2667"/>
      <c r="O270" s="2668"/>
      <c r="P270" s="2671"/>
      <c r="Q270" s="8640"/>
      <c r="R270" s="2672"/>
      <c r="S270" s="2673"/>
      <c r="T270" s="2672"/>
      <c r="U270" s="2672"/>
      <c r="V270" s="2672"/>
      <c r="W270" s="2672"/>
      <c r="X270" s="2672"/>
      <c r="Y270" s="2672"/>
      <c r="Z270" s="1321"/>
      <c r="AA270" s="1322"/>
      <c r="AB270" s="1387" t="s">
        <v>1107</v>
      </c>
      <c r="AC270" s="1326"/>
      <c r="AD270" s="1326"/>
      <c r="AE270" s="1328"/>
      <c r="AF270" s="2665"/>
      <c r="AG270" s="2666"/>
      <c r="AH270" s="2666"/>
      <c r="AI270" s="8639"/>
      <c r="AJ270" s="2666"/>
      <c r="AK270" s="2666"/>
      <c r="AL270" s="2131"/>
      <c r="AM270" s="1968"/>
      <c r="AN270" s="1968"/>
      <c r="AO270" s="1968"/>
      <c r="AP270" s="1968"/>
      <c r="AQ270" s="1968"/>
      <c r="AR270" s="1968"/>
      <c r="AS270" s="1968"/>
      <c r="AT270" s="1968"/>
      <c r="AU270" s="1968"/>
      <c r="AV270" s="1968"/>
      <c r="AW270" s="1968"/>
      <c r="AX270" s="1968"/>
      <c r="AY270" s="1968"/>
      <c r="AZ270" s="1968"/>
      <c r="BA270" s="1968"/>
      <c r="BB270" s="1968"/>
      <c r="BC270" s="1968"/>
      <c r="BD270" s="1968"/>
      <c r="BE270" s="1968"/>
      <c r="BF270" s="1968"/>
      <c r="BG270" s="7235"/>
    </row>
    <row customHeight="1" ht="11.25">
      <c r="A271" s="1312" t="s">
        <v>1069</v>
      </c>
      <c r="B271" s="1312"/>
      <c r="C271" s="1312"/>
      <c r="D271" s="1306"/>
      <c r="E271" s="1316"/>
      <c r="F271" s="1974"/>
      <c r="G271" s="1975"/>
      <c r="H271" s="2674" t="s">
        <v>1190</v>
      </c>
      <c r="I271" s="2675"/>
      <c r="J271" s="2644"/>
      <c r="K271" s="2676"/>
      <c r="L271" s="2266"/>
      <c r="M271" s="2267"/>
      <c r="N271" s="1321"/>
      <c r="O271" s="1322"/>
      <c r="P271" s="1314" t="s">
        <v>1108</v>
      </c>
      <c r="Q271" s="1322"/>
      <c r="R271" s="1322"/>
      <c r="S271" s="1322"/>
      <c r="T271" s="1322"/>
      <c r="U271" s="1322"/>
      <c r="V271" s="1322"/>
      <c r="W271" s="1322"/>
      <c r="X271" s="1322"/>
      <c r="Y271" s="1322"/>
      <c r="Z271" s="1322"/>
      <c r="AA271" s="1322"/>
      <c r="AB271" s="1322"/>
      <c r="AC271" s="1322"/>
      <c r="AD271" s="1322"/>
      <c r="AE271" s="1329"/>
      <c r="AF271" s="2665"/>
      <c r="AG271" s="2666"/>
      <c r="AH271" s="2666"/>
      <c r="AI271" s="8639"/>
      <c r="AJ271" s="2666"/>
      <c r="AK271" s="2666"/>
      <c r="AL271" s="2131"/>
      <c r="AM271" s="1968"/>
      <c r="AN271" s="1968"/>
      <c r="AO271" s="1968"/>
      <c r="AP271" s="1968"/>
      <c r="AQ271" s="1968"/>
      <c r="AR271" s="1968"/>
      <c r="AS271" s="1968"/>
      <c r="AT271" s="1968"/>
      <c r="AU271" s="1968"/>
      <c r="AV271" s="1968"/>
      <c r="AW271" s="1968"/>
      <c r="AX271" s="1968"/>
      <c r="AY271" s="1968"/>
      <c r="AZ271" s="1968"/>
      <c r="BA271" s="1968"/>
      <c r="BB271" s="1968"/>
      <c r="BC271" s="1968"/>
      <c r="BD271" s="1968"/>
      <c r="BE271" s="1968"/>
      <c r="BF271" s="1968"/>
      <c r="BG271" s="7235"/>
    </row>
    <row customHeight="1" ht="11.25">
      <c r="A272" s="1312" t="s">
        <v>1069</v>
      </c>
      <c r="B272" s="1312" t="s">
        <v>1198</v>
      </c>
      <c r="C272" s="1312"/>
      <c r="D272" s="1306"/>
      <c r="E272" s="1316"/>
      <c r="F272" s="1974"/>
      <c r="G272" s="7143" t="s">
        <v>106</v>
      </c>
      <c r="H272" s="2674" t="s">
        <v>1199</v>
      </c>
      <c r="I272" s="2675" t="s">
        <v>1200</v>
      </c>
      <c r="J272" s="2644" t="s">
        <v>1201</v>
      </c>
      <c r="K272" s="2676" t="s">
        <v>1202</v>
      </c>
      <c r="L272" s="2266" t="s">
        <v>19</v>
      </c>
      <c r="M272" s="2267"/>
      <c r="N272" s="2129"/>
      <c r="O272" s="1323" t="s">
        <v>398</v>
      </c>
      <c r="P272" s="1324"/>
      <c r="Q272" s="1324"/>
      <c r="R272" s="1324"/>
      <c r="S272" s="1324"/>
      <c r="T272" s="1324"/>
      <c r="U272" s="1324"/>
      <c r="V272" s="1324"/>
      <c r="W272" s="1324"/>
      <c r="X272" s="1324"/>
      <c r="Y272" s="1324"/>
      <c r="Z272" s="1324"/>
      <c r="AA272" s="1324"/>
      <c r="AB272" s="1324"/>
      <c r="AC272" s="1324"/>
      <c r="AD272" s="1324"/>
      <c r="AE272" s="1324"/>
      <c r="AF272" s="2665">
        <v>2024</v>
      </c>
      <c r="AG272" s="2666" t="s">
        <v>1103</v>
      </c>
      <c r="AH272" s="2666" t="s">
        <v>1154</v>
      </c>
      <c r="AI272" s="2665">
        <v>2024</v>
      </c>
      <c r="AJ272" s="2666" t="s">
        <v>1103</v>
      </c>
      <c r="AK272" s="2666" t="s">
        <v>1154</v>
      </c>
      <c r="AL272" s="2131"/>
      <c r="AM272" s="1968"/>
      <c r="AN272" s="1968"/>
      <c r="AO272" s="1968"/>
      <c r="AP272" s="1968"/>
      <c r="AQ272" s="1968"/>
      <c r="AR272" s="1968"/>
      <c r="AS272" s="1968"/>
      <c r="AT272" s="1968"/>
      <c r="AU272" s="1968"/>
      <c r="AV272" s="1968"/>
      <c r="AW272" s="1968"/>
      <c r="AX272" s="1968"/>
      <c r="AY272" s="1968"/>
      <c r="AZ272" s="1968"/>
      <c r="BA272" s="1968"/>
      <c r="BB272" s="1968"/>
      <c r="BC272" s="1968"/>
      <c r="BD272" s="1968"/>
      <c r="BE272" s="1968"/>
      <c r="BF272" s="1968"/>
      <c r="BG272" s="7235"/>
    </row>
    <row customHeight="1" ht="11.25">
      <c r="A273" s="1312" t="s">
        <v>1069</v>
      </c>
      <c r="B273" s="1312"/>
      <c r="C273" s="1312"/>
      <c r="D273" s="1306"/>
      <c r="E273" s="1316"/>
      <c r="F273" s="1974"/>
      <c r="G273" s="1975"/>
      <c r="H273" s="2674" t="s">
        <v>1196</v>
      </c>
      <c r="I273" s="2675"/>
      <c r="J273" s="2644"/>
      <c r="K273" s="2676"/>
      <c r="L273" s="2266"/>
      <c r="M273" s="2267"/>
      <c r="N273" s="2667"/>
      <c r="O273" s="2668">
        <v>1</v>
      </c>
      <c r="P273" s="2669" t="s">
        <v>63</v>
      </c>
      <c r="Q273" s="8645" t="s">
        <v>1176</v>
      </c>
      <c r="R273" s="8646" t="s">
        <v>1177</v>
      </c>
      <c r="S273" s="8646" t="s">
        <v>113</v>
      </c>
      <c r="T273" s="8646" t="s">
        <v>113</v>
      </c>
      <c r="U273" s="8646" t="s">
        <v>114</v>
      </c>
      <c r="V273" s="8646" t="s">
        <v>1115</v>
      </c>
      <c r="W273" s="8646" t="s">
        <v>1116</v>
      </c>
      <c r="X273" s="8646" t="s">
        <v>1178</v>
      </c>
      <c r="Y273" s="8646" t="s">
        <v>1178</v>
      </c>
      <c r="Z273" s="1321"/>
      <c r="AA273" s="1322"/>
      <c r="AB273" s="1322"/>
      <c r="AC273" s="1326"/>
      <c r="AD273" s="1326"/>
      <c r="AE273" s="1327"/>
      <c r="AF273" s="2665"/>
      <c r="AG273" s="2666"/>
      <c r="AH273" s="2666"/>
      <c r="AI273" s="2665"/>
      <c r="AJ273" s="2666"/>
      <c r="AK273" s="2666"/>
      <c r="AL273" s="2131"/>
      <c r="AM273" s="1968"/>
      <c r="AN273" s="1968"/>
      <c r="AO273" s="1968"/>
      <c r="AP273" s="1968"/>
      <c r="AQ273" s="1968"/>
      <c r="AR273" s="1968"/>
      <c r="AS273" s="1968"/>
      <c r="AT273" s="1968"/>
      <c r="AU273" s="1968"/>
      <c r="AV273" s="1968"/>
      <c r="AW273" s="1968"/>
      <c r="AX273" s="1968"/>
      <c r="AY273" s="1968"/>
      <c r="AZ273" s="1968"/>
      <c r="BA273" s="1968"/>
      <c r="BB273" s="1968"/>
      <c r="BC273" s="1968"/>
      <c r="BD273" s="1968"/>
      <c r="BE273" s="1968"/>
      <c r="BF273" s="1968"/>
      <c r="BG273" s="7235"/>
    </row>
    <row customHeight="1" ht="11.25">
      <c r="A274" s="1312" t="s">
        <v>1069</v>
      </c>
      <c r="B274" s="1312"/>
      <c r="C274" s="1312"/>
      <c r="D274" s="1306"/>
      <c r="E274" s="1316"/>
      <c r="F274" s="1974"/>
      <c r="G274" s="1975"/>
      <c r="H274" s="2674" t="s">
        <v>1196</v>
      </c>
      <c r="I274" s="2675"/>
      <c r="J274" s="2644"/>
      <c r="K274" s="2676"/>
      <c r="L274" s="2266"/>
      <c r="M274" s="2267"/>
      <c r="N274" s="2667"/>
      <c r="O274" s="2668"/>
      <c r="P274" s="2670"/>
      <c r="Q274" s="8645"/>
      <c r="R274" s="2672"/>
      <c r="S274" s="2673"/>
      <c r="T274" s="2672"/>
      <c r="U274" s="2672"/>
      <c r="V274" s="2672"/>
      <c r="W274" s="2672"/>
      <c r="X274" s="2672"/>
      <c r="Y274" s="2672"/>
      <c r="Z274" s="1973"/>
      <c r="AA274" s="1939">
        <v>1</v>
      </c>
      <c r="AB274" s="1325" t="s">
        <v>1131</v>
      </c>
      <c r="AC274" s="1315">
        <v>424.06654</v>
      </c>
      <c r="AD274" s="1325" t="str">
        <f>AB274</f>
        <v>      Прочие амортизационные отчисления</v>
      </c>
      <c r="AE274" s="1315">
        <v>424.0665</v>
      </c>
      <c r="AF274" s="2665"/>
      <c r="AG274" s="2666"/>
      <c r="AH274" s="2666"/>
      <c r="AI274" s="2665"/>
      <c r="AJ274" s="2666"/>
      <c r="AK274" s="2666"/>
      <c r="AL274" s="2131"/>
      <c r="AM274" s="1968"/>
      <c r="AN274" s="1968"/>
      <c r="AO274" s="1968"/>
      <c r="AP274" s="1968"/>
      <c r="AQ274" s="1968"/>
      <c r="AR274" s="1968"/>
      <c r="AS274" s="1968"/>
      <c r="AT274" s="1968"/>
      <c r="AU274" s="1968"/>
      <c r="AV274" s="1968"/>
      <c r="AW274" s="1968"/>
      <c r="AX274" s="1968"/>
      <c r="AY274" s="1968"/>
      <c r="AZ274" s="1968"/>
      <c r="BA274" s="1968"/>
      <c r="BB274" s="1968"/>
      <c r="BC274" s="1968"/>
      <c r="BD274" s="1968"/>
      <c r="BE274" s="1968"/>
      <c r="BF274" s="1968"/>
      <c r="BG274" s="7235"/>
    </row>
    <row customHeight="1" ht="11.25">
      <c r="A275" s="1312" t="s">
        <v>1069</v>
      </c>
      <c r="B275" s="1312"/>
      <c r="C275" s="1312"/>
      <c r="D275" s="1306"/>
      <c r="E275" s="1316"/>
      <c r="F275" s="1974"/>
      <c r="G275" s="1975"/>
      <c r="H275" s="2674" t="s">
        <v>1196</v>
      </c>
      <c r="I275" s="2675"/>
      <c r="J275" s="2644"/>
      <c r="K275" s="2676"/>
      <c r="L275" s="2266"/>
      <c r="M275" s="2267"/>
      <c r="N275" s="2667"/>
      <c r="O275" s="2668"/>
      <c r="P275" s="2671"/>
      <c r="Q275" s="8645"/>
      <c r="R275" s="2672"/>
      <c r="S275" s="2673"/>
      <c r="T275" s="2672"/>
      <c r="U275" s="2672"/>
      <c r="V275" s="2672"/>
      <c r="W275" s="2672"/>
      <c r="X275" s="2672"/>
      <c r="Y275" s="2672"/>
      <c r="Z275" s="1321"/>
      <c r="AA275" s="1322"/>
      <c r="AB275" s="1387" t="s">
        <v>1107</v>
      </c>
      <c r="AC275" s="1326"/>
      <c r="AD275" s="1326"/>
      <c r="AE275" s="1328"/>
      <c r="AF275" s="2665"/>
      <c r="AG275" s="2666"/>
      <c r="AH275" s="2666"/>
      <c r="AI275" s="2665"/>
      <c r="AJ275" s="2666"/>
      <c r="AK275" s="2666"/>
      <c r="AL275" s="2131"/>
      <c r="AM275" s="1968"/>
      <c r="AN275" s="1968"/>
      <c r="AO275" s="1968"/>
      <c r="AP275" s="1968"/>
      <c r="AQ275" s="1968"/>
      <c r="AR275" s="1968"/>
      <c r="AS275" s="1968"/>
      <c r="AT275" s="1968"/>
      <c r="AU275" s="1968"/>
      <c r="AV275" s="1968"/>
      <c r="AW275" s="1968"/>
      <c r="AX275" s="1968"/>
      <c r="AY275" s="1968"/>
      <c r="AZ275" s="1968"/>
      <c r="BA275" s="1968"/>
      <c r="BB275" s="1968"/>
      <c r="BC275" s="1968"/>
      <c r="BD275" s="1968"/>
      <c r="BE275" s="1968"/>
      <c r="BF275" s="1968"/>
      <c r="BG275" s="7235"/>
    </row>
    <row customHeight="1" ht="11.25">
      <c r="A276" s="1312" t="s">
        <v>1069</v>
      </c>
      <c r="B276" s="1312"/>
      <c r="C276" s="1312"/>
      <c r="D276" s="1306"/>
      <c r="E276" s="1316"/>
      <c r="F276" s="1974"/>
      <c r="G276" s="1975"/>
      <c r="H276" s="2674" t="s">
        <v>1196</v>
      </c>
      <c r="I276" s="2675"/>
      <c r="J276" s="2644"/>
      <c r="K276" s="2676"/>
      <c r="L276" s="2266"/>
      <c r="M276" s="2267"/>
      <c r="N276" s="1321"/>
      <c r="O276" s="1322"/>
      <c r="P276" s="1314" t="s">
        <v>1108</v>
      </c>
      <c r="Q276" s="1322"/>
      <c r="R276" s="1322"/>
      <c r="S276" s="1322"/>
      <c r="T276" s="1322"/>
      <c r="U276" s="1322"/>
      <c r="V276" s="1322"/>
      <c r="W276" s="1322"/>
      <c r="X276" s="1322"/>
      <c r="Y276" s="1322"/>
      <c r="Z276" s="1322"/>
      <c r="AA276" s="1322"/>
      <c r="AB276" s="1322"/>
      <c r="AC276" s="1322"/>
      <c r="AD276" s="1322"/>
      <c r="AE276" s="1329"/>
      <c r="AF276" s="2665"/>
      <c r="AG276" s="2666"/>
      <c r="AH276" s="2666"/>
      <c r="AI276" s="2665"/>
      <c r="AJ276" s="2666"/>
      <c r="AK276" s="2666"/>
      <c r="AL276" s="2131"/>
      <c r="AM276" s="1968"/>
      <c r="AN276" s="1968"/>
      <c r="AO276" s="1968"/>
      <c r="AP276" s="1968"/>
      <c r="AQ276" s="1968"/>
      <c r="AR276" s="1968"/>
      <c r="AS276" s="1968"/>
      <c r="AT276" s="1968"/>
      <c r="AU276" s="1968"/>
      <c r="AV276" s="1968"/>
      <c r="AW276" s="1968"/>
      <c r="AX276" s="1968"/>
      <c r="AY276" s="1968"/>
      <c r="AZ276" s="1968"/>
      <c r="BA276" s="1968"/>
      <c r="BB276" s="1968"/>
      <c r="BC276" s="1968"/>
      <c r="BD276" s="1968"/>
      <c r="BE276" s="1968"/>
      <c r="BF276" s="1968"/>
      <c r="BG276" s="7235"/>
    </row>
    <row customHeight="1" ht="11.25">
      <c r="A277" s="1312" t="s">
        <v>1069</v>
      </c>
      <c r="B277" s="1312" t="s">
        <v>1198</v>
      </c>
      <c r="C277" s="1312"/>
      <c r="D277" s="1306"/>
      <c r="E277" s="1316"/>
      <c r="F277" s="1974"/>
      <c r="G277" s="7143" t="s">
        <v>106</v>
      </c>
      <c r="H277" s="2674" t="s">
        <v>1141</v>
      </c>
      <c r="I277" s="2675" t="s">
        <v>1200</v>
      </c>
      <c r="J277" s="2644" t="s">
        <v>1201</v>
      </c>
      <c r="K277" s="2676" t="s">
        <v>1203</v>
      </c>
      <c r="L277" s="2266" t="s">
        <v>19</v>
      </c>
      <c r="M277" s="2267"/>
      <c r="N277" s="2129"/>
      <c r="O277" s="1323" t="s">
        <v>398</v>
      </c>
      <c r="P277" s="1324"/>
      <c r="Q277" s="1324"/>
      <c r="R277" s="1324"/>
      <c r="S277" s="1324"/>
      <c r="T277" s="1324"/>
      <c r="U277" s="1324"/>
      <c r="V277" s="1324"/>
      <c r="W277" s="1324"/>
      <c r="X277" s="1324"/>
      <c r="Y277" s="1324"/>
      <c r="Z277" s="1324"/>
      <c r="AA277" s="1324"/>
      <c r="AB277" s="1324"/>
      <c r="AC277" s="1324"/>
      <c r="AD277" s="1324"/>
      <c r="AE277" s="1324"/>
      <c r="AF277" s="2665">
        <v>2026</v>
      </c>
      <c r="AG277" s="2666" t="s">
        <v>1103</v>
      </c>
      <c r="AH277" s="2666" t="s">
        <v>1162</v>
      </c>
      <c r="AI277" s="8647"/>
      <c r="AJ277" s="2666" t="s">
        <v>1105</v>
      </c>
      <c r="AK277" s="2666" t="s">
        <v>1105</v>
      </c>
      <c r="AL277" s="2131"/>
      <c r="AM277" s="1968"/>
      <c r="AN277" s="1968"/>
      <c r="AO277" s="1968"/>
      <c r="AP277" s="1968"/>
      <c r="AQ277" s="1968"/>
      <c r="AR277" s="1968"/>
      <c r="AS277" s="1968"/>
      <c r="AT277" s="1968"/>
      <c r="AU277" s="1968"/>
      <c r="AV277" s="1968"/>
      <c r="AW277" s="1968"/>
      <c r="AX277" s="1968"/>
      <c r="AY277" s="1968"/>
      <c r="AZ277" s="1968"/>
      <c r="BA277" s="1968"/>
      <c r="BB277" s="1968"/>
      <c r="BC277" s="1968"/>
      <c r="BD277" s="1968"/>
      <c r="BE277" s="1968"/>
      <c r="BF277" s="1968"/>
      <c r="BG277" s="7235"/>
    </row>
    <row customHeight="1" ht="11.25">
      <c r="A278" s="1312" t="s">
        <v>1069</v>
      </c>
      <c r="B278" s="1312"/>
      <c r="C278" s="1312"/>
      <c r="D278" s="1306"/>
      <c r="E278" s="1316"/>
      <c r="F278" s="1974"/>
      <c r="G278" s="1975"/>
      <c r="H278" s="2674" t="s">
        <v>1199</v>
      </c>
      <c r="I278" s="2675"/>
      <c r="J278" s="2644"/>
      <c r="K278" s="2676"/>
      <c r="L278" s="2266"/>
      <c r="M278" s="2267"/>
      <c r="N278" s="2667"/>
      <c r="O278" s="2668">
        <v>1</v>
      </c>
      <c r="P278" s="2669" t="s">
        <v>63</v>
      </c>
      <c r="Q278" s="8645" t="s">
        <v>1176</v>
      </c>
      <c r="R278" s="8646" t="s">
        <v>1177</v>
      </c>
      <c r="S278" s="8646" t="s">
        <v>113</v>
      </c>
      <c r="T278" s="8646" t="s">
        <v>113</v>
      </c>
      <c r="U278" s="8646" t="s">
        <v>114</v>
      </c>
      <c r="V278" s="8646" t="s">
        <v>1115</v>
      </c>
      <c r="W278" s="8646" t="s">
        <v>1116</v>
      </c>
      <c r="X278" s="8646" t="s">
        <v>1178</v>
      </c>
      <c r="Y278" s="8646" t="s">
        <v>1178</v>
      </c>
      <c r="Z278" s="1321"/>
      <c r="AA278" s="1322"/>
      <c r="AB278" s="1322"/>
      <c r="AC278" s="1326"/>
      <c r="AD278" s="1326"/>
      <c r="AE278" s="1327"/>
      <c r="AF278" s="2665"/>
      <c r="AG278" s="2666"/>
      <c r="AH278" s="2666"/>
      <c r="AI278" s="8647"/>
      <c r="AJ278" s="2666"/>
      <c r="AK278" s="2666"/>
      <c r="AL278" s="2131"/>
      <c r="AM278" s="1968"/>
      <c r="AN278" s="1968"/>
      <c r="AO278" s="1968"/>
      <c r="AP278" s="1968"/>
      <c r="AQ278" s="1968"/>
      <c r="AR278" s="1968"/>
      <c r="AS278" s="1968"/>
      <c r="AT278" s="1968"/>
      <c r="AU278" s="1968"/>
      <c r="AV278" s="1968"/>
      <c r="AW278" s="1968"/>
      <c r="AX278" s="1968"/>
      <c r="AY278" s="1968"/>
      <c r="AZ278" s="1968"/>
      <c r="BA278" s="1968"/>
      <c r="BB278" s="1968"/>
      <c r="BC278" s="1968"/>
      <c r="BD278" s="1968"/>
      <c r="BE278" s="1968"/>
      <c r="BF278" s="1968"/>
      <c r="BG278" s="7235"/>
    </row>
    <row customHeight="1" ht="11.25">
      <c r="A279" s="1312" t="s">
        <v>1069</v>
      </c>
      <c r="B279" s="1312"/>
      <c r="C279" s="1312"/>
      <c r="D279" s="1306"/>
      <c r="E279" s="1316"/>
      <c r="F279" s="1974"/>
      <c r="G279" s="1975"/>
      <c r="H279" s="2674" t="s">
        <v>1199</v>
      </c>
      <c r="I279" s="2675"/>
      <c r="J279" s="2644"/>
      <c r="K279" s="2676"/>
      <c r="L279" s="2266"/>
      <c r="M279" s="2267"/>
      <c r="N279" s="2667"/>
      <c r="O279" s="2668"/>
      <c r="P279" s="2670"/>
      <c r="Q279" s="8645"/>
      <c r="R279" s="2672"/>
      <c r="S279" s="2673"/>
      <c r="T279" s="2672"/>
      <c r="U279" s="2672"/>
      <c r="V279" s="2672"/>
      <c r="W279" s="2672"/>
      <c r="X279" s="2672"/>
      <c r="Y279" s="2672"/>
      <c r="Z279" s="1973"/>
      <c r="AA279" s="1939">
        <v>1</v>
      </c>
      <c r="AB279" s="1325" t="s">
        <v>1131</v>
      </c>
      <c r="AC279" s="1315">
        <v>371</v>
      </c>
      <c r="AD279" s="1325" t="str">
        <f>AB279</f>
        <v>      Прочие амортизационные отчисления</v>
      </c>
      <c r="AE279" s="1315">
        <v>370.675</v>
      </c>
      <c r="AF279" s="2665"/>
      <c r="AG279" s="2666"/>
      <c r="AH279" s="2666"/>
      <c r="AI279" s="8647"/>
      <c r="AJ279" s="2666"/>
      <c r="AK279" s="2666"/>
      <c r="AL279" s="2131"/>
      <c r="AM279" s="1968"/>
      <c r="AN279" s="1968"/>
      <c r="AO279" s="1968"/>
      <c r="AP279" s="1968"/>
      <c r="AQ279" s="1968"/>
      <c r="AR279" s="1968"/>
      <c r="AS279" s="1968"/>
      <c r="AT279" s="1968"/>
      <c r="AU279" s="1968"/>
      <c r="AV279" s="1968"/>
      <c r="AW279" s="1968"/>
      <c r="AX279" s="1968"/>
      <c r="AY279" s="1968"/>
      <c r="AZ279" s="1968"/>
      <c r="BA279" s="1968"/>
      <c r="BB279" s="1968"/>
      <c r="BC279" s="1968"/>
      <c r="BD279" s="1968"/>
      <c r="BE279" s="1968"/>
      <c r="BF279" s="1968"/>
      <c r="BG279" s="7235"/>
    </row>
    <row customHeight="1" ht="11.25">
      <c r="A280" s="1312" t="s">
        <v>1069</v>
      </c>
      <c r="B280" s="1312"/>
      <c r="C280" s="1312"/>
      <c r="D280" s="1306"/>
      <c r="E280" s="1316"/>
      <c r="F280" s="1974"/>
      <c r="G280" s="1975"/>
      <c r="H280" s="2674" t="s">
        <v>1199</v>
      </c>
      <c r="I280" s="2675"/>
      <c r="J280" s="2644"/>
      <c r="K280" s="2676"/>
      <c r="L280" s="2266"/>
      <c r="M280" s="2267"/>
      <c r="N280" s="2667"/>
      <c r="O280" s="2668"/>
      <c r="P280" s="2671"/>
      <c r="Q280" s="8645"/>
      <c r="R280" s="2672"/>
      <c r="S280" s="2673"/>
      <c r="T280" s="2672"/>
      <c r="U280" s="2672"/>
      <c r="V280" s="2672"/>
      <c r="W280" s="2672"/>
      <c r="X280" s="2672"/>
      <c r="Y280" s="2672"/>
      <c r="Z280" s="1321"/>
      <c r="AA280" s="1322"/>
      <c r="AB280" s="1387" t="s">
        <v>1107</v>
      </c>
      <c r="AC280" s="1326"/>
      <c r="AD280" s="1326"/>
      <c r="AE280" s="1328"/>
      <c r="AF280" s="2665"/>
      <c r="AG280" s="2666"/>
      <c r="AH280" s="2666"/>
      <c r="AI280" s="8647"/>
      <c r="AJ280" s="2666"/>
      <c r="AK280" s="2666"/>
      <c r="AL280" s="2131"/>
      <c r="AM280" s="1968"/>
      <c r="AN280" s="1968"/>
      <c r="AO280" s="1968"/>
      <c r="AP280" s="1968"/>
      <c r="AQ280" s="1968"/>
      <c r="AR280" s="1968"/>
      <c r="AS280" s="1968"/>
      <c r="AT280" s="1968"/>
      <c r="AU280" s="1968"/>
      <c r="AV280" s="1968"/>
      <c r="AW280" s="1968"/>
      <c r="AX280" s="1968"/>
      <c r="AY280" s="1968"/>
      <c r="AZ280" s="1968"/>
      <c r="BA280" s="1968"/>
      <c r="BB280" s="1968"/>
      <c r="BC280" s="1968"/>
      <c r="BD280" s="1968"/>
      <c r="BE280" s="1968"/>
      <c r="BF280" s="1968"/>
      <c r="BG280" s="7235"/>
    </row>
    <row customHeight="1" ht="11.25">
      <c r="A281" s="1312" t="s">
        <v>1069</v>
      </c>
      <c r="B281" s="1312"/>
      <c r="C281" s="1312"/>
      <c r="D281" s="1306"/>
      <c r="E281" s="1316"/>
      <c r="F281" s="1974"/>
      <c r="G281" s="1975"/>
      <c r="H281" s="2674" t="s">
        <v>1199</v>
      </c>
      <c r="I281" s="2675"/>
      <c r="J281" s="2644"/>
      <c r="K281" s="2676"/>
      <c r="L281" s="2266"/>
      <c r="M281" s="2267"/>
      <c r="N281" s="1321"/>
      <c r="O281" s="1322"/>
      <c r="P281" s="1314" t="s">
        <v>1108</v>
      </c>
      <c r="Q281" s="1322"/>
      <c r="R281" s="1322"/>
      <c r="S281" s="1322"/>
      <c r="T281" s="1322"/>
      <c r="U281" s="1322"/>
      <c r="V281" s="1322"/>
      <c r="W281" s="1322"/>
      <c r="X281" s="1322"/>
      <c r="Y281" s="1322"/>
      <c r="Z281" s="1322"/>
      <c r="AA281" s="1322"/>
      <c r="AB281" s="1322"/>
      <c r="AC281" s="1322"/>
      <c r="AD281" s="1322"/>
      <c r="AE281" s="1329"/>
      <c r="AF281" s="2665"/>
      <c r="AG281" s="2666"/>
      <c r="AH281" s="2666"/>
      <c r="AI281" s="8647"/>
      <c r="AJ281" s="2666"/>
      <c r="AK281" s="2666"/>
      <c r="AL281" s="2131"/>
      <c r="AM281" s="1968"/>
      <c r="AN281" s="1968"/>
      <c r="AO281" s="1968"/>
      <c r="AP281" s="1968"/>
      <c r="AQ281" s="1968"/>
      <c r="AR281" s="1968"/>
      <c r="AS281" s="1968"/>
      <c r="AT281" s="1968"/>
      <c r="AU281" s="1968"/>
      <c r="AV281" s="1968"/>
      <c r="AW281" s="1968"/>
      <c r="AX281" s="1968"/>
      <c r="AY281" s="1968"/>
      <c r="AZ281" s="1968"/>
      <c r="BA281" s="1968"/>
      <c r="BB281" s="1968"/>
      <c r="BC281" s="1968"/>
      <c r="BD281" s="1968"/>
      <c r="BE281" s="1968"/>
      <c r="BF281" s="1968"/>
      <c r="BG281" s="7235"/>
    </row>
    <row customHeight="1" ht="11.25">
      <c r="A282" s="1312" t="s">
        <v>1069</v>
      </c>
      <c r="B282" s="1312" t="s">
        <v>1198</v>
      </c>
      <c r="C282" s="1312"/>
      <c r="D282" s="1306"/>
      <c r="E282" s="1316"/>
      <c r="F282" s="1974"/>
      <c r="G282" s="7143" t="s">
        <v>106</v>
      </c>
      <c r="H282" s="2674" t="s">
        <v>1204</v>
      </c>
      <c r="I282" s="2675" t="s">
        <v>1200</v>
      </c>
      <c r="J282" s="2644" t="s">
        <v>1201</v>
      </c>
      <c r="K282" s="2676" t="s">
        <v>1205</v>
      </c>
      <c r="L282" s="2266" t="s">
        <v>19</v>
      </c>
      <c r="M282" s="2267"/>
      <c r="N282" s="2129"/>
      <c r="O282" s="1323" t="s">
        <v>398</v>
      </c>
      <c r="P282" s="1324"/>
      <c r="Q282" s="1324"/>
      <c r="R282" s="1324"/>
      <c r="S282" s="1324"/>
      <c r="T282" s="1324"/>
      <c r="U282" s="1324"/>
      <c r="V282" s="1324"/>
      <c r="W282" s="1324"/>
      <c r="X282" s="1324"/>
      <c r="Y282" s="1324"/>
      <c r="Z282" s="1324"/>
      <c r="AA282" s="1324"/>
      <c r="AB282" s="1324"/>
      <c r="AC282" s="1324"/>
      <c r="AD282" s="1324"/>
      <c r="AE282" s="1324"/>
      <c r="AF282" s="2665">
        <v>2025</v>
      </c>
      <c r="AG282" s="2666" t="s">
        <v>1103</v>
      </c>
      <c r="AH282" s="2666" t="s">
        <v>1159</v>
      </c>
      <c r="AI282" s="8647"/>
      <c r="AJ282" s="2666" t="s">
        <v>1105</v>
      </c>
      <c r="AK282" s="2666" t="s">
        <v>1105</v>
      </c>
      <c r="AL282" s="2131"/>
      <c r="AM282" s="1968"/>
      <c r="AN282" s="1968"/>
      <c r="AO282" s="1968"/>
      <c r="AP282" s="1968"/>
      <c r="AQ282" s="1968"/>
      <c r="AR282" s="1968"/>
      <c r="AS282" s="1968"/>
      <c r="AT282" s="1968"/>
      <c r="AU282" s="1968"/>
      <c r="AV282" s="1968"/>
      <c r="AW282" s="1968"/>
      <c r="AX282" s="1968"/>
      <c r="AY282" s="1968"/>
      <c r="AZ282" s="1968"/>
      <c r="BA282" s="1968"/>
      <c r="BB282" s="1968"/>
      <c r="BC282" s="1968"/>
      <c r="BD282" s="1968"/>
      <c r="BE282" s="1968"/>
      <c r="BF282" s="1968"/>
      <c r="BG282" s="7235"/>
    </row>
    <row customHeight="1" ht="11.25">
      <c r="A283" s="1312" t="s">
        <v>1069</v>
      </c>
      <c r="B283" s="1312"/>
      <c r="C283" s="1312"/>
      <c r="D283" s="1306"/>
      <c r="E283" s="1316"/>
      <c r="F283" s="1974"/>
      <c r="G283" s="1975"/>
      <c r="H283" s="2674" t="s">
        <v>1141</v>
      </c>
      <c r="I283" s="2675"/>
      <c r="J283" s="2644"/>
      <c r="K283" s="2676"/>
      <c r="L283" s="2266"/>
      <c r="M283" s="2267"/>
      <c r="N283" s="2667"/>
      <c r="O283" s="2668">
        <v>1</v>
      </c>
      <c r="P283" s="2669" t="s">
        <v>63</v>
      </c>
      <c r="Q283" s="8645" t="s">
        <v>1176</v>
      </c>
      <c r="R283" s="8646" t="s">
        <v>1177</v>
      </c>
      <c r="S283" s="8646" t="s">
        <v>113</v>
      </c>
      <c r="T283" s="8646" t="s">
        <v>113</v>
      </c>
      <c r="U283" s="8646" t="s">
        <v>114</v>
      </c>
      <c r="V283" s="8646" t="s">
        <v>1115</v>
      </c>
      <c r="W283" s="8646" t="s">
        <v>1116</v>
      </c>
      <c r="X283" s="8646" t="s">
        <v>1178</v>
      </c>
      <c r="Y283" s="8646" t="s">
        <v>1178</v>
      </c>
      <c r="Z283" s="1321"/>
      <c r="AA283" s="1322"/>
      <c r="AB283" s="1322"/>
      <c r="AC283" s="1326"/>
      <c r="AD283" s="1326"/>
      <c r="AE283" s="1327"/>
      <c r="AF283" s="2665"/>
      <c r="AG283" s="2666"/>
      <c r="AH283" s="2666"/>
      <c r="AI283" s="8647"/>
      <c r="AJ283" s="2666"/>
      <c r="AK283" s="2666"/>
      <c r="AL283" s="2131"/>
      <c r="AM283" s="1968"/>
      <c r="AN283" s="1968"/>
      <c r="AO283" s="1968"/>
      <c r="AP283" s="1968"/>
      <c r="AQ283" s="1968"/>
      <c r="AR283" s="1968"/>
      <c r="AS283" s="1968"/>
      <c r="AT283" s="1968"/>
      <c r="AU283" s="1968"/>
      <c r="AV283" s="1968"/>
      <c r="AW283" s="1968"/>
      <c r="AX283" s="1968"/>
      <c r="AY283" s="1968"/>
      <c r="AZ283" s="1968"/>
      <c r="BA283" s="1968"/>
      <c r="BB283" s="1968"/>
      <c r="BC283" s="1968"/>
      <c r="BD283" s="1968"/>
      <c r="BE283" s="1968"/>
      <c r="BF283" s="1968"/>
      <c r="BG283" s="7235"/>
    </row>
    <row customHeight="1" ht="11.25">
      <c r="A284" s="1312" t="s">
        <v>1069</v>
      </c>
      <c r="B284" s="1312"/>
      <c r="C284" s="1312"/>
      <c r="D284" s="1306"/>
      <c r="E284" s="1316"/>
      <c r="F284" s="1974"/>
      <c r="G284" s="1975"/>
      <c r="H284" s="2674" t="s">
        <v>1141</v>
      </c>
      <c r="I284" s="2675"/>
      <c r="J284" s="2644"/>
      <c r="K284" s="2676"/>
      <c r="L284" s="2266"/>
      <c r="M284" s="2267"/>
      <c r="N284" s="2667"/>
      <c r="O284" s="2668"/>
      <c r="P284" s="2670"/>
      <c r="Q284" s="8645"/>
      <c r="R284" s="2672"/>
      <c r="S284" s="2673"/>
      <c r="T284" s="2672"/>
      <c r="U284" s="2672"/>
      <c r="V284" s="2672"/>
      <c r="W284" s="2672"/>
      <c r="X284" s="2672"/>
      <c r="Y284" s="2672"/>
      <c r="Z284" s="1973"/>
      <c r="AA284" s="1939">
        <v>1</v>
      </c>
      <c r="AB284" s="1325" t="s">
        <v>1131</v>
      </c>
      <c r="AC284" s="1315">
        <v>40172</v>
      </c>
      <c r="AD284" s="1325" t="str">
        <f>AB284</f>
        <v>      Прочие амортизационные отчисления</v>
      </c>
      <c r="AE284" s="1315">
        <v>27550.7047</v>
      </c>
      <c r="AF284" s="2665"/>
      <c r="AG284" s="2666"/>
      <c r="AH284" s="2666"/>
      <c r="AI284" s="8647"/>
      <c r="AJ284" s="2666"/>
      <c r="AK284" s="2666"/>
      <c r="AL284" s="2131"/>
      <c r="AM284" s="1968"/>
      <c r="AN284" s="1968"/>
      <c r="AO284" s="1968"/>
      <c r="AP284" s="1968"/>
      <c r="AQ284" s="1968"/>
      <c r="AR284" s="1968"/>
      <c r="AS284" s="1968"/>
      <c r="AT284" s="1968"/>
      <c r="AU284" s="1968"/>
      <c r="AV284" s="1968"/>
      <c r="AW284" s="1968"/>
      <c r="AX284" s="1968"/>
      <c r="AY284" s="1968"/>
      <c r="AZ284" s="1968"/>
      <c r="BA284" s="1968"/>
      <c r="BB284" s="1968"/>
      <c r="BC284" s="1968"/>
      <c r="BD284" s="1968"/>
      <c r="BE284" s="1968"/>
      <c r="BF284" s="1968"/>
      <c r="BG284" s="7235"/>
    </row>
    <row customHeight="1" ht="11.25">
      <c r="A285" s="1312" t="s">
        <v>1069</v>
      </c>
      <c r="B285" s="1312"/>
      <c r="C285" s="1312"/>
      <c r="D285" s="1306"/>
      <c r="E285" s="1316"/>
      <c r="F285" s="1974"/>
      <c r="G285" s="1975"/>
      <c r="H285" s="2674" t="s">
        <v>1141</v>
      </c>
      <c r="I285" s="2675"/>
      <c r="J285" s="2644"/>
      <c r="K285" s="2676"/>
      <c r="L285" s="2266"/>
      <c r="M285" s="2267"/>
      <c r="N285" s="2667"/>
      <c r="O285" s="2668"/>
      <c r="P285" s="2671"/>
      <c r="Q285" s="8645"/>
      <c r="R285" s="2672"/>
      <c r="S285" s="2673"/>
      <c r="T285" s="2672"/>
      <c r="U285" s="2672"/>
      <c r="V285" s="2672"/>
      <c r="W285" s="2672"/>
      <c r="X285" s="2672"/>
      <c r="Y285" s="2672"/>
      <c r="Z285" s="1321"/>
      <c r="AA285" s="1322"/>
      <c r="AB285" s="1387" t="s">
        <v>1107</v>
      </c>
      <c r="AC285" s="1326"/>
      <c r="AD285" s="1326"/>
      <c r="AE285" s="1328"/>
      <c r="AF285" s="2665"/>
      <c r="AG285" s="2666"/>
      <c r="AH285" s="2666"/>
      <c r="AI285" s="8647"/>
      <c r="AJ285" s="2666"/>
      <c r="AK285" s="2666"/>
      <c r="AL285" s="2131"/>
      <c r="AM285" s="1968"/>
      <c r="AN285" s="1968"/>
      <c r="AO285" s="1968"/>
      <c r="AP285" s="1968"/>
      <c r="AQ285" s="1968"/>
      <c r="AR285" s="1968"/>
      <c r="AS285" s="1968"/>
      <c r="AT285" s="1968"/>
      <c r="AU285" s="1968"/>
      <c r="AV285" s="1968"/>
      <c r="AW285" s="1968"/>
      <c r="AX285" s="1968"/>
      <c r="AY285" s="1968"/>
      <c r="AZ285" s="1968"/>
      <c r="BA285" s="1968"/>
      <c r="BB285" s="1968"/>
      <c r="BC285" s="1968"/>
      <c r="BD285" s="1968"/>
      <c r="BE285" s="1968"/>
      <c r="BF285" s="1968"/>
      <c r="BG285" s="7235"/>
    </row>
    <row customHeight="1" ht="11.25">
      <c r="A286" s="1312" t="s">
        <v>1069</v>
      </c>
      <c r="B286" s="1312"/>
      <c r="C286" s="1312"/>
      <c r="D286" s="1306"/>
      <c r="E286" s="1316"/>
      <c r="F286" s="1974"/>
      <c r="G286" s="1975"/>
      <c r="H286" s="2674" t="s">
        <v>1141</v>
      </c>
      <c r="I286" s="2675"/>
      <c r="J286" s="2644"/>
      <c r="K286" s="2676"/>
      <c r="L286" s="2266"/>
      <c r="M286" s="2267"/>
      <c r="N286" s="1321"/>
      <c r="O286" s="1322"/>
      <c r="P286" s="1314" t="s">
        <v>1108</v>
      </c>
      <c r="Q286" s="1322"/>
      <c r="R286" s="1322"/>
      <c r="S286" s="1322"/>
      <c r="T286" s="1322"/>
      <c r="U286" s="1322"/>
      <c r="V286" s="1322"/>
      <c r="W286" s="1322"/>
      <c r="X286" s="1322"/>
      <c r="Y286" s="1322"/>
      <c r="Z286" s="1322"/>
      <c r="AA286" s="1322"/>
      <c r="AB286" s="1322"/>
      <c r="AC286" s="1322"/>
      <c r="AD286" s="1322"/>
      <c r="AE286" s="1329"/>
      <c r="AF286" s="2665"/>
      <c r="AG286" s="2666"/>
      <c r="AH286" s="2666"/>
      <c r="AI286" s="8647"/>
      <c r="AJ286" s="2666"/>
      <c r="AK286" s="2666"/>
      <c r="AL286" s="2131"/>
      <c r="AM286" s="1968"/>
      <c r="AN286" s="1968"/>
      <c r="AO286" s="1968"/>
      <c r="AP286" s="1968"/>
      <c r="AQ286" s="1968"/>
      <c r="AR286" s="1968"/>
      <c r="AS286" s="1968"/>
      <c r="AT286" s="1968"/>
      <c r="AU286" s="1968"/>
      <c r="AV286" s="1968"/>
      <c r="AW286" s="1968"/>
      <c r="AX286" s="1968"/>
      <c r="AY286" s="1968"/>
      <c r="AZ286" s="1968"/>
      <c r="BA286" s="1968"/>
      <c r="BB286" s="1968"/>
      <c r="BC286" s="1968"/>
      <c r="BD286" s="1968"/>
      <c r="BE286" s="1968"/>
      <c r="BF286" s="1968"/>
      <c r="BG286" s="7235"/>
    </row>
    <row customHeight="1" ht="11.25">
      <c r="A287" s="1312" t="s">
        <v>1069</v>
      </c>
      <c r="B287" s="1312" t="s">
        <v>1198</v>
      </c>
      <c r="C287" s="1312"/>
      <c r="D287" s="1306"/>
      <c r="E287" s="1316"/>
      <c r="F287" s="1974"/>
      <c r="G287" s="7143" t="s">
        <v>106</v>
      </c>
      <c r="H287" s="2674" t="s">
        <v>1157</v>
      </c>
      <c r="I287" s="2675" t="s">
        <v>1200</v>
      </c>
      <c r="J287" s="2644" t="s">
        <v>1206</v>
      </c>
      <c r="K287" s="2676" t="s">
        <v>1207</v>
      </c>
      <c r="L287" s="2266" t="s">
        <v>19</v>
      </c>
      <c r="M287" s="2267"/>
      <c r="N287" s="2129"/>
      <c r="O287" s="1323" t="s">
        <v>398</v>
      </c>
      <c r="P287" s="1324"/>
      <c r="Q287" s="1324"/>
      <c r="R287" s="1324"/>
      <c r="S287" s="1324"/>
      <c r="T287" s="1324"/>
      <c r="U287" s="1324"/>
      <c r="V287" s="1324"/>
      <c r="W287" s="1324"/>
      <c r="X287" s="1324"/>
      <c r="Y287" s="1324"/>
      <c r="Z287" s="1324"/>
      <c r="AA287" s="1324"/>
      <c r="AB287" s="1324"/>
      <c r="AC287" s="1324"/>
      <c r="AD287" s="1324"/>
      <c r="AE287" s="1324"/>
      <c r="AF287" s="2665">
        <v>2026</v>
      </c>
      <c r="AG287" s="2666" t="s">
        <v>1103</v>
      </c>
      <c r="AH287" s="2666" t="s">
        <v>1162</v>
      </c>
      <c r="AI287" s="8647"/>
      <c r="AJ287" s="2666" t="s">
        <v>1105</v>
      </c>
      <c r="AK287" s="2666" t="s">
        <v>1105</v>
      </c>
      <c r="AL287" s="2131"/>
      <c r="AM287" s="1968"/>
      <c r="AN287" s="1968"/>
      <c r="AO287" s="1968"/>
      <c r="AP287" s="1968"/>
      <c r="AQ287" s="1968"/>
      <c r="AR287" s="1968"/>
      <c r="AS287" s="1968"/>
      <c r="AT287" s="1968"/>
      <c r="AU287" s="1968"/>
      <c r="AV287" s="1968"/>
      <c r="AW287" s="1968"/>
      <c r="AX287" s="1968"/>
      <c r="AY287" s="1968"/>
      <c r="AZ287" s="1968"/>
      <c r="BA287" s="1968"/>
      <c r="BB287" s="1968"/>
      <c r="BC287" s="1968"/>
      <c r="BD287" s="1968"/>
      <c r="BE287" s="1968"/>
      <c r="BF287" s="1968"/>
      <c r="BG287" s="7235"/>
    </row>
    <row customHeight="1" ht="11.25">
      <c r="A288" s="1312" t="s">
        <v>1069</v>
      </c>
      <c r="B288" s="1312"/>
      <c r="C288" s="1312"/>
      <c r="D288" s="1306"/>
      <c r="E288" s="1316"/>
      <c r="F288" s="1974"/>
      <c r="G288" s="1975"/>
      <c r="H288" s="2674" t="s">
        <v>1204</v>
      </c>
      <c r="I288" s="2675"/>
      <c r="J288" s="2644"/>
      <c r="K288" s="2676"/>
      <c r="L288" s="2266"/>
      <c r="M288" s="2267"/>
      <c r="N288" s="2667"/>
      <c r="O288" s="2668">
        <v>1</v>
      </c>
      <c r="P288" s="2669" t="s">
        <v>63</v>
      </c>
      <c r="Q288" s="8645" t="s">
        <v>1208</v>
      </c>
      <c r="R288" s="8646" t="s">
        <v>1114</v>
      </c>
      <c r="S288" s="8646" t="s">
        <v>113</v>
      </c>
      <c r="T288" s="8646" t="s">
        <v>113</v>
      </c>
      <c r="U288" s="8646" t="s">
        <v>114</v>
      </c>
      <c r="V288" s="8646" t="s">
        <v>1115</v>
      </c>
      <c r="W288" s="8646" t="s">
        <v>1116</v>
      </c>
      <c r="X288" s="8646" t="s">
        <v>1209</v>
      </c>
      <c r="Y288" s="8646" t="s">
        <v>121</v>
      </c>
      <c r="Z288" s="1321"/>
      <c r="AA288" s="1322"/>
      <c r="AB288" s="1322"/>
      <c r="AC288" s="1326"/>
      <c r="AD288" s="1326"/>
      <c r="AE288" s="1327"/>
      <c r="AF288" s="2665"/>
      <c r="AG288" s="2666"/>
      <c r="AH288" s="2666"/>
      <c r="AI288" s="8647"/>
      <c r="AJ288" s="2666"/>
      <c r="AK288" s="2666"/>
      <c r="AL288" s="2131"/>
      <c r="AM288" s="1968"/>
      <c r="AN288" s="1968"/>
      <c r="AO288" s="1968"/>
      <c r="AP288" s="1968"/>
      <c r="AQ288" s="1968"/>
      <c r="AR288" s="1968"/>
      <c r="AS288" s="1968"/>
      <c r="AT288" s="1968"/>
      <c r="AU288" s="1968"/>
      <c r="AV288" s="1968"/>
      <c r="AW288" s="1968"/>
      <c r="AX288" s="1968"/>
      <c r="AY288" s="1968"/>
      <c r="AZ288" s="1968"/>
      <c r="BA288" s="1968"/>
      <c r="BB288" s="1968"/>
      <c r="BC288" s="1968"/>
      <c r="BD288" s="1968"/>
      <c r="BE288" s="1968"/>
      <c r="BF288" s="1968"/>
      <c r="BG288" s="7235"/>
    </row>
    <row customHeight="1" ht="11.25">
      <c r="A289" s="1312" t="s">
        <v>1069</v>
      </c>
      <c r="B289" s="1312"/>
      <c r="C289" s="1312"/>
      <c r="D289" s="1306"/>
      <c r="E289" s="1316"/>
      <c r="F289" s="1974"/>
      <c r="G289" s="1975"/>
      <c r="H289" s="2674" t="s">
        <v>1204</v>
      </c>
      <c r="I289" s="2675"/>
      <c r="J289" s="2644"/>
      <c r="K289" s="2676"/>
      <c r="L289" s="2266"/>
      <c r="M289" s="2267"/>
      <c r="N289" s="2667"/>
      <c r="O289" s="2668"/>
      <c r="P289" s="2670"/>
      <c r="Q289" s="8645"/>
      <c r="R289" s="2672"/>
      <c r="S289" s="2673"/>
      <c r="T289" s="2672"/>
      <c r="U289" s="2672"/>
      <c r="V289" s="2672"/>
      <c r="W289" s="2672"/>
      <c r="X289" s="2672"/>
      <c r="Y289" s="2672"/>
      <c r="Z289" s="1973"/>
      <c r="AA289" s="1939">
        <v>1</v>
      </c>
      <c r="AB289" s="1325" t="s">
        <v>1131</v>
      </c>
      <c r="AC289" s="1315">
        <v>31331.5509689798</v>
      </c>
      <c r="AD289" s="1325" t="str">
        <f>AB289</f>
        <v>      Прочие амортизационные отчисления</v>
      </c>
      <c r="AE289" s="1315">
        <v>73510.3723073439</v>
      </c>
      <c r="AF289" s="2665"/>
      <c r="AG289" s="2666"/>
      <c r="AH289" s="2666"/>
      <c r="AI289" s="8647"/>
      <c r="AJ289" s="2666"/>
      <c r="AK289" s="2666"/>
      <c r="AL289" s="2131"/>
      <c r="AM289" s="1968"/>
      <c r="AN289" s="1968"/>
      <c r="AO289" s="1968"/>
      <c r="AP289" s="1968"/>
      <c r="AQ289" s="1968"/>
      <c r="AR289" s="1968"/>
      <c r="AS289" s="1968"/>
      <c r="AT289" s="1968"/>
      <c r="AU289" s="1968"/>
      <c r="AV289" s="1968"/>
      <c r="AW289" s="1968"/>
      <c r="AX289" s="1968"/>
      <c r="AY289" s="1968"/>
      <c r="AZ289" s="1968"/>
      <c r="BA289" s="1968"/>
      <c r="BB289" s="1968"/>
      <c r="BC289" s="1968"/>
      <c r="BD289" s="1968"/>
      <c r="BE289" s="1968"/>
      <c r="BF289" s="1968"/>
      <c r="BG289" s="7235"/>
    </row>
    <row customHeight="1" ht="11.25">
      <c r="A290" s="1312" t="s">
        <v>1069</v>
      </c>
      <c r="B290" s="1312"/>
      <c r="C290" s="1312"/>
      <c r="D290" s="1306"/>
      <c r="E290" s="1316"/>
      <c r="F290" s="1975"/>
      <c r="G290" s="1975"/>
      <c r="H290" s="1975"/>
      <c r="I290" s="1975"/>
      <c r="J290" s="1975"/>
      <c r="K290" s="1975"/>
      <c r="L290" s="1975"/>
      <c r="M290" s="1975"/>
      <c r="N290" s="1975"/>
      <c r="O290" s="1975"/>
      <c r="P290" s="1975"/>
      <c r="Q290" s="1975"/>
      <c r="R290" s="1975"/>
      <c r="S290" s="1975"/>
      <c r="T290" s="1975"/>
      <c r="U290" s="1975"/>
      <c r="V290" s="1975"/>
      <c r="W290" s="1975"/>
      <c r="X290" s="1975"/>
      <c r="Y290" s="1975"/>
      <c r="Z290" s="7143" t="s">
        <v>106</v>
      </c>
      <c r="AA290" s="1959" t="s">
        <v>105</v>
      </c>
      <c r="AB290" s="1325" t="s">
        <v>1210</v>
      </c>
      <c r="AC290" s="1315">
        <v>273061.86723102</v>
      </c>
      <c r="AD290" s="1325" t="str">
        <f>AB290</f>
        <v>  Кредиты</v>
      </c>
      <c r="AE290" s="1315">
        <v>189693.301130989</v>
      </c>
      <c r="AF290" s="2232"/>
      <c r="AG290" s="1904"/>
      <c r="AH290" s="1904"/>
      <c r="AI290" s="8648"/>
      <c r="AJ290" s="1904"/>
      <c r="AK290" s="2130"/>
      <c r="AL290" s="2131"/>
      <c r="AM290" s="1968"/>
      <c r="AN290" s="1968"/>
      <c r="AO290" s="1968"/>
      <c r="AP290" s="1968"/>
      <c r="AQ290" s="1968"/>
      <c r="AR290" s="1968"/>
      <c r="AS290" s="1968"/>
      <c r="AT290" s="1968"/>
      <c r="AU290" s="1968"/>
      <c r="AV290" s="1968"/>
      <c r="AW290" s="1968"/>
      <c r="AX290" s="1968"/>
      <c r="AY290" s="1968"/>
      <c r="AZ290" s="1968"/>
      <c r="BA290" s="1968"/>
      <c r="BB290" s="1968"/>
      <c r="BC290" s="1968"/>
      <c r="BD290" s="1968"/>
      <c r="BE290" s="1968"/>
      <c r="BF290" s="1968"/>
      <c r="BG290" s="7235"/>
    </row>
    <row customHeight="1" ht="11.25">
      <c r="A291" s="1312" t="s">
        <v>1069</v>
      </c>
      <c r="B291" s="1312"/>
      <c r="C291" s="1312"/>
      <c r="D291" s="1306"/>
      <c r="E291" s="1316"/>
      <c r="F291" s="1974"/>
      <c r="G291" s="1975"/>
      <c r="H291" s="2674" t="s">
        <v>1204</v>
      </c>
      <c r="I291" s="2675"/>
      <c r="J291" s="2644"/>
      <c r="K291" s="2676"/>
      <c r="L291" s="2266"/>
      <c r="M291" s="2267"/>
      <c r="N291" s="2667"/>
      <c r="O291" s="2668"/>
      <c r="P291" s="2671"/>
      <c r="Q291" s="8645"/>
      <c r="R291" s="2672"/>
      <c r="S291" s="2673"/>
      <c r="T291" s="2672"/>
      <c r="U291" s="2672"/>
      <c r="V291" s="2672"/>
      <c r="W291" s="2672"/>
      <c r="X291" s="2672"/>
      <c r="Y291" s="2672"/>
      <c r="Z291" s="1321"/>
      <c r="AA291" s="1322"/>
      <c r="AB291" s="1387" t="s">
        <v>1107</v>
      </c>
      <c r="AC291" s="1326"/>
      <c r="AD291" s="1326"/>
      <c r="AE291" s="1328"/>
      <c r="AF291" s="2665"/>
      <c r="AG291" s="2666"/>
      <c r="AH291" s="2666"/>
      <c r="AI291" s="8647"/>
      <c r="AJ291" s="2666"/>
      <c r="AK291" s="2666"/>
      <c r="AL291" s="2131"/>
      <c r="AM291" s="1968"/>
      <c r="AN291" s="1968"/>
      <c r="AO291" s="1968"/>
      <c r="AP291" s="1968"/>
      <c r="AQ291" s="1968"/>
      <c r="AR291" s="1968"/>
      <c r="AS291" s="1968"/>
      <c r="AT291" s="1968"/>
      <c r="AU291" s="1968"/>
      <c r="AV291" s="1968"/>
      <c r="AW291" s="1968"/>
      <c r="AX291" s="1968"/>
      <c r="AY291" s="1968"/>
      <c r="AZ291" s="1968"/>
      <c r="BA291" s="1968"/>
      <c r="BB291" s="1968"/>
      <c r="BC291" s="1968"/>
      <c r="BD291" s="1968"/>
      <c r="BE291" s="1968"/>
      <c r="BF291" s="1968"/>
      <c r="BG291" s="7235"/>
    </row>
    <row customHeight="1" ht="11.25">
      <c r="A292" s="1312" t="s">
        <v>1069</v>
      </c>
      <c r="B292" s="1312"/>
      <c r="C292" s="1312"/>
      <c r="D292" s="1306"/>
      <c r="E292" s="1316"/>
      <c r="F292" s="1974"/>
      <c r="G292" s="1975"/>
      <c r="H292" s="2674" t="s">
        <v>1204</v>
      </c>
      <c r="I292" s="2675"/>
      <c r="J292" s="2644"/>
      <c r="K292" s="2676"/>
      <c r="L292" s="2266"/>
      <c r="M292" s="2267"/>
      <c r="N292" s="1321"/>
      <c r="O292" s="1322"/>
      <c r="P292" s="1314" t="s">
        <v>1108</v>
      </c>
      <c r="Q292" s="1322"/>
      <c r="R292" s="1322"/>
      <c r="S292" s="1322"/>
      <c r="T292" s="1322"/>
      <c r="U292" s="1322"/>
      <c r="V292" s="1322"/>
      <c r="W292" s="1322"/>
      <c r="X292" s="1322"/>
      <c r="Y292" s="1322"/>
      <c r="Z292" s="1322"/>
      <c r="AA292" s="1322"/>
      <c r="AB292" s="1322"/>
      <c r="AC292" s="1322"/>
      <c r="AD292" s="1322"/>
      <c r="AE292" s="1329"/>
      <c r="AF292" s="2665"/>
      <c r="AG292" s="2666"/>
      <c r="AH292" s="2666"/>
      <c r="AI292" s="8647"/>
      <c r="AJ292" s="2666"/>
      <c r="AK292" s="2666"/>
      <c r="AL292" s="2131"/>
      <c r="AM292" s="1968"/>
      <c r="AN292" s="1968"/>
      <c r="AO292" s="1968"/>
      <c r="AP292" s="1968"/>
      <c r="AQ292" s="1968"/>
      <c r="AR292" s="1968"/>
      <c r="AS292" s="1968"/>
      <c r="AT292" s="1968"/>
      <c r="AU292" s="1968"/>
      <c r="AV292" s="1968"/>
      <c r="AW292" s="1968"/>
      <c r="AX292" s="1968"/>
      <c r="AY292" s="1968"/>
      <c r="AZ292" s="1968"/>
      <c r="BA292" s="1968"/>
      <c r="BB292" s="1968"/>
      <c r="BC292" s="1968"/>
      <c r="BD292" s="1968"/>
      <c r="BE292" s="1968"/>
      <c r="BF292" s="1968"/>
      <c r="BG292" s="7235"/>
    </row>
    <row customHeight="1" ht="11.25">
      <c r="A293" s="1312" t="s">
        <v>1069</v>
      </c>
      <c r="B293" s="1312" t="s">
        <v>1198</v>
      </c>
      <c r="C293" s="1312"/>
      <c r="D293" s="1306"/>
      <c r="E293" s="1316"/>
      <c r="F293" s="1974"/>
      <c r="G293" s="7143" t="s">
        <v>106</v>
      </c>
      <c r="H293" s="2674" t="s">
        <v>1211</v>
      </c>
      <c r="I293" s="2675" t="s">
        <v>1200</v>
      </c>
      <c r="J293" s="2644" t="s">
        <v>1206</v>
      </c>
      <c r="K293" s="2676" t="s">
        <v>1212</v>
      </c>
      <c r="L293" s="2266" t="s">
        <v>19</v>
      </c>
      <c r="M293" s="2267"/>
      <c r="N293" s="2129"/>
      <c r="O293" s="1323" t="s">
        <v>398</v>
      </c>
      <c r="P293" s="1324"/>
      <c r="Q293" s="1324"/>
      <c r="R293" s="1324"/>
      <c r="S293" s="1324"/>
      <c r="T293" s="1324"/>
      <c r="U293" s="1324"/>
      <c r="V293" s="1324"/>
      <c r="W293" s="1324"/>
      <c r="X293" s="1324"/>
      <c r="Y293" s="1324"/>
      <c r="Z293" s="1324"/>
      <c r="AA293" s="1324"/>
      <c r="AB293" s="1324"/>
      <c r="AC293" s="1324"/>
      <c r="AD293" s="1324"/>
      <c r="AE293" s="1324"/>
      <c r="AF293" s="2665">
        <v>2025</v>
      </c>
      <c r="AG293" s="2666" t="s">
        <v>1103</v>
      </c>
      <c r="AH293" s="2666" t="s">
        <v>1159</v>
      </c>
      <c r="AI293" s="8647"/>
      <c r="AJ293" s="2666" t="s">
        <v>1105</v>
      </c>
      <c r="AK293" s="2666" t="s">
        <v>1105</v>
      </c>
      <c r="AL293" s="2131"/>
      <c r="AM293" s="1968"/>
      <c r="AN293" s="1968"/>
      <c r="AO293" s="1968"/>
      <c r="AP293" s="1968"/>
      <c r="AQ293" s="1968"/>
      <c r="AR293" s="1968"/>
      <c r="AS293" s="1968"/>
      <c r="AT293" s="1968"/>
      <c r="AU293" s="1968"/>
      <c r="AV293" s="1968"/>
      <c r="AW293" s="1968"/>
      <c r="AX293" s="1968"/>
      <c r="AY293" s="1968"/>
      <c r="AZ293" s="1968"/>
      <c r="BA293" s="1968"/>
      <c r="BB293" s="1968"/>
      <c r="BC293" s="1968"/>
      <c r="BD293" s="1968"/>
      <c r="BE293" s="1968"/>
      <c r="BF293" s="1968"/>
      <c r="BG293" s="7235"/>
    </row>
    <row customHeight="1" ht="11.25">
      <c r="A294" s="1312" t="s">
        <v>1069</v>
      </c>
      <c r="B294" s="1312"/>
      <c r="C294" s="1312"/>
      <c r="D294" s="1306"/>
      <c r="E294" s="1316"/>
      <c r="F294" s="1974"/>
      <c r="G294" s="1975"/>
      <c r="H294" s="2674" t="s">
        <v>1157</v>
      </c>
      <c r="I294" s="2675"/>
      <c r="J294" s="2644"/>
      <c r="K294" s="2676"/>
      <c r="L294" s="2266"/>
      <c r="M294" s="2267"/>
      <c r="N294" s="2667"/>
      <c r="O294" s="2668">
        <v>1</v>
      </c>
      <c r="P294" s="2669" t="s">
        <v>63</v>
      </c>
      <c r="Q294" s="8645" t="s">
        <v>1208</v>
      </c>
      <c r="R294" s="8646" t="s">
        <v>1114</v>
      </c>
      <c r="S294" s="8646" t="s">
        <v>113</v>
      </c>
      <c r="T294" s="8646" t="s">
        <v>113</v>
      </c>
      <c r="U294" s="8646" t="s">
        <v>114</v>
      </c>
      <c r="V294" s="8646" t="s">
        <v>1115</v>
      </c>
      <c r="W294" s="8646" t="s">
        <v>1116</v>
      </c>
      <c r="X294" s="8646" t="s">
        <v>1209</v>
      </c>
      <c r="Y294" s="8646" t="s">
        <v>121</v>
      </c>
      <c r="Z294" s="1321"/>
      <c r="AA294" s="1322"/>
      <c r="AB294" s="1322"/>
      <c r="AC294" s="1326"/>
      <c r="AD294" s="1326"/>
      <c r="AE294" s="1327"/>
      <c r="AF294" s="2665"/>
      <c r="AG294" s="2666"/>
      <c r="AH294" s="2666"/>
      <c r="AI294" s="8647"/>
      <c r="AJ294" s="2666"/>
      <c r="AK294" s="2666"/>
      <c r="AL294" s="2131"/>
      <c r="AM294" s="1968"/>
      <c r="AN294" s="1968"/>
      <c r="AO294" s="1968"/>
      <c r="AP294" s="1968"/>
      <c r="AQ294" s="1968"/>
      <c r="AR294" s="1968"/>
      <c r="AS294" s="1968"/>
      <c r="AT294" s="1968"/>
      <c r="AU294" s="1968"/>
      <c r="AV294" s="1968"/>
      <c r="AW294" s="1968"/>
      <c r="AX294" s="1968"/>
      <c r="AY294" s="1968"/>
      <c r="AZ294" s="1968"/>
      <c r="BA294" s="1968"/>
      <c r="BB294" s="1968"/>
      <c r="BC294" s="1968"/>
      <c r="BD294" s="1968"/>
      <c r="BE294" s="1968"/>
      <c r="BF294" s="1968"/>
      <c r="BG294" s="7235"/>
    </row>
    <row customHeight="1" ht="11.25">
      <c r="A295" s="1312" t="s">
        <v>1069</v>
      </c>
      <c r="B295" s="1312"/>
      <c r="C295" s="1312"/>
      <c r="D295" s="1306"/>
      <c r="E295" s="1316"/>
      <c r="F295" s="1974"/>
      <c r="G295" s="1975"/>
      <c r="H295" s="2674" t="s">
        <v>1157</v>
      </c>
      <c r="I295" s="2675"/>
      <c r="J295" s="2644"/>
      <c r="K295" s="2676"/>
      <c r="L295" s="2266"/>
      <c r="M295" s="2267"/>
      <c r="N295" s="2667"/>
      <c r="O295" s="2668"/>
      <c r="P295" s="2670"/>
      <c r="Q295" s="8645"/>
      <c r="R295" s="2672"/>
      <c r="S295" s="2673"/>
      <c r="T295" s="2672"/>
      <c r="U295" s="2672"/>
      <c r="V295" s="2672"/>
      <c r="W295" s="2672"/>
      <c r="X295" s="2672"/>
      <c r="Y295" s="2672"/>
      <c r="Z295" s="1973"/>
      <c r="AA295" s="1939">
        <v>1</v>
      </c>
      <c r="AB295" s="1325" t="s">
        <v>1210</v>
      </c>
      <c r="AC295" s="1315">
        <v>196471.9141</v>
      </c>
      <c r="AD295" s="1325" t="str">
        <f>AB295</f>
        <v>  Кредиты</v>
      </c>
      <c r="AE295" s="1315">
        <v>118044.880081667</v>
      </c>
      <c r="AF295" s="2665"/>
      <c r="AG295" s="2666"/>
      <c r="AH295" s="2666"/>
      <c r="AI295" s="8647"/>
      <c r="AJ295" s="2666"/>
      <c r="AK295" s="2666"/>
      <c r="AL295" s="2131"/>
      <c r="AM295" s="1968"/>
      <c r="AN295" s="1968"/>
      <c r="AO295" s="1968"/>
      <c r="AP295" s="1968"/>
      <c r="AQ295" s="1968"/>
      <c r="AR295" s="1968"/>
      <c r="AS295" s="1968"/>
      <c r="AT295" s="1968"/>
      <c r="AU295" s="1968"/>
      <c r="AV295" s="1968"/>
      <c r="AW295" s="1968"/>
      <c r="AX295" s="1968"/>
      <c r="AY295" s="1968"/>
      <c r="AZ295" s="1968"/>
      <c r="BA295" s="1968"/>
      <c r="BB295" s="1968"/>
      <c r="BC295" s="1968"/>
      <c r="BD295" s="1968"/>
      <c r="BE295" s="1968"/>
      <c r="BF295" s="1968"/>
      <c r="BG295" s="7235"/>
    </row>
    <row customHeight="1" ht="11.25">
      <c r="A296" s="1312" t="s">
        <v>1069</v>
      </c>
      <c r="B296" s="1312"/>
      <c r="C296" s="1312"/>
      <c r="D296" s="1306"/>
      <c r="E296" s="1316"/>
      <c r="F296" s="1974"/>
      <c r="G296" s="1975"/>
      <c r="H296" s="2674" t="s">
        <v>1157</v>
      </c>
      <c r="I296" s="2675"/>
      <c r="J296" s="2644"/>
      <c r="K296" s="2676"/>
      <c r="L296" s="2266"/>
      <c r="M296" s="2267"/>
      <c r="N296" s="2667"/>
      <c r="O296" s="2668"/>
      <c r="P296" s="2671"/>
      <c r="Q296" s="8645"/>
      <c r="R296" s="2672"/>
      <c r="S296" s="2673"/>
      <c r="T296" s="2672"/>
      <c r="U296" s="2672"/>
      <c r="V296" s="2672"/>
      <c r="W296" s="2672"/>
      <c r="X296" s="2672"/>
      <c r="Y296" s="2672"/>
      <c r="Z296" s="1321"/>
      <c r="AA296" s="1322"/>
      <c r="AB296" s="1387" t="s">
        <v>1107</v>
      </c>
      <c r="AC296" s="1326"/>
      <c r="AD296" s="1326"/>
      <c r="AE296" s="1328"/>
      <c r="AF296" s="2665"/>
      <c r="AG296" s="2666"/>
      <c r="AH296" s="2666"/>
      <c r="AI296" s="8647"/>
      <c r="AJ296" s="2666"/>
      <c r="AK296" s="2666"/>
      <c r="AL296" s="2131"/>
      <c r="AM296" s="1968"/>
      <c r="AN296" s="1968"/>
      <c r="AO296" s="1968"/>
      <c r="AP296" s="1968"/>
      <c r="AQ296" s="1968"/>
      <c r="AR296" s="1968"/>
      <c r="AS296" s="1968"/>
      <c r="AT296" s="1968"/>
      <c r="AU296" s="1968"/>
      <c r="AV296" s="1968"/>
      <c r="AW296" s="1968"/>
      <c r="AX296" s="1968"/>
      <c r="AY296" s="1968"/>
      <c r="AZ296" s="1968"/>
      <c r="BA296" s="1968"/>
      <c r="BB296" s="1968"/>
      <c r="BC296" s="1968"/>
      <c r="BD296" s="1968"/>
      <c r="BE296" s="1968"/>
      <c r="BF296" s="1968"/>
      <c r="BG296" s="7235"/>
    </row>
    <row customHeight="1" ht="11.25">
      <c r="A297" s="1312" t="s">
        <v>1069</v>
      </c>
      <c r="B297" s="1312"/>
      <c r="C297" s="1312"/>
      <c r="D297" s="1306"/>
      <c r="E297" s="1316"/>
      <c r="F297" s="1974"/>
      <c r="G297" s="1975"/>
      <c r="H297" s="2674" t="s">
        <v>1157</v>
      </c>
      <c r="I297" s="2675"/>
      <c r="J297" s="2644"/>
      <c r="K297" s="2676"/>
      <c r="L297" s="2266"/>
      <c r="M297" s="2267"/>
      <c r="N297" s="1321"/>
      <c r="O297" s="1322"/>
      <c r="P297" s="1314" t="s">
        <v>1108</v>
      </c>
      <c r="Q297" s="1322"/>
      <c r="R297" s="1322"/>
      <c r="S297" s="1322"/>
      <c r="T297" s="1322"/>
      <c r="U297" s="1322"/>
      <c r="V297" s="1322"/>
      <c r="W297" s="1322"/>
      <c r="X297" s="1322"/>
      <c r="Y297" s="1322"/>
      <c r="Z297" s="1322"/>
      <c r="AA297" s="1322"/>
      <c r="AB297" s="1322"/>
      <c r="AC297" s="1322"/>
      <c r="AD297" s="1322"/>
      <c r="AE297" s="1329"/>
      <c r="AF297" s="2665"/>
      <c r="AG297" s="2666"/>
      <c r="AH297" s="2666"/>
      <c r="AI297" s="8647"/>
      <c r="AJ297" s="2666"/>
      <c r="AK297" s="2666"/>
      <c r="AL297" s="2131"/>
      <c r="AM297" s="1968"/>
      <c r="AN297" s="1968"/>
      <c r="AO297" s="1968"/>
      <c r="AP297" s="1968"/>
      <c r="AQ297" s="1968"/>
      <c r="AR297" s="1968"/>
      <c r="AS297" s="1968"/>
      <c r="AT297" s="1968"/>
      <c r="AU297" s="1968"/>
      <c r="AV297" s="1968"/>
      <c r="AW297" s="1968"/>
      <c r="AX297" s="1968"/>
      <c r="AY297" s="1968"/>
      <c r="AZ297" s="1968"/>
      <c r="BA297" s="1968"/>
      <c r="BB297" s="1968"/>
      <c r="BC297" s="1968"/>
      <c r="BD297" s="1968"/>
      <c r="BE297" s="1968"/>
      <c r="BF297" s="1968"/>
      <c r="BG297" s="7235"/>
    </row>
    <row customHeight="1" ht="11.25">
      <c r="A298" s="1312" t="s">
        <v>1069</v>
      </c>
      <c r="B298" s="1312" t="s">
        <v>1198</v>
      </c>
      <c r="C298" s="1312"/>
      <c r="D298" s="1306"/>
      <c r="E298" s="1316"/>
      <c r="F298" s="1974"/>
      <c r="G298" s="7143" t="s">
        <v>106</v>
      </c>
      <c r="H298" s="2674" t="s">
        <v>1213</v>
      </c>
      <c r="I298" s="2675" t="s">
        <v>1200</v>
      </c>
      <c r="J298" s="2644" t="s">
        <v>1206</v>
      </c>
      <c r="K298" s="2676" t="s">
        <v>1214</v>
      </c>
      <c r="L298" s="2266" t="s">
        <v>19</v>
      </c>
      <c r="M298" s="2267"/>
      <c r="N298" s="2129"/>
      <c r="O298" s="1323" t="s">
        <v>398</v>
      </c>
      <c r="P298" s="1324"/>
      <c r="Q298" s="1324"/>
      <c r="R298" s="1324"/>
      <c r="S298" s="1324"/>
      <c r="T298" s="1324"/>
      <c r="U298" s="1324"/>
      <c r="V298" s="1324"/>
      <c r="W298" s="1324"/>
      <c r="X298" s="1324"/>
      <c r="Y298" s="1324"/>
      <c r="Z298" s="1324"/>
      <c r="AA298" s="1324"/>
      <c r="AB298" s="1324"/>
      <c r="AC298" s="1324"/>
      <c r="AD298" s="1324"/>
      <c r="AE298" s="1324"/>
      <c r="AF298" s="2665">
        <v>2029</v>
      </c>
      <c r="AG298" s="2666" t="s">
        <v>1103</v>
      </c>
      <c r="AH298" s="2666" t="s">
        <v>1215</v>
      </c>
      <c r="AI298" s="8647"/>
      <c r="AJ298" s="2666" t="s">
        <v>1105</v>
      </c>
      <c r="AK298" s="2666" t="s">
        <v>1105</v>
      </c>
      <c r="AL298" s="2131"/>
      <c r="AM298" s="1968"/>
      <c r="AN298" s="1968"/>
      <c r="AO298" s="1968"/>
      <c r="AP298" s="1968"/>
      <c r="AQ298" s="1968"/>
      <c r="AR298" s="1968"/>
      <c r="AS298" s="1968"/>
      <c r="AT298" s="1968"/>
      <c r="AU298" s="1968"/>
      <c r="AV298" s="1968"/>
      <c r="AW298" s="1968"/>
      <c r="AX298" s="1968"/>
      <c r="AY298" s="1968"/>
      <c r="AZ298" s="1968"/>
      <c r="BA298" s="1968"/>
      <c r="BB298" s="1968"/>
      <c r="BC298" s="1968"/>
      <c r="BD298" s="1968"/>
      <c r="BE298" s="1968"/>
      <c r="BF298" s="1968"/>
      <c r="BG298" s="7235"/>
    </row>
    <row customHeight="1" ht="11.25">
      <c r="A299" s="1312" t="s">
        <v>1069</v>
      </c>
      <c r="B299" s="1312"/>
      <c r="C299" s="1312"/>
      <c r="D299" s="1306"/>
      <c r="E299" s="1316"/>
      <c r="F299" s="1974"/>
      <c r="G299" s="1975"/>
      <c r="H299" s="2674" t="s">
        <v>1211</v>
      </c>
      <c r="I299" s="2675"/>
      <c r="J299" s="2644"/>
      <c r="K299" s="2676"/>
      <c r="L299" s="2266"/>
      <c r="M299" s="2267"/>
      <c r="N299" s="2667"/>
      <c r="O299" s="2668">
        <v>1</v>
      </c>
      <c r="P299" s="2669" t="s">
        <v>63</v>
      </c>
      <c r="Q299" s="8645" t="s">
        <v>1208</v>
      </c>
      <c r="R299" s="8646" t="s">
        <v>1114</v>
      </c>
      <c r="S299" s="8646" t="s">
        <v>113</v>
      </c>
      <c r="T299" s="8646" t="s">
        <v>113</v>
      </c>
      <c r="U299" s="8646" t="s">
        <v>114</v>
      </c>
      <c r="V299" s="8646" t="s">
        <v>1115</v>
      </c>
      <c r="W299" s="8646" t="s">
        <v>1116</v>
      </c>
      <c r="X299" s="8646" t="s">
        <v>1209</v>
      </c>
      <c r="Y299" s="8646" t="s">
        <v>121</v>
      </c>
      <c r="Z299" s="1321"/>
      <c r="AA299" s="1322"/>
      <c r="AB299" s="1322"/>
      <c r="AC299" s="1326"/>
      <c r="AD299" s="1326"/>
      <c r="AE299" s="1327"/>
      <c r="AF299" s="2665"/>
      <c r="AG299" s="2666"/>
      <c r="AH299" s="2666"/>
      <c r="AI299" s="8647"/>
      <c r="AJ299" s="2666"/>
      <c r="AK299" s="2666"/>
      <c r="AL299" s="2131"/>
      <c r="AM299" s="1968"/>
      <c r="AN299" s="1968"/>
      <c r="AO299" s="1968"/>
      <c r="AP299" s="1968"/>
      <c r="AQ299" s="1968"/>
      <c r="AR299" s="1968"/>
      <c r="AS299" s="1968"/>
      <c r="AT299" s="1968"/>
      <c r="AU299" s="1968"/>
      <c r="AV299" s="1968"/>
      <c r="AW299" s="1968"/>
      <c r="AX299" s="1968"/>
      <c r="AY299" s="1968"/>
      <c r="AZ299" s="1968"/>
      <c r="BA299" s="1968"/>
      <c r="BB299" s="1968"/>
      <c r="BC299" s="1968"/>
      <c r="BD299" s="1968"/>
      <c r="BE299" s="1968"/>
      <c r="BF299" s="1968"/>
      <c r="BG299" s="7235"/>
    </row>
    <row customHeight="1" ht="11.25">
      <c r="A300" s="1312" t="s">
        <v>1069</v>
      </c>
      <c r="B300" s="1312"/>
      <c r="C300" s="1312"/>
      <c r="D300" s="1306"/>
      <c r="E300" s="1316"/>
      <c r="F300" s="1974"/>
      <c r="G300" s="1975"/>
      <c r="H300" s="2674" t="s">
        <v>1211</v>
      </c>
      <c r="I300" s="2675"/>
      <c r="J300" s="2644"/>
      <c r="K300" s="2676"/>
      <c r="L300" s="2266"/>
      <c r="M300" s="2267"/>
      <c r="N300" s="2667"/>
      <c r="O300" s="2668"/>
      <c r="P300" s="2670"/>
      <c r="Q300" s="8645"/>
      <c r="R300" s="2672"/>
      <c r="S300" s="2673"/>
      <c r="T300" s="2672"/>
      <c r="U300" s="2672"/>
      <c r="V300" s="2672"/>
      <c r="W300" s="2672"/>
      <c r="X300" s="2672"/>
      <c r="Y300" s="2672"/>
      <c r="Z300" s="1973"/>
      <c r="AA300" s="1939">
        <v>1</v>
      </c>
      <c r="AB300" s="1325" t="s">
        <v>1210</v>
      </c>
      <c r="AC300" s="1315">
        <v>277624.58</v>
      </c>
      <c r="AD300" s="1325" t="str">
        <f>AB300</f>
        <v>  Кредиты</v>
      </c>
      <c r="AE300" s="1315">
        <v>277624.64</v>
      </c>
      <c r="AF300" s="2665"/>
      <c r="AG300" s="2666"/>
      <c r="AH300" s="2666"/>
      <c r="AI300" s="8647"/>
      <c r="AJ300" s="2666"/>
      <c r="AK300" s="2666"/>
      <c r="AL300" s="2131"/>
      <c r="AM300" s="1968"/>
      <c r="AN300" s="1968"/>
      <c r="AO300" s="1968"/>
      <c r="AP300" s="1968"/>
      <c r="AQ300" s="1968"/>
      <c r="AR300" s="1968"/>
      <c r="AS300" s="1968"/>
      <c r="AT300" s="1968"/>
      <c r="AU300" s="1968"/>
      <c r="AV300" s="1968"/>
      <c r="AW300" s="1968"/>
      <c r="AX300" s="1968"/>
      <c r="AY300" s="1968"/>
      <c r="AZ300" s="1968"/>
      <c r="BA300" s="1968"/>
      <c r="BB300" s="1968"/>
      <c r="BC300" s="1968"/>
      <c r="BD300" s="1968"/>
      <c r="BE300" s="1968"/>
      <c r="BF300" s="1968"/>
      <c r="BG300" s="7235"/>
    </row>
    <row customHeight="1" ht="11.25">
      <c r="A301" s="1312" t="s">
        <v>1069</v>
      </c>
      <c r="B301" s="1312"/>
      <c r="C301" s="1312"/>
      <c r="D301" s="1306"/>
      <c r="E301" s="1316"/>
      <c r="F301" s="1974"/>
      <c r="G301" s="1975"/>
      <c r="H301" s="2674" t="s">
        <v>1211</v>
      </c>
      <c r="I301" s="2675"/>
      <c r="J301" s="2644"/>
      <c r="K301" s="2676"/>
      <c r="L301" s="2266"/>
      <c r="M301" s="2267"/>
      <c r="N301" s="2667"/>
      <c r="O301" s="2668"/>
      <c r="P301" s="2671"/>
      <c r="Q301" s="8645"/>
      <c r="R301" s="2672"/>
      <c r="S301" s="2673"/>
      <c r="T301" s="2672"/>
      <c r="U301" s="2672"/>
      <c r="V301" s="2672"/>
      <c r="W301" s="2672"/>
      <c r="X301" s="2672"/>
      <c r="Y301" s="2672"/>
      <c r="Z301" s="1321"/>
      <c r="AA301" s="1322"/>
      <c r="AB301" s="1387" t="s">
        <v>1107</v>
      </c>
      <c r="AC301" s="1326"/>
      <c r="AD301" s="1326"/>
      <c r="AE301" s="1328"/>
      <c r="AF301" s="2665"/>
      <c r="AG301" s="2666"/>
      <c r="AH301" s="2666"/>
      <c r="AI301" s="8647"/>
      <c r="AJ301" s="2666"/>
      <c r="AK301" s="2666"/>
      <c r="AL301" s="2131"/>
      <c r="AM301" s="1968"/>
      <c r="AN301" s="1968"/>
      <c r="AO301" s="1968"/>
      <c r="AP301" s="1968"/>
      <c r="AQ301" s="1968"/>
      <c r="AR301" s="1968"/>
      <c r="AS301" s="1968"/>
      <c r="AT301" s="1968"/>
      <c r="AU301" s="1968"/>
      <c r="AV301" s="1968"/>
      <c r="AW301" s="1968"/>
      <c r="AX301" s="1968"/>
      <c r="AY301" s="1968"/>
      <c r="AZ301" s="1968"/>
      <c r="BA301" s="1968"/>
      <c r="BB301" s="1968"/>
      <c r="BC301" s="1968"/>
      <c r="BD301" s="1968"/>
      <c r="BE301" s="1968"/>
      <c r="BF301" s="1968"/>
      <c r="BG301" s="7235"/>
    </row>
    <row customHeight="1" ht="11.25">
      <c r="A302" s="1312" t="s">
        <v>1069</v>
      </c>
      <c r="B302" s="1312"/>
      <c r="C302" s="1312"/>
      <c r="D302" s="1306"/>
      <c r="E302" s="1316"/>
      <c r="F302" s="1974"/>
      <c r="G302" s="1975"/>
      <c r="H302" s="2674" t="s">
        <v>1211</v>
      </c>
      <c r="I302" s="2675"/>
      <c r="J302" s="2644"/>
      <c r="K302" s="2676"/>
      <c r="L302" s="2266"/>
      <c r="M302" s="2267"/>
      <c r="N302" s="1321"/>
      <c r="O302" s="1322"/>
      <c r="P302" s="1314" t="s">
        <v>1108</v>
      </c>
      <c r="Q302" s="1322"/>
      <c r="R302" s="1322"/>
      <c r="S302" s="1322"/>
      <c r="T302" s="1322"/>
      <c r="U302" s="1322"/>
      <c r="V302" s="1322"/>
      <c r="W302" s="1322"/>
      <c r="X302" s="1322"/>
      <c r="Y302" s="1322"/>
      <c r="Z302" s="1322"/>
      <c r="AA302" s="1322"/>
      <c r="AB302" s="1322"/>
      <c r="AC302" s="1322"/>
      <c r="AD302" s="1322"/>
      <c r="AE302" s="1329"/>
      <c r="AF302" s="2665"/>
      <c r="AG302" s="2666"/>
      <c r="AH302" s="2666"/>
      <c r="AI302" s="8647"/>
      <c r="AJ302" s="2666"/>
      <c r="AK302" s="2666"/>
      <c r="AL302" s="2131"/>
      <c r="AM302" s="1968"/>
      <c r="AN302" s="1968"/>
      <c r="AO302" s="1968"/>
      <c r="AP302" s="1968"/>
      <c r="AQ302" s="1968"/>
      <c r="AR302" s="1968"/>
      <c r="AS302" s="1968"/>
      <c r="AT302" s="1968"/>
      <c r="AU302" s="1968"/>
      <c r="AV302" s="1968"/>
      <c r="AW302" s="1968"/>
      <c r="AX302" s="1968"/>
      <c r="AY302" s="1968"/>
      <c r="AZ302" s="1968"/>
      <c r="BA302" s="1968"/>
      <c r="BB302" s="1968"/>
      <c r="BC302" s="1968"/>
      <c r="BD302" s="1968"/>
      <c r="BE302" s="1968"/>
      <c r="BF302" s="1968"/>
      <c r="BG302" s="7235"/>
    </row>
    <row customHeight="1" ht="11.25">
      <c r="A303" s="1312" t="s">
        <v>1069</v>
      </c>
      <c r="B303" s="1312" t="s">
        <v>1198</v>
      </c>
      <c r="C303" s="1312"/>
      <c r="D303" s="1306"/>
      <c r="E303" s="1316"/>
      <c r="F303" s="1974"/>
      <c r="G303" s="7143" t="s">
        <v>106</v>
      </c>
      <c r="H303" s="2674" t="s">
        <v>1149</v>
      </c>
      <c r="I303" s="2675" t="s">
        <v>1200</v>
      </c>
      <c r="J303" s="2644" t="s">
        <v>1206</v>
      </c>
      <c r="K303" s="2676" t="s">
        <v>1216</v>
      </c>
      <c r="L303" s="2266" t="s">
        <v>19</v>
      </c>
      <c r="M303" s="2267"/>
      <c r="N303" s="2129"/>
      <c r="O303" s="1323" t="s">
        <v>398</v>
      </c>
      <c r="P303" s="1324"/>
      <c r="Q303" s="1324"/>
      <c r="R303" s="1324"/>
      <c r="S303" s="1324"/>
      <c r="T303" s="1324"/>
      <c r="U303" s="1324"/>
      <c r="V303" s="1324"/>
      <c r="W303" s="1324"/>
      <c r="X303" s="1324"/>
      <c r="Y303" s="1324"/>
      <c r="Z303" s="1324"/>
      <c r="AA303" s="1324"/>
      <c r="AB303" s="1324"/>
      <c r="AC303" s="1324"/>
      <c r="AD303" s="1324"/>
      <c r="AE303" s="1324"/>
      <c r="AF303" s="2665">
        <v>2024</v>
      </c>
      <c r="AG303" s="2666" t="s">
        <v>1103</v>
      </c>
      <c r="AH303" s="2666" t="s">
        <v>1154</v>
      </c>
      <c r="AI303" s="2665">
        <v>2024</v>
      </c>
      <c r="AJ303" s="2666" t="s">
        <v>1103</v>
      </c>
      <c r="AK303" s="2666" t="s">
        <v>1154</v>
      </c>
      <c r="AL303" s="2131"/>
      <c r="AM303" s="1968"/>
      <c r="AN303" s="1968"/>
      <c r="AO303" s="1968"/>
      <c r="AP303" s="1968"/>
      <c r="AQ303" s="1968"/>
      <c r="AR303" s="1968"/>
      <c r="AS303" s="1968"/>
      <c r="AT303" s="1968"/>
      <c r="AU303" s="1968"/>
      <c r="AV303" s="1968"/>
      <c r="AW303" s="1968"/>
      <c r="AX303" s="1968"/>
      <c r="AY303" s="1968"/>
      <c r="AZ303" s="1968"/>
      <c r="BA303" s="1968"/>
      <c r="BB303" s="1968"/>
      <c r="BC303" s="1968"/>
      <c r="BD303" s="1968"/>
      <c r="BE303" s="1968"/>
      <c r="BF303" s="1968"/>
      <c r="BG303" s="7235"/>
    </row>
    <row customHeight="1" ht="11.25">
      <c r="A304" s="1312" t="s">
        <v>1069</v>
      </c>
      <c r="B304" s="1312"/>
      <c r="C304" s="1312"/>
      <c r="D304" s="1306"/>
      <c r="E304" s="1316"/>
      <c r="F304" s="1974"/>
      <c r="G304" s="1975"/>
      <c r="H304" s="2674" t="s">
        <v>1213</v>
      </c>
      <c r="I304" s="2675"/>
      <c r="J304" s="2644"/>
      <c r="K304" s="2676"/>
      <c r="L304" s="2266"/>
      <c r="M304" s="2267"/>
      <c r="N304" s="2667"/>
      <c r="O304" s="2668">
        <v>1</v>
      </c>
      <c r="P304" s="2669" t="s">
        <v>63</v>
      </c>
      <c r="Q304" s="8645" t="s">
        <v>1208</v>
      </c>
      <c r="R304" s="8646" t="s">
        <v>1114</v>
      </c>
      <c r="S304" s="8646" t="s">
        <v>113</v>
      </c>
      <c r="T304" s="8646" t="s">
        <v>113</v>
      </c>
      <c r="U304" s="8646" t="s">
        <v>114</v>
      </c>
      <c r="V304" s="8646" t="s">
        <v>1115</v>
      </c>
      <c r="W304" s="8646" t="s">
        <v>1116</v>
      </c>
      <c r="X304" s="8646" t="s">
        <v>1209</v>
      </c>
      <c r="Y304" s="8646" t="s">
        <v>121</v>
      </c>
      <c r="Z304" s="1321"/>
      <c r="AA304" s="1322"/>
      <c r="AB304" s="1322"/>
      <c r="AC304" s="1326"/>
      <c r="AD304" s="1326"/>
      <c r="AE304" s="1327"/>
      <c r="AF304" s="2665"/>
      <c r="AG304" s="2666"/>
      <c r="AH304" s="2666"/>
      <c r="AI304" s="2665"/>
      <c r="AJ304" s="2666"/>
      <c r="AK304" s="2666"/>
      <c r="AL304" s="2131"/>
      <c r="AM304" s="1968"/>
      <c r="AN304" s="1968"/>
      <c r="AO304" s="1968"/>
      <c r="AP304" s="1968"/>
      <c r="AQ304" s="1968"/>
      <c r="AR304" s="1968"/>
      <c r="AS304" s="1968"/>
      <c r="AT304" s="1968"/>
      <c r="AU304" s="1968"/>
      <c r="AV304" s="1968"/>
      <c r="AW304" s="1968"/>
      <c r="AX304" s="1968"/>
      <c r="AY304" s="1968"/>
      <c r="AZ304" s="1968"/>
      <c r="BA304" s="1968"/>
      <c r="BB304" s="1968"/>
      <c r="BC304" s="1968"/>
      <c r="BD304" s="1968"/>
      <c r="BE304" s="1968"/>
      <c r="BF304" s="1968"/>
      <c r="BG304" s="7235"/>
    </row>
    <row customHeight="1" ht="11.25">
      <c r="A305" s="1312" t="s">
        <v>1069</v>
      </c>
      <c r="B305" s="1312"/>
      <c r="C305" s="1312"/>
      <c r="D305" s="1306"/>
      <c r="E305" s="1316"/>
      <c r="F305" s="1974"/>
      <c r="G305" s="1975"/>
      <c r="H305" s="2674" t="s">
        <v>1213</v>
      </c>
      <c r="I305" s="2675"/>
      <c r="J305" s="2644"/>
      <c r="K305" s="2676"/>
      <c r="L305" s="2266"/>
      <c r="M305" s="2267"/>
      <c r="N305" s="2667"/>
      <c r="O305" s="2668"/>
      <c r="P305" s="2670"/>
      <c r="Q305" s="8645"/>
      <c r="R305" s="2672"/>
      <c r="S305" s="2673"/>
      <c r="T305" s="2672"/>
      <c r="U305" s="2672"/>
      <c r="V305" s="2672"/>
      <c r="W305" s="2672"/>
      <c r="X305" s="2672"/>
      <c r="Y305" s="2672"/>
      <c r="Z305" s="1973"/>
      <c r="AA305" s="1939">
        <v>1</v>
      </c>
      <c r="AB305" s="1325" t="s">
        <v>1131</v>
      </c>
      <c r="AC305" s="1315">
        <v>8060.31131</v>
      </c>
      <c r="AD305" s="1325" t="str">
        <f>AB305</f>
        <v>      Прочие амортизационные отчисления</v>
      </c>
      <c r="AE305" s="1315">
        <v>8060.3113</v>
      </c>
      <c r="AF305" s="2665"/>
      <c r="AG305" s="2666"/>
      <c r="AH305" s="2666"/>
      <c r="AI305" s="2665"/>
      <c r="AJ305" s="2666"/>
      <c r="AK305" s="2666"/>
      <c r="AL305" s="2131"/>
      <c r="AM305" s="1968"/>
      <c r="AN305" s="1968"/>
      <c r="AO305" s="1968"/>
      <c r="AP305" s="1968"/>
      <c r="AQ305" s="1968"/>
      <c r="AR305" s="1968"/>
      <c r="AS305" s="1968"/>
      <c r="AT305" s="1968"/>
      <c r="AU305" s="1968"/>
      <c r="AV305" s="1968"/>
      <c r="AW305" s="1968"/>
      <c r="AX305" s="1968"/>
      <c r="AY305" s="1968"/>
      <c r="AZ305" s="1968"/>
      <c r="BA305" s="1968"/>
      <c r="BB305" s="1968"/>
      <c r="BC305" s="1968"/>
      <c r="BD305" s="1968"/>
      <c r="BE305" s="1968"/>
      <c r="BF305" s="1968"/>
      <c r="BG305" s="7235"/>
    </row>
    <row customHeight="1" ht="11.25">
      <c r="A306" s="1312" t="s">
        <v>1069</v>
      </c>
      <c r="B306" s="1312"/>
      <c r="C306" s="1312"/>
      <c r="D306" s="1306"/>
      <c r="E306" s="1316"/>
      <c r="F306" s="1974"/>
      <c r="G306" s="1975"/>
      <c r="H306" s="2674" t="s">
        <v>1213</v>
      </c>
      <c r="I306" s="2675"/>
      <c r="J306" s="2644"/>
      <c r="K306" s="2676"/>
      <c r="L306" s="2266"/>
      <c r="M306" s="2267"/>
      <c r="N306" s="2667"/>
      <c r="O306" s="2668"/>
      <c r="P306" s="2671"/>
      <c r="Q306" s="8645"/>
      <c r="R306" s="2672"/>
      <c r="S306" s="2673"/>
      <c r="T306" s="2672"/>
      <c r="U306" s="2672"/>
      <c r="V306" s="2672"/>
      <c r="W306" s="2672"/>
      <c r="X306" s="2672"/>
      <c r="Y306" s="2672"/>
      <c r="Z306" s="1321"/>
      <c r="AA306" s="1322"/>
      <c r="AB306" s="1387" t="s">
        <v>1107</v>
      </c>
      <c r="AC306" s="1326"/>
      <c r="AD306" s="1326"/>
      <c r="AE306" s="1328"/>
      <c r="AF306" s="2665"/>
      <c r="AG306" s="2666"/>
      <c r="AH306" s="2666"/>
      <c r="AI306" s="2665"/>
      <c r="AJ306" s="2666"/>
      <c r="AK306" s="2666"/>
      <c r="AL306" s="2131"/>
      <c r="AM306" s="1968"/>
      <c r="AN306" s="1968"/>
      <c r="AO306" s="1968"/>
      <c r="AP306" s="1968"/>
      <c r="AQ306" s="1968"/>
      <c r="AR306" s="1968"/>
      <c r="AS306" s="1968"/>
      <c r="AT306" s="1968"/>
      <c r="AU306" s="1968"/>
      <c r="AV306" s="1968"/>
      <c r="AW306" s="1968"/>
      <c r="AX306" s="1968"/>
      <c r="AY306" s="1968"/>
      <c r="AZ306" s="1968"/>
      <c r="BA306" s="1968"/>
      <c r="BB306" s="1968"/>
      <c r="BC306" s="1968"/>
      <c r="BD306" s="1968"/>
      <c r="BE306" s="1968"/>
      <c r="BF306" s="1968"/>
      <c r="BG306" s="7235"/>
    </row>
    <row customHeight="1" ht="11.25">
      <c r="A307" s="1312" t="s">
        <v>1069</v>
      </c>
      <c r="B307" s="1312"/>
      <c r="C307" s="1312"/>
      <c r="D307" s="1306"/>
      <c r="E307" s="1316"/>
      <c r="F307" s="1974"/>
      <c r="G307" s="1975"/>
      <c r="H307" s="2674" t="s">
        <v>1213</v>
      </c>
      <c r="I307" s="2675"/>
      <c r="J307" s="2644"/>
      <c r="K307" s="2676"/>
      <c r="L307" s="2266"/>
      <c r="M307" s="2267"/>
      <c r="N307" s="1321"/>
      <c r="O307" s="1322"/>
      <c r="P307" s="1314" t="s">
        <v>1108</v>
      </c>
      <c r="Q307" s="1322"/>
      <c r="R307" s="1322"/>
      <c r="S307" s="1322"/>
      <c r="T307" s="1322"/>
      <c r="U307" s="1322"/>
      <c r="V307" s="1322"/>
      <c r="W307" s="1322"/>
      <c r="X307" s="1322"/>
      <c r="Y307" s="1322"/>
      <c r="Z307" s="1322"/>
      <c r="AA307" s="1322"/>
      <c r="AB307" s="1322"/>
      <c r="AC307" s="1322"/>
      <c r="AD307" s="1322"/>
      <c r="AE307" s="1329"/>
      <c r="AF307" s="2665"/>
      <c r="AG307" s="2666"/>
      <c r="AH307" s="2666"/>
      <c r="AI307" s="2665"/>
      <c r="AJ307" s="2666"/>
      <c r="AK307" s="2666"/>
      <c r="AL307" s="2131"/>
      <c r="AM307" s="1968"/>
      <c r="AN307" s="1968"/>
      <c r="AO307" s="1968"/>
      <c r="AP307" s="1968"/>
      <c r="AQ307" s="1968"/>
      <c r="AR307" s="1968"/>
      <c r="AS307" s="1968"/>
      <c r="AT307" s="1968"/>
      <c r="AU307" s="1968"/>
      <c r="AV307" s="1968"/>
      <c r="AW307" s="1968"/>
      <c r="AX307" s="1968"/>
      <c r="AY307" s="1968"/>
      <c r="AZ307" s="1968"/>
      <c r="BA307" s="1968"/>
      <c r="BB307" s="1968"/>
      <c r="BC307" s="1968"/>
      <c r="BD307" s="1968"/>
      <c r="BE307" s="1968"/>
      <c r="BF307" s="1968"/>
      <c r="BG307" s="7235"/>
    </row>
    <row customHeight="1" ht="11.25">
      <c r="A308" s="1312" t="s">
        <v>1069</v>
      </c>
      <c r="B308" s="1312" t="s">
        <v>1198</v>
      </c>
      <c r="C308" s="1312"/>
      <c r="D308" s="1306"/>
      <c r="E308" s="1316"/>
      <c r="F308" s="1974"/>
      <c r="G308" s="7143" t="s">
        <v>106</v>
      </c>
      <c r="H308" s="2674" t="s">
        <v>1217</v>
      </c>
      <c r="I308" s="2675" t="s">
        <v>1200</v>
      </c>
      <c r="J308" s="2644" t="s">
        <v>1206</v>
      </c>
      <c r="K308" s="2676" t="s">
        <v>1218</v>
      </c>
      <c r="L308" s="2266" t="s">
        <v>19</v>
      </c>
      <c r="M308" s="2267"/>
      <c r="N308" s="2129"/>
      <c r="O308" s="1323" t="s">
        <v>398</v>
      </c>
      <c r="P308" s="1324"/>
      <c r="Q308" s="1324"/>
      <c r="R308" s="1324"/>
      <c r="S308" s="1324"/>
      <c r="T308" s="1324"/>
      <c r="U308" s="1324"/>
      <c r="V308" s="1324"/>
      <c r="W308" s="1324"/>
      <c r="X308" s="1324"/>
      <c r="Y308" s="1324"/>
      <c r="Z308" s="1324"/>
      <c r="AA308" s="1324"/>
      <c r="AB308" s="1324"/>
      <c r="AC308" s="1324"/>
      <c r="AD308" s="1324"/>
      <c r="AE308" s="1324"/>
      <c r="AF308" s="2665">
        <v>2024</v>
      </c>
      <c r="AG308" s="2666" t="s">
        <v>1103</v>
      </c>
      <c r="AH308" s="2666" t="s">
        <v>1154</v>
      </c>
      <c r="AI308" s="2665">
        <v>2024</v>
      </c>
      <c r="AJ308" s="2666" t="s">
        <v>1103</v>
      </c>
      <c r="AK308" s="2666" t="s">
        <v>1154</v>
      </c>
      <c r="AL308" s="2131"/>
      <c r="AM308" s="1968"/>
      <c r="AN308" s="1968"/>
      <c r="AO308" s="1968"/>
      <c r="AP308" s="1968"/>
      <c r="AQ308" s="1968"/>
      <c r="AR308" s="1968"/>
      <c r="AS308" s="1968"/>
      <c r="AT308" s="1968"/>
      <c r="AU308" s="1968"/>
      <c r="AV308" s="1968"/>
      <c r="AW308" s="1968"/>
      <c r="AX308" s="1968"/>
      <c r="AY308" s="1968"/>
      <c r="AZ308" s="1968"/>
      <c r="BA308" s="1968"/>
      <c r="BB308" s="1968"/>
      <c r="BC308" s="1968"/>
      <c r="BD308" s="1968"/>
      <c r="BE308" s="1968"/>
      <c r="BF308" s="1968"/>
      <c r="BG308" s="7235"/>
    </row>
    <row customHeight="1" ht="11.25">
      <c r="A309" s="1312" t="s">
        <v>1069</v>
      </c>
      <c r="B309" s="1312"/>
      <c r="C309" s="1312"/>
      <c r="D309" s="1306"/>
      <c r="E309" s="1316"/>
      <c r="F309" s="1974"/>
      <c r="G309" s="1975"/>
      <c r="H309" s="2674" t="s">
        <v>1149</v>
      </c>
      <c r="I309" s="2675"/>
      <c r="J309" s="2644"/>
      <c r="K309" s="2676"/>
      <c r="L309" s="2266"/>
      <c r="M309" s="2267"/>
      <c r="N309" s="2667"/>
      <c r="O309" s="2668">
        <v>1</v>
      </c>
      <c r="P309" s="2669" t="s">
        <v>63</v>
      </c>
      <c r="Q309" s="8645" t="s">
        <v>1208</v>
      </c>
      <c r="R309" s="8646" t="s">
        <v>1114</v>
      </c>
      <c r="S309" s="8646" t="s">
        <v>113</v>
      </c>
      <c r="T309" s="8646" t="s">
        <v>113</v>
      </c>
      <c r="U309" s="8646" t="s">
        <v>114</v>
      </c>
      <c r="V309" s="8646" t="s">
        <v>1115</v>
      </c>
      <c r="W309" s="8646" t="s">
        <v>1116</v>
      </c>
      <c r="X309" s="8646" t="s">
        <v>1209</v>
      </c>
      <c r="Y309" s="8646" t="s">
        <v>121</v>
      </c>
      <c r="Z309" s="1321"/>
      <c r="AA309" s="1322"/>
      <c r="AB309" s="1322"/>
      <c r="AC309" s="1326"/>
      <c r="AD309" s="1326"/>
      <c r="AE309" s="1327"/>
      <c r="AF309" s="2665"/>
      <c r="AG309" s="2666"/>
      <c r="AH309" s="2666"/>
      <c r="AI309" s="2665"/>
      <c r="AJ309" s="2666"/>
      <c r="AK309" s="2666"/>
      <c r="AL309" s="2131"/>
      <c r="AM309" s="1968"/>
      <c r="AN309" s="1968"/>
      <c r="AO309" s="1968"/>
      <c r="AP309" s="1968"/>
      <c r="AQ309" s="1968"/>
      <c r="AR309" s="1968"/>
      <c r="AS309" s="1968"/>
      <c r="AT309" s="1968"/>
      <c r="AU309" s="1968"/>
      <c r="AV309" s="1968"/>
      <c r="AW309" s="1968"/>
      <c r="AX309" s="1968"/>
      <c r="AY309" s="1968"/>
      <c r="AZ309" s="1968"/>
      <c r="BA309" s="1968"/>
      <c r="BB309" s="1968"/>
      <c r="BC309" s="1968"/>
      <c r="BD309" s="1968"/>
      <c r="BE309" s="1968"/>
      <c r="BF309" s="1968"/>
      <c r="BG309" s="7235"/>
    </row>
    <row customHeight="1" ht="11.25">
      <c r="A310" s="1312" t="s">
        <v>1069</v>
      </c>
      <c r="B310" s="1312"/>
      <c r="C310" s="1312"/>
      <c r="D310" s="1306"/>
      <c r="E310" s="1316"/>
      <c r="F310" s="1974"/>
      <c r="G310" s="1975"/>
      <c r="H310" s="2674" t="s">
        <v>1149</v>
      </c>
      <c r="I310" s="2675"/>
      <c r="J310" s="2644"/>
      <c r="K310" s="2676"/>
      <c r="L310" s="2266"/>
      <c r="M310" s="2267"/>
      <c r="N310" s="2667"/>
      <c r="O310" s="2668"/>
      <c r="P310" s="2670"/>
      <c r="Q310" s="8645"/>
      <c r="R310" s="2672"/>
      <c r="S310" s="2673"/>
      <c r="T310" s="2672"/>
      <c r="U310" s="2672"/>
      <c r="V310" s="2672"/>
      <c r="W310" s="2672"/>
      <c r="X310" s="2672"/>
      <c r="Y310" s="2672"/>
      <c r="Z310" s="1973"/>
      <c r="AA310" s="1939">
        <v>1</v>
      </c>
      <c r="AB310" s="1325" t="s">
        <v>1131</v>
      </c>
      <c r="AC310" s="1315">
        <v>4171</v>
      </c>
      <c r="AD310" s="1325" t="str">
        <f>AB310</f>
        <v>      Прочие амортизационные отчисления</v>
      </c>
      <c r="AE310" s="1315">
        <v>4376.89295</v>
      </c>
      <c r="AF310" s="2665"/>
      <c r="AG310" s="2666"/>
      <c r="AH310" s="2666"/>
      <c r="AI310" s="2665"/>
      <c r="AJ310" s="2666"/>
      <c r="AK310" s="2666"/>
      <c r="AL310" s="2131"/>
      <c r="AM310" s="1968"/>
      <c r="AN310" s="1968"/>
      <c r="AO310" s="1968"/>
      <c r="AP310" s="1968"/>
      <c r="AQ310" s="1968"/>
      <c r="AR310" s="1968"/>
      <c r="AS310" s="1968"/>
      <c r="AT310" s="1968"/>
      <c r="AU310" s="1968"/>
      <c r="AV310" s="1968"/>
      <c r="AW310" s="1968"/>
      <c r="AX310" s="1968"/>
      <c r="AY310" s="1968"/>
      <c r="AZ310" s="1968"/>
      <c r="BA310" s="1968"/>
      <c r="BB310" s="1968"/>
      <c r="BC310" s="1968"/>
      <c r="BD310" s="1968"/>
      <c r="BE310" s="1968"/>
      <c r="BF310" s="1968"/>
      <c r="BG310" s="7235"/>
    </row>
    <row customHeight="1" ht="11.25">
      <c r="A311" s="1312" t="s">
        <v>1069</v>
      </c>
      <c r="B311" s="1312"/>
      <c r="C311" s="1312"/>
      <c r="D311" s="1306"/>
      <c r="E311" s="1316"/>
      <c r="F311" s="1974"/>
      <c r="G311" s="1975"/>
      <c r="H311" s="2674" t="s">
        <v>1149</v>
      </c>
      <c r="I311" s="2675"/>
      <c r="J311" s="2644"/>
      <c r="K311" s="2676"/>
      <c r="L311" s="2266"/>
      <c r="M311" s="2267"/>
      <c r="N311" s="2667"/>
      <c r="O311" s="2668"/>
      <c r="P311" s="2671"/>
      <c r="Q311" s="8645"/>
      <c r="R311" s="2672"/>
      <c r="S311" s="2673"/>
      <c r="T311" s="2672"/>
      <c r="U311" s="2672"/>
      <c r="V311" s="2672"/>
      <c r="W311" s="2672"/>
      <c r="X311" s="2672"/>
      <c r="Y311" s="2672"/>
      <c r="Z311" s="1321"/>
      <c r="AA311" s="1322"/>
      <c r="AB311" s="1387" t="s">
        <v>1107</v>
      </c>
      <c r="AC311" s="1326"/>
      <c r="AD311" s="1326"/>
      <c r="AE311" s="1328"/>
      <c r="AF311" s="2665"/>
      <c r="AG311" s="2666"/>
      <c r="AH311" s="2666"/>
      <c r="AI311" s="2665"/>
      <c r="AJ311" s="2666"/>
      <c r="AK311" s="2666"/>
      <c r="AL311" s="2131"/>
      <c r="AM311" s="1968"/>
      <c r="AN311" s="1968"/>
      <c r="AO311" s="1968"/>
      <c r="AP311" s="1968"/>
      <c r="AQ311" s="1968"/>
      <c r="AR311" s="1968"/>
      <c r="AS311" s="1968"/>
      <c r="AT311" s="1968"/>
      <c r="AU311" s="1968"/>
      <c r="AV311" s="1968"/>
      <c r="AW311" s="1968"/>
      <c r="AX311" s="1968"/>
      <c r="AY311" s="1968"/>
      <c r="AZ311" s="1968"/>
      <c r="BA311" s="1968"/>
      <c r="BB311" s="1968"/>
      <c r="BC311" s="1968"/>
      <c r="BD311" s="1968"/>
      <c r="BE311" s="1968"/>
      <c r="BF311" s="1968"/>
      <c r="BG311" s="7235"/>
    </row>
    <row customHeight="1" ht="11.25">
      <c r="A312" s="1312" t="s">
        <v>1069</v>
      </c>
      <c r="B312" s="1312"/>
      <c r="C312" s="1312"/>
      <c r="D312" s="1306"/>
      <c r="E312" s="1316"/>
      <c r="F312" s="1974"/>
      <c r="G312" s="1975"/>
      <c r="H312" s="2674" t="s">
        <v>1149</v>
      </c>
      <c r="I312" s="2675"/>
      <c r="J312" s="2644"/>
      <c r="K312" s="2676"/>
      <c r="L312" s="2266"/>
      <c r="M312" s="2267"/>
      <c r="N312" s="1321"/>
      <c r="O312" s="1322"/>
      <c r="P312" s="1314" t="s">
        <v>1108</v>
      </c>
      <c r="Q312" s="1322"/>
      <c r="R312" s="1322"/>
      <c r="S312" s="1322"/>
      <c r="T312" s="1322"/>
      <c r="U312" s="1322"/>
      <c r="V312" s="1322"/>
      <c r="W312" s="1322"/>
      <c r="X312" s="1322"/>
      <c r="Y312" s="1322"/>
      <c r="Z312" s="1322"/>
      <c r="AA312" s="1322"/>
      <c r="AB312" s="1322"/>
      <c r="AC312" s="1322"/>
      <c r="AD312" s="1322"/>
      <c r="AE312" s="1329"/>
      <c r="AF312" s="2665"/>
      <c r="AG312" s="2666"/>
      <c r="AH312" s="2666"/>
      <c r="AI312" s="2665"/>
      <c r="AJ312" s="2666"/>
      <c r="AK312" s="2666"/>
      <c r="AL312" s="2131"/>
      <c r="AM312" s="1968"/>
      <c r="AN312" s="1968"/>
      <c r="AO312" s="1968"/>
      <c r="AP312" s="1968"/>
      <c r="AQ312" s="1968"/>
      <c r="AR312" s="1968"/>
      <c r="AS312" s="1968"/>
      <c r="AT312" s="1968"/>
      <c r="AU312" s="1968"/>
      <c r="AV312" s="1968"/>
      <c r="AW312" s="1968"/>
      <c r="AX312" s="1968"/>
      <c r="AY312" s="1968"/>
      <c r="AZ312" s="1968"/>
      <c r="BA312" s="1968"/>
      <c r="BB312" s="1968"/>
      <c r="BC312" s="1968"/>
      <c r="BD312" s="1968"/>
      <c r="BE312" s="1968"/>
      <c r="BF312" s="1968"/>
      <c r="BG312" s="7235"/>
    </row>
    <row customHeight="1" ht="11.25">
      <c r="A313" s="1312" t="s">
        <v>1069</v>
      </c>
      <c r="B313" s="1312" t="s">
        <v>1198</v>
      </c>
      <c r="C313" s="1312"/>
      <c r="D313" s="1306"/>
      <c r="E313" s="1316"/>
      <c r="F313" s="1974"/>
      <c r="G313" s="7143" t="s">
        <v>106</v>
      </c>
      <c r="H313" s="2674" t="s">
        <v>1167</v>
      </c>
      <c r="I313" s="2675" t="s">
        <v>1200</v>
      </c>
      <c r="J313" s="2644" t="s">
        <v>1206</v>
      </c>
      <c r="K313" s="2676" t="s">
        <v>1219</v>
      </c>
      <c r="L313" s="2266" t="s">
        <v>19</v>
      </c>
      <c r="M313" s="2267"/>
      <c r="N313" s="2129"/>
      <c r="O313" s="1323" t="s">
        <v>398</v>
      </c>
      <c r="P313" s="1324"/>
      <c r="Q313" s="1324"/>
      <c r="R313" s="1324"/>
      <c r="S313" s="1324"/>
      <c r="T313" s="1324"/>
      <c r="U313" s="1324"/>
      <c r="V313" s="1324"/>
      <c r="W313" s="1324"/>
      <c r="X313" s="1324"/>
      <c r="Y313" s="1324"/>
      <c r="Z313" s="1324"/>
      <c r="AA313" s="1324"/>
      <c r="AB313" s="1324"/>
      <c r="AC313" s="1324"/>
      <c r="AD313" s="1324"/>
      <c r="AE313" s="1324"/>
      <c r="AF313" s="2665">
        <v>2025</v>
      </c>
      <c r="AG313" s="2666" t="s">
        <v>1103</v>
      </c>
      <c r="AH313" s="2666" t="s">
        <v>1159</v>
      </c>
      <c r="AI313" s="8647"/>
      <c r="AJ313" s="2666" t="s">
        <v>1105</v>
      </c>
      <c r="AK313" s="2666" t="s">
        <v>1105</v>
      </c>
      <c r="AL313" s="2131"/>
      <c r="AM313" s="1968"/>
      <c r="AN313" s="1968"/>
      <c r="AO313" s="1968"/>
      <c r="AP313" s="1968"/>
      <c r="AQ313" s="1968"/>
      <c r="AR313" s="1968"/>
      <c r="AS313" s="1968"/>
      <c r="AT313" s="1968"/>
      <c r="AU313" s="1968"/>
      <c r="AV313" s="1968"/>
      <c r="AW313" s="1968"/>
      <c r="AX313" s="1968"/>
      <c r="AY313" s="1968"/>
      <c r="AZ313" s="1968"/>
      <c r="BA313" s="1968"/>
      <c r="BB313" s="1968"/>
      <c r="BC313" s="1968"/>
      <c r="BD313" s="1968"/>
      <c r="BE313" s="1968"/>
      <c r="BF313" s="1968"/>
      <c r="BG313" s="7235"/>
    </row>
    <row customHeight="1" ht="11.25">
      <c r="A314" s="1312" t="s">
        <v>1069</v>
      </c>
      <c r="B314" s="1312"/>
      <c r="C314" s="1312"/>
      <c r="D314" s="1306"/>
      <c r="E314" s="1316"/>
      <c r="F314" s="1974"/>
      <c r="G314" s="1975"/>
      <c r="H314" s="2674" t="s">
        <v>1217</v>
      </c>
      <c r="I314" s="2675"/>
      <c r="J314" s="2644"/>
      <c r="K314" s="2676"/>
      <c r="L314" s="2266"/>
      <c r="M314" s="2267"/>
      <c r="N314" s="2667"/>
      <c r="O314" s="2668">
        <v>1</v>
      </c>
      <c r="P314" s="2669" t="s">
        <v>63</v>
      </c>
      <c r="Q314" s="8645" t="s">
        <v>1208</v>
      </c>
      <c r="R314" s="8646" t="s">
        <v>1114</v>
      </c>
      <c r="S314" s="8646" t="s">
        <v>113</v>
      </c>
      <c r="T314" s="8646" t="s">
        <v>113</v>
      </c>
      <c r="U314" s="8646" t="s">
        <v>114</v>
      </c>
      <c r="V314" s="8646" t="s">
        <v>1115</v>
      </c>
      <c r="W314" s="8646" t="s">
        <v>1116</v>
      </c>
      <c r="X314" s="8646" t="s">
        <v>1209</v>
      </c>
      <c r="Y314" s="8646" t="s">
        <v>121</v>
      </c>
      <c r="Z314" s="1321"/>
      <c r="AA314" s="1322"/>
      <c r="AB314" s="1322"/>
      <c r="AC314" s="1326"/>
      <c r="AD314" s="1326"/>
      <c r="AE314" s="1327"/>
      <c r="AF314" s="2665"/>
      <c r="AG314" s="2666"/>
      <c r="AH314" s="2666"/>
      <c r="AI314" s="8647"/>
      <c r="AJ314" s="2666"/>
      <c r="AK314" s="2666"/>
      <c r="AL314" s="2131"/>
      <c r="AM314" s="1968"/>
      <c r="AN314" s="1968"/>
      <c r="AO314" s="1968"/>
      <c r="AP314" s="1968"/>
      <c r="AQ314" s="1968"/>
      <c r="AR314" s="1968"/>
      <c r="AS314" s="1968"/>
      <c r="AT314" s="1968"/>
      <c r="AU314" s="1968"/>
      <c r="AV314" s="1968"/>
      <c r="AW314" s="1968"/>
      <c r="AX314" s="1968"/>
      <c r="AY314" s="1968"/>
      <c r="AZ314" s="1968"/>
      <c r="BA314" s="1968"/>
      <c r="BB314" s="1968"/>
      <c r="BC314" s="1968"/>
      <c r="BD314" s="1968"/>
      <c r="BE314" s="1968"/>
      <c r="BF314" s="1968"/>
      <c r="BG314" s="7235"/>
    </row>
    <row customHeight="1" ht="11.25">
      <c r="A315" s="1312" t="s">
        <v>1069</v>
      </c>
      <c r="B315" s="1312"/>
      <c r="C315" s="1312"/>
      <c r="D315" s="1306"/>
      <c r="E315" s="1316"/>
      <c r="F315" s="1974"/>
      <c r="G315" s="1975"/>
      <c r="H315" s="2674" t="s">
        <v>1217</v>
      </c>
      <c r="I315" s="2675"/>
      <c r="J315" s="2644"/>
      <c r="K315" s="2676"/>
      <c r="L315" s="2266"/>
      <c r="M315" s="2267"/>
      <c r="N315" s="2667"/>
      <c r="O315" s="2668"/>
      <c r="P315" s="2670"/>
      <c r="Q315" s="8645"/>
      <c r="R315" s="2672"/>
      <c r="S315" s="2673"/>
      <c r="T315" s="2672"/>
      <c r="U315" s="2672"/>
      <c r="V315" s="2672"/>
      <c r="W315" s="2672"/>
      <c r="X315" s="2672"/>
      <c r="Y315" s="2672"/>
      <c r="Z315" s="1973"/>
      <c r="AA315" s="1939">
        <v>1</v>
      </c>
      <c r="AB315" s="1325" t="s">
        <v>1131</v>
      </c>
      <c r="AC315" s="1315">
        <v>3110</v>
      </c>
      <c r="AD315" s="1325" t="str">
        <f>AB315</f>
        <v>      Прочие амортизационные отчисления</v>
      </c>
      <c r="AE315" s="1315">
        <v>3109.83</v>
      </c>
      <c r="AF315" s="2665"/>
      <c r="AG315" s="2666"/>
      <c r="AH315" s="2666"/>
      <c r="AI315" s="8647"/>
      <c r="AJ315" s="2666"/>
      <c r="AK315" s="2666"/>
      <c r="AL315" s="2131"/>
      <c r="AM315" s="1968"/>
      <c r="AN315" s="1968"/>
      <c r="AO315" s="1968"/>
      <c r="AP315" s="1968"/>
      <c r="AQ315" s="1968"/>
      <c r="AR315" s="1968"/>
      <c r="AS315" s="1968"/>
      <c r="AT315" s="1968"/>
      <c r="AU315" s="1968"/>
      <c r="AV315" s="1968"/>
      <c r="AW315" s="1968"/>
      <c r="AX315" s="1968"/>
      <c r="AY315" s="1968"/>
      <c r="AZ315" s="1968"/>
      <c r="BA315" s="1968"/>
      <c r="BB315" s="1968"/>
      <c r="BC315" s="1968"/>
      <c r="BD315" s="1968"/>
      <c r="BE315" s="1968"/>
      <c r="BF315" s="1968"/>
      <c r="BG315" s="7235"/>
    </row>
    <row customHeight="1" ht="11.25">
      <c r="A316" s="1312" t="s">
        <v>1069</v>
      </c>
      <c r="B316" s="1312"/>
      <c r="C316" s="1312"/>
      <c r="D316" s="1306"/>
      <c r="E316" s="1316"/>
      <c r="F316" s="1974"/>
      <c r="G316" s="1975"/>
      <c r="H316" s="2674" t="s">
        <v>1217</v>
      </c>
      <c r="I316" s="2675"/>
      <c r="J316" s="2644"/>
      <c r="K316" s="2676"/>
      <c r="L316" s="2266"/>
      <c r="M316" s="2267"/>
      <c r="N316" s="2667"/>
      <c r="O316" s="2668"/>
      <c r="P316" s="2671"/>
      <c r="Q316" s="8645"/>
      <c r="R316" s="2672"/>
      <c r="S316" s="2673"/>
      <c r="T316" s="2672"/>
      <c r="U316" s="2672"/>
      <c r="V316" s="2672"/>
      <c r="W316" s="2672"/>
      <c r="X316" s="2672"/>
      <c r="Y316" s="2672"/>
      <c r="Z316" s="1321"/>
      <c r="AA316" s="1322"/>
      <c r="AB316" s="1387" t="s">
        <v>1107</v>
      </c>
      <c r="AC316" s="1326"/>
      <c r="AD316" s="1326"/>
      <c r="AE316" s="1328"/>
      <c r="AF316" s="2665"/>
      <c r="AG316" s="2666"/>
      <c r="AH316" s="2666"/>
      <c r="AI316" s="8647"/>
      <c r="AJ316" s="2666"/>
      <c r="AK316" s="2666"/>
      <c r="AL316" s="2131"/>
      <c r="AM316" s="1968"/>
      <c r="AN316" s="1968"/>
      <c r="AO316" s="1968"/>
      <c r="AP316" s="1968"/>
      <c r="AQ316" s="1968"/>
      <c r="AR316" s="1968"/>
      <c r="AS316" s="1968"/>
      <c r="AT316" s="1968"/>
      <c r="AU316" s="1968"/>
      <c r="AV316" s="1968"/>
      <c r="AW316" s="1968"/>
      <c r="AX316" s="1968"/>
      <c r="AY316" s="1968"/>
      <c r="AZ316" s="1968"/>
      <c r="BA316" s="1968"/>
      <c r="BB316" s="1968"/>
      <c r="BC316" s="1968"/>
      <c r="BD316" s="1968"/>
      <c r="BE316" s="1968"/>
      <c r="BF316" s="1968"/>
      <c r="BG316" s="7235"/>
    </row>
    <row customHeight="1" ht="11.25">
      <c r="A317" s="1312" t="s">
        <v>1069</v>
      </c>
      <c r="B317" s="1312"/>
      <c r="C317" s="1312"/>
      <c r="D317" s="1306"/>
      <c r="E317" s="1316"/>
      <c r="F317" s="1974"/>
      <c r="G317" s="1975"/>
      <c r="H317" s="2674" t="s">
        <v>1217</v>
      </c>
      <c r="I317" s="2675"/>
      <c r="J317" s="2644"/>
      <c r="K317" s="2676"/>
      <c r="L317" s="2266"/>
      <c r="M317" s="2267"/>
      <c r="N317" s="1321"/>
      <c r="O317" s="1322"/>
      <c r="P317" s="1314" t="s">
        <v>1108</v>
      </c>
      <c r="Q317" s="1322"/>
      <c r="R317" s="1322"/>
      <c r="S317" s="1322"/>
      <c r="T317" s="1322"/>
      <c r="U317" s="1322"/>
      <c r="V317" s="1322"/>
      <c r="W317" s="1322"/>
      <c r="X317" s="1322"/>
      <c r="Y317" s="1322"/>
      <c r="Z317" s="1322"/>
      <c r="AA317" s="1322"/>
      <c r="AB317" s="1322"/>
      <c r="AC317" s="1322"/>
      <c r="AD317" s="1322"/>
      <c r="AE317" s="1329"/>
      <c r="AF317" s="2665"/>
      <c r="AG317" s="2666"/>
      <c r="AH317" s="2666"/>
      <c r="AI317" s="8647"/>
      <c r="AJ317" s="2666"/>
      <c r="AK317" s="2666"/>
      <c r="AL317" s="2131"/>
      <c r="AM317" s="1968"/>
      <c r="AN317" s="1968"/>
      <c r="AO317" s="1968"/>
      <c r="AP317" s="1968"/>
      <c r="AQ317" s="1968"/>
      <c r="AR317" s="1968"/>
      <c r="AS317" s="1968"/>
      <c r="AT317" s="1968"/>
      <c r="AU317" s="1968"/>
      <c r="AV317" s="1968"/>
      <c r="AW317" s="1968"/>
      <c r="AX317" s="1968"/>
      <c r="AY317" s="1968"/>
      <c r="AZ317" s="1968"/>
      <c r="BA317" s="1968"/>
      <c r="BB317" s="1968"/>
      <c r="BC317" s="1968"/>
      <c r="BD317" s="1968"/>
      <c r="BE317" s="1968"/>
      <c r="BF317" s="1968"/>
      <c r="BG317" s="7235"/>
    </row>
    <row customHeight="1" ht="11.25">
      <c r="A318" s="1312" t="s">
        <v>1069</v>
      </c>
      <c r="B318" s="1312" t="s">
        <v>1198</v>
      </c>
      <c r="C318" s="1312"/>
      <c r="D318" s="1306"/>
      <c r="E318" s="1316"/>
      <c r="F318" s="1974"/>
      <c r="G318" s="7143" t="s">
        <v>106</v>
      </c>
      <c r="H318" s="2674" t="s">
        <v>1220</v>
      </c>
      <c r="I318" s="2675" t="s">
        <v>1200</v>
      </c>
      <c r="J318" s="2644" t="s">
        <v>1206</v>
      </c>
      <c r="K318" s="2676" t="s">
        <v>1221</v>
      </c>
      <c r="L318" s="2266" t="s">
        <v>19</v>
      </c>
      <c r="M318" s="2267"/>
      <c r="N318" s="2129"/>
      <c r="O318" s="1323" t="s">
        <v>398</v>
      </c>
      <c r="P318" s="1324"/>
      <c r="Q318" s="1324"/>
      <c r="R318" s="1324"/>
      <c r="S318" s="1324"/>
      <c r="T318" s="1324"/>
      <c r="U318" s="1324"/>
      <c r="V318" s="1324"/>
      <c r="W318" s="1324"/>
      <c r="X318" s="1324"/>
      <c r="Y318" s="1324"/>
      <c r="Z318" s="1324"/>
      <c r="AA318" s="1324"/>
      <c r="AB318" s="1324"/>
      <c r="AC318" s="1324"/>
      <c r="AD318" s="1324"/>
      <c r="AE318" s="1324"/>
      <c r="AF318" s="2665">
        <v>2027</v>
      </c>
      <c r="AG318" s="2666" t="s">
        <v>1103</v>
      </c>
      <c r="AH318" s="2666" t="s">
        <v>1164</v>
      </c>
      <c r="AI318" s="8647"/>
      <c r="AJ318" s="2666" t="s">
        <v>1105</v>
      </c>
      <c r="AK318" s="2666" t="s">
        <v>1105</v>
      </c>
      <c r="AL318" s="2131"/>
      <c r="AM318" s="1968"/>
      <c r="AN318" s="1968"/>
      <c r="AO318" s="1968"/>
      <c r="AP318" s="1968"/>
      <c r="AQ318" s="1968"/>
      <c r="AR318" s="1968"/>
      <c r="AS318" s="1968"/>
      <c r="AT318" s="1968"/>
      <c r="AU318" s="1968"/>
      <c r="AV318" s="1968"/>
      <c r="AW318" s="1968"/>
      <c r="AX318" s="1968"/>
      <c r="AY318" s="1968"/>
      <c r="AZ318" s="1968"/>
      <c r="BA318" s="1968"/>
      <c r="BB318" s="1968"/>
      <c r="BC318" s="1968"/>
      <c r="BD318" s="1968"/>
      <c r="BE318" s="1968"/>
      <c r="BF318" s="1968"/>
      <c r="BG318" s="7235"/>
    </row>
    <row customHeight="1" ht="11.25">
      <c r="A319" s="1312" t="s">
        <v>1069</v>
      </c>
      <c r="B319" s="1312"/>
      <c r="C319" s="1312"/>
      <c r="D319" s="1306"/>
      <c r="E319" s="1316"/>
      <c r="F319" s="1974"/>
      <c r="G319" s="1975"/>
      <c r="H319" s="2674" t="s">
        <v>1167</v>
      </c>
      <c r="I319" s="2675"/>
      <c r="J319" s="2644"/>
      <c r="K319" s="2676"/>
      <c r="L319" s="2266"/>
      <c r="M319" s="2267"/>
      <c r="N319" s="2667"/>
      <c r="O319" s="2668">
        <v>1</v>
      </c>
      <c r="P319" s="2669" t="s">
        <v>63</v>
      </c>
      <c r="Q319" s="8645" t="s">
        <v>1208</v>
      </c>
      <c r="R319" s="8646" t="s">
        <v>1114</v>
      </c>
      <c r="S319" s="8646" t="s">
        <v>113</v>
      </c>
      <c r="T319" s="8646" t="s">
        <v>113</v>
      </c>
      <c r="U319" s="8646" t="s">
        <v>114</v>
      </c>
      <c r="V319" s="8646" t="s">
        <v>1115</v>
      </c>
      <c r="W319" s="8646" t="s">
        <v>1116</v>
      </c>
      <c r="X319" s="8646" t="s">
        <v>1209</v>
      </c>
      <c r="Y319" s="8646" t="s">
        <v>121</v>
      </c>
      <c r="Z319" s="1321"/>
      <c r="AA319" s="1322"/>
      <c r="AB319" s="1322"/>
      <c r="AC319" s="1326"/>
      <c r="AD319" s="1326"/>
      <c r="AE319" s="1327"/>
      <c r="AF319" s="2665"/>
      <c r="AG319" s="2666"/>
      <c r="AH319" s="2666"/>
      <c r="AI319" s="8647"/>
      <c r="AJ319" s="2666"/>
      <c r="AK319" s="2666"/>
      <c r="AL319" s="2131"/>
      <c r="AM319" s="1968"/>
      <c r="AN319" s="1968"/>
      <c r="AO319" s="1968"/>
      <c r="AP319" s="1968"/>
      <c r="AQ319" s="1968"/>
      <c r="AR319" s="1968"/>
      <c r="AS319" s="1968"/>
      <c r="AT319" s="1968"/>
      <c r="AU319" s="1968"/>
      <c r="AV319" s="1968"/>
      <c r="AW319" s="1968"/>
      <c r="AX319" s="1968"/>
      <c r="AY319" s="1968"/>
      <c r="AZ319" s="1968"/>
      <c r="BA319" s="1968"/>
      <c r="BB319" s="1968"/>
      <c r="BC319" s="1968"/>
      <c r="BD319" s="1968"/>
      <c r="BE319" s="1968"/>
      <c r="BF319" s="1968"/>
      <c r="BG319" s="7235"/>
    </row>
    <row customHeight="1" ht="11.25">
      <c r="A320" s="1312" t="s">
        <v>1069</v>
      </c>
      <c r="B320" s="1312"/>
      <c r="C320" s="1312"/>
      <c r="D320" s="1306"/>
      <c r="E320" s="1316"/>
      <c r="F320" s="1974"/>
      <c r="G320" s="1975"/>
      <c r="H320" s="2674" t="s">
        <v>1167</v>
      </c>
      <c r="I320" s="2675"/>
      <c r="J320" s="2644"/>
      <c r="K320" s="2676"/>
      <c r="L320" s="2266"/>
      <c r="M320" s="2267"/>
      <c r="N320" s="2667"/>
      <c r="O320" s="2668"/>
      <c r="P320" s="2670"/>
      <c r="Q320" s="8645"/>
      <c r="R320" s="2672"/>
      <c r="S320" s="2673"/>
      <c r="T320" s="2672"/>
      <c r="U320" s="2672"/>
      <c r="V320" s="2672"/>
      <c r="W320" s="2672"/>
      <c r="X320" s="2672"/>
      <c r="Y320" s="2672"/>
      <c r="Z320" s="1973"/>
      <c r="AA320" s="1939">
        <v>1</v>
      </c>
      <c r="AB320" s="1325" t="s">
        <v>1131</v>
      </c>
      <c r="AC320" s="1315">
        <v>295</v>
      </c>
      <c r="AD320" s="1325" t="str">
        <f>AB320</f>
        <v>      Прочие амортизационные отчисления</v>
      </c>
      <c r="AE320" s="1315">
        <v>0</v>
      </c>
      <c r="AF320" s="2665"/>
      <c r="AG320" s="2666"/>
      <c r="AH320" s="2666"/>
      <c r="AI320" s="8647"/>
      <c r="AJ320" s="2666"/>
      <c r="AK320" s="2666"/>
      <c r="AL320" s="2131"/>
      <c r="AM320" s="1968"/>
      <c r="AN320" s="1968"/>
      <c r="AO320" s="1968"/>
      <c r="AP320" s="1968"/>
      <c r="AQ320" s="1968"/>
      <c r="AR320" s="1968"/>
      <c r="AS320" s="1968"/>
      <c r="AT320" s="1968"/>
      <c r="AU320" s="1968"/>
      <c r="AV320" s="1968"/>
      <c r="AW320" s="1968"/>
      <c r="AX320" s="1968"/>
      <c r="AY320" s="1968"/>
      <c r="AZ320" s="1968"/>
      <c r="BA320" s="1968"/>
      <c r="BB320" s="1968"/>
      <c r="BC320" s="1968"/>
      <c r="BD320" s="1968"/>
      <c r="BE320" s="1968"/>
      <c r="BF320" s="1968"/>
      <c r="BG320" s="7235"/>
    </row>
    <row customHeight="1" ht="11.25">
      <c r="A321" s="1312" t="s">
        <v>1069</v>
      </c>
      <c r="B321" s="1312"/>
      <c r="C321" s="1312"/>
      <c r="D321" s="1306"/>
      <c r="E321" s="1316"/>
      <c r="F321" s="1974"/>
      <c r="G321" s="1975"/>
      <c r="H321" s="2674" t="s">
        <v>1167</v>
      </c>
      <c r="I321" s="2675"/>
      <c r="J321" s="2644"/>
      <c r="K321" s="2676"/>
      <c r="L321" s="2266"/>
      <c r="M321" s="2267"/>
      <c r="N321" s="2667"/>
      <c r="O321" s="2668"/>
      <c r="P321" s="2671"/>
      <c r="Q321" s="8645"/>
      <c r="R321" s="2672"/>
      <c r="S321" s="2673"/>
      <c r="T321" s="2672"/>
      <c r="U321" s="2672"/>
      <c r="V321" s="2672"/>
      <c r="W321" s="2672"/>
      <c r="X321" s="2672"/>
      <c r="Y321" s="2672"/>
      <c r="Z321" s="1321"/>
      <c r="AA321" s="1322"/>
      <c r="AB321" s="1387" t="s">
        <v>1107</v>
      </c>
      <c r="AC321" s="1326"/>
      <c r="AD321" s="1326"/>
      <c r="AE321" s="1328"/>
      <c r="AF321" s="2665"/>
      <c r="AG321" s="2666"/>
      <c r="AH321" s="2666"/>
      <c r="AI321" s="8647"/>
      <c r="AJ321" s="2666"/>
      <c r="AK321" s="2666"/>
      <c r="AL321" s="2131"/>
      <c r="AM321" s="1968"/>
      <c r="AN321" s="1968"/>
      <c r="AO321" s="1968"/>
      <c r="AP321" s="1968"/>
      <c r="AQ321" s="1968"/>
      <c r="AR321" s="1968"/>
      <c r="AS321" s="1968"/>
      <c r="AT321" s="1968"/>
      <c r="AU321" s="1968"/>
      <c r="AV321" s="1968"/>
      <c r="AW321" s="1968"/>
      <c r="AX321" s="1968"/>
      <c r="AY321" s="1968"/>
      <c r="AZ321" s="1968"/>
      <c r="BA321" s="1968"/>
      <c r="BB321" s="1968"/>
      <c r="BC321" s="1968"/>
      <c r="BD321" s="1968"/>
      <c r="BE321" s="1968"/>
      <c r="BF321" s="1968"/>
      <c r="BG321" s="7235"/>
    </row>
    <row customHeight="1" ht="11.25">
      <c r="A322" s="1312" t="s">
        <v>1069</v>
      </c>
      <c r="B322" s="1312"/>
      <c r="C322" s="1312"/>
      <c r="D322" s="1306"/>
      <c r="E322" s="1316"/>
      <c r="F322" s="1974"/>
      <c r="G322" s="1975"/>
      <c r="H322" s="2674" t="s">
        <v>1167</v>
      </c>
      <c r="I322" s="2675"/>
      <c r="J322" s="2644"/>
      <c r="K322" s="2676"/>
      <c r="L322" s="2266"/>
      <c r="M322" s="2267"/>
      <c r="N322" s="1321"/>
      <c r="O322" s="1322"/>
      <c r="P322" s="1314" t="s">
        <v>1108</v>
      </c>
      <c r="Q322" s="1322"/>
      <c r="R322" s="1322"/>
      <c r="S322" s="1322"/>
      <c r="T322" s="1322"/>
      <c r="U322" s="1322"/>
      <c r="V322" s="1322"/>
      <c r="W322" s="1322"/>
      <c r="X322" s="1322"/>
      <c r="Y322" s="1322"/>
      <c r="Z322" s="1322"/>
      <c r="AA322" s="1322"/>
      <c r="AB322" s="1322"/>
      <c r="AC322" s="1322"/>
      <c r="AD322" s="1322"/>
      <c r="AE322" s="1329"/>
      <c r="AF322" s="2665"/>
      <c r="AG322" s="2666"/>
      <c r="AH322" s="2666"/>
      <c r="AI322" s="8647"/>
      <c r="AJ322" s="2666"/>
      <c r="AK322" s="2666"/>
      <c r="AL322" s="2131"/>
      <c r="AM322" s="1968"/>
      <c r="AN322" s="1968"/>
      <c r="AO322" s="1968"/>
      <c r="AP322" s="1968"/>
      <c r="AQ322" s="1968"/>
      <c r="AR322" s="1968"/>
      <c r="AS322" s="1968"/>
      <c r="AT322" s="1968"/>
      <c r="AU322" s="1968"/>
      <c r="AV322" s="1968"/>
      <c r="AW322" s="1968"/>
      <c r="AX322" s="1968"/>
      <c r="AY322" s="1968"/>
      <c r="AZ322" s="1968"/>
      <c r="BA322" s="1968"/>
      <c r="BB322" s="1968"/>
      <c r="BC322" s="1968"/>
      <c r="BD322" s="1968"/>
      <c r="BE322" s="1968"/>
      <c r="BF322" s="1968"/>
      <c r="BG322" s="7235"/>
    </row>
    <row customHeight="1" ht="11.25">
      <c r="A323" s="1312" t="s">
        <v>1069</v>
      </c>
      <c r="B323" s="1312" t="s">
        <v>1198</v>
      </c>
      <c r="C323" s="1312"/>
      <c r="D323" s="1306"/>
      <c r="E323" s="1316"/>
      <c r="F323" s="1974"/>
      <c r="G323" s="7143" t="s">
        <v>106</v>
      </c>
      <c r="H323" s="2674" t="s">
        <v>1222</v>
      </c>
      <c r="I323" s="2675" t="s">
        <v>1200</v>
      </c>
      <c r="J323" s="2644" t="s">
        <v>1206</v>
      </c>
      <c r="K323" s="2676" t="s">
        <v>1223</v>
      </c>
      <c r="L323" s="2266" t="s">
        <v>19</v>
      </c>
      <c r="M323" s="2267"/>
      <c r="N323" s="2129"/>
      <c r="O323" s="1323" t="s">
        <v>398</v>
      </c>
      <c r="P323" s="1324"/>
      <c r="Q323" s="1324"/>
      <c r="R323" s="1324"/>
      <c r="S323" s="1324"/>
      <c r="T323" s="1324"/>
      <c r="U323" s="1324"/>
      <c r="V323" s="1324"/>
      <c r="W323" s="1324"/>
      <c r="X323" s="1324"/>
      <c r="Y323" s="1324"/>
      <c r="Z323" s="1324"/>
      <c r="AA323" s="1324"/>
      <c r="AB323" s="1324"/>
      <c r="AC323" s="1324"/>
      <c r="AD323" s="1324"/>
      <c r="AE323" s="1324"/>
      <c r="AF323" s="2665">
        <v>2025</v>
      </c>
      <c r="AG323" s="2666" t="s">
        <v>1103</v>
      </c>
      <c r="AH323" s="2666" t="s">
        <v>1159</v>
      </c>
      <c r="AI323" s="8647"/>
      <c r="AJ323" s="2666" t="s">
        <v>1105</v>
      </c>
      <c r="AK323" s="2666" t="s">
        <v>1105</v>
      </c>
      <c r="AL323" s="2131"/>
      <c r="AM323" s="1968"/>
      <c r="AN323" s="1968"/>
      <c r="AO323" s="1968"/>
      <c r="AP323" s="1968"/>
      <c r="AQ323" s="1968"/>
      <c r="AR323" s="1968"/>
      <c r="AS323" s="1968"/>
      <c r="AT323" s="1968"/>
      <c r="AU323" s="1968"/>
      <c r="AV323" s="1968"/>
      <c r="AW323" s="1968"/>
      <c r="AX323" s="1968"/>
      <c r="AY323" s="1968"/>
      <c r="AZ323" s="1968"/>
      <c r="BA323" s="1968"/>
      <c r="BB323" s="1968"/>
      <c r="BC323" s="1968"/>
      <c r="BD323" s="1968"/>
      <c r="BE323" s="1968"/>
      <c r="BF323" s="1968"/>
      <c r="BG323" s="7235"/>
    </row>
    <row customHeight="1" ht="11.25">
      <c r="A324" s="1312" t="s">
        <v>1069</v>
      </c>
      <c r="B324" s="1312"/>
      <c r="C324" s="1312"/>
      <c r="D324" s="1306"/>
      <c r="E324" s="1316"/>
      <c r="F324" s="1974"/>
      <c r="G324" s="1975"/>
      <c r="H324" s="2674" t="s">
        <v>1220</v>
      </c>
      <c r="I324" s="2675"/>
      <c r="J324" s="2644"/>
      <c r="K324" s="2676"/>
      <c r="L324" s="2266"/>
      <c r="M324" s="2267"/>
      <c r="N324" s="2667"/>
      <c r="O324" s="2668">
        <v>1</v>
      </c>
      <c r="P324" s="2669" t="s">
        <v>63</v>
      </c>
      <c r="Q324" s="8645" t="s">
        <v>1208</v>
      </c>
      <c r="R324" s="8646" t="s">
        <v>1114</v>
      </c>
      <c r="S324" s="8646" t="s">
        <v>113</v>
      </c>
      <c r="T324" s="8646" t="s">
        <v>113</v>
      </c>
      <c r="U324" s="8646" t="s">
        <v>114</v>
      </c>
      <c r="V324" s="8646" t="s">
        <v>1115</v>
      </c>
      <c r="W324" s="8646" t="s">
        <v>1116</v>
      </c>
      <c r="X324" s="8646" t="s">
        <v>1209</v>
      </c>
      <c r="Y324" s="8646" t="s">
        <v>121</v>
      </c>
      <c r="Z324" s="1321"/>
      <c r="AA324" s="1322"/>
      <c r="AB324" s="1322"/>
      <c r="AC324" s="1326"/>
      <c r="AD324" s="1326"/>
      <c r="AE324" s="1327"/>
      <c r="AF324" s="2665"/>
      <c r="AG324" s="2666"/>
      <c r="AH324" s="2666"/>
      <c r="AI324" s="8647"/>
      <c r="AJ324" s="2666"/>
      <c r="AK324" s="2666"/>
      <c r="AL324" s="2131"/>
      <c r="AM324" s="1968"/>
      <c r="AN324" s="1968"/>
      <c r="AO324" s="1968"/>
      <c r="AP324" s="1968"/>
      <c r="AQ324" s="1968"/>
      <c r="AR324" s="1968"/>
      <c r="AS324" s="1968"/>
      <c r="AT324" s="1968"/>
      <c r="AU324" s="1968"/>
      <c r="AV324" s="1968"/>
      <c r="AW324" s="1968"/>
      <c r="AX324" s="1968"/>
      <c r="AY324" s="1968"/>
      <c r="AZ324" s="1968"/>
      <c r="BA324" s="1968"/>
      <c r="BB324" s="1968"/>
      <c r="BC324" s="1968"/>
      <c r="BD324" s="1968"/>
      <c r="BE324" s="1968"/>
      <c r="BF324" s="1968"/>
      <c r="BG324" s="7235"/>
    </row>
    <row customHeight="1" ht="11.25">
      <c r="A325" s="1312" t="s">
        <v>1069</v>
      </c>
      <c r="B325" s="1312"/>
      <c r="C325" s="1312"/>
      <c r="D325" s="1306"/>
      <c r="E325" s="1316"/>
      <c r="F325" s="1974"/>
      <c r="G325" s="1975"/>
      <c r="H325" s="2674" t="s">
        <v>1220</v>
      </c>
      <c r="I325" s="2675"/>
      <c r="J325" s="2644"/>
      <c r="K325" s="2676"/>
      <c r="L325" s="2266"/>
      <c r="M325" s="2267"/>
      <c r="N325" s="2667"/>
      <c r="O325" s="2668"/>
      <c r="P325" s="2670"/>
      <c r="Q325" s="8645"/>
      <c r="R325" s="2672"/>
      <c r="S325" s="2673"/>
      <c r="T325" s="2672"/>
      <c r="U325" s="2672"/>
      <c r="V325" s="2672"/>
      <c r="W325" s="2672"/>
      <c r="X325" s="2672"/>
      <c r="Y325" s="2672"/>
      <c r="Z325" s="1973"/>
      <c r="AA325" s="1939">
        <v>1</v>
      </c>
      <c r="AB325" s="1325" t="s">
        <v>1131</v>
      </c>
      <c r="AC325" s="1315">
        <v>21264</v>
      </c>
      <c r="AD325" s="1325" t="str">
        <f>AB325</f>
        <v>      Прочие амортизационные отчисления</v>
      </c>
      <c r="AE325" s="1315">
        <v>8310</v>
      </c>
      <c r="AF325" s="2665"/>
      <c r="AG325" s="2666"/>
      <c r="AH325" s="2666"/>
      <c r="AI325" s="8647"/>
      <c r="AJ325" s="2666"/>
      <c r="AK325" s="2666"/>
      <c r="AL325" s="2131"/>
      <c r="AM325" s="1968"/>
      <c r="AN325" s="1968"/>
      <c r="AO325" s="1968"/>
      <c r="AP325" s="1968"/>
      <c r="AQ325" s="1968"/>
      <c r="AR325" s="1968"/>
      <c r="AS325" s="1968"/>
      <c r="AT325" s="1968"/>
      <c r="AU325" s="1968"/>
      <c r="AV325" s="1968"/>
      <c r="AW325" s="1968"/>
      <c r="AX325" s="1968"/>
      <c r="AY325" s="1968"/>
      <c r="AZ325" s="1968"/>
      <c r="BA325" s="1968"/>
      <c r="BB325" s="1968"/>
      <c r="BC325" s="1968"/>
      <c r="BD325" s="1968"/>
      <c r="BE325" s="1968"/>
      <c r="BF325" s="1968"/>
      <c r="BG325" s="7235"/>
    </row>
    <row customHeight="1" ht="11.25">
      <c r="A326" s="1312" t="s">
        <v>1069</v>
      </c>
      <c r="B326" s="1312"/>
      <c r="C326" s="1312"/>
      <c r="D326" s="1306"/>
      <c r="E326" s="1316"/>
      <c r="F326" s="1974"/>
      <c r="G326" s="1975"/>
      <c r="H326" s="2674" t="s">
        <v>1220</v>
      </c>
      <c r="I326" s="2675"/>
      <c r="J326" s="2644"/>
      <c r="K326" s="2676"/>
      <c r="L326" s="2266"/>
      <c r="M326" s="2267"/>
      <c r="N326" s="2667"/>
      <c r="O326" s="2668"/>
      <c r="P326" s="2671"/>
      <c r="Q326" s="8645"/>
      <c r="R326" s="2672"/>
      <c r="S326" s="2673"/>
      <c r="T326" s="2672"/>
      <c r="U326" s="2672"/>
      <c r="V326" s="2672"/>
      <c r="W326" s="2672"/>
      <c r="X326" s="2672"/>
      <c r="Y326" s="2672"/>
      <c r="Z326" s="1321"/>
      <c r="AA326" s="1322"/>
      <c r="AB326" s="1387" t="s">
        <v>1107</v>
      </c>
      <c r="AC326" s="1326"/>
      <c r="AD326" s="1326"/>
      <c r="AE326" s="1328"/>
      <c r="AF326" s="2665"/>
      <c r="AG326" s="2666"/>
      <c r="AH326" s="2666"/>
      <c r="AI326" s="8647"/>
      <c r="AJ326" s="2666"/>
      <c r="AK326" s="2666"/>
      <c r="AL326" s="2131"/>
      <c r="AM326" s="1968"/>
      <c r="AN326" s="1968"/>
      <c r="AO326" s="1968"/>
      <c r="AP326" s="1968"/>
      <c r="AQ326" s="1968"/>
      <c r="AR326" s="1968"/>
      <c r="AS326" s="1968"/>
      <c r="AT326" s="1968"/>
      <c r="AU326" s="1968"/>
      <c r="AV326" s="1968"/>
      <c r="AW326" s="1968"/>
      <c r="AX326" s="1968"/>
      <c r="AY326" s="1968"/>
      <c r="AZ326" s="1968"/>
      <c r="BA326" s="1968"/>
      <c r="BB326" s="1968"/>
      <c r="BC326" s="1968"/>
      <c r="BD326" s="1968"/>
      <c r="BE326" s="1968"/>
      <c r="BF326" s="1968"/>
      <c r="BG326" s="7235"/>
    </row>
    <row customHeight="1" ht="11.25">
      <c r="A327" s="1312" t="s">
        <v>1069</v>
      </c>
      <c r="B327" s="1312"/>
      <c r="C327" s="1312"/>
      <c r="D327" s="1306"/>
      <c r="E327" s="1316"/>
      <c r="F327" s="1974"/>
      <c r="G327" s="1975"/>
      <c r="H327" s="2674" t="s">
        <v>1220</v>
      </c>
      <c r="I327" s="2675"/>
      <c r="J327" s="2644"/>
      <c r="K327" s="2676"/>
      <c r="L327" s="2266"/>
      <c r="M327" s="2267"/>
      <c r="N327" s="1321"/>
      <c r="O327" s="1322"/>
      <c r="P327" s="1314" t="s">
        <v>1108</v>
      </c>
      <c r="Q327" s="1322"/>
      <c r="R327" s="1322"/>
      <c r="S327" s="1322"/>
      <c r="T327" s="1322"/>
      <c r="U327" s="1322"/>
      <c r="V327" s="1322"/>
      <c r="W327" s="1322"/>
      <c r="X327" s="1322"/>
      <c r="Y327" s="1322"/>
      <c r="Z327" s="1322"/>
      <c r="AA327" s="1322"/>
      <c r="AB327" s="1322"/>
      <c r="AC327" s="1322"/>
      <c r="AD327" s="1322"/>
      <c r="AE327" s="1329"/>
      <c r="AF327" s="2665"/>
      <c r="AG327" s="2666"/>
      <c r="AH327" s="2666"/>
      <c r="AI327" s="8647"/>
      <c r="AJ327" s="2666"/>
      <c r="AK327" s="2666"/>
      <c r="AL327" s="2131"/>
      <c r="AM327" s="1968"/>
      <c r="AN327" s="1968"/>
      <c r="AO327" s="1968"/>
      <c r="AP327" s="1968"/>
      <c r="AQ327" s="1968"/>
      <c r="AR327" s="1968"/>
      <c r="AS327" s="1968"/>
      <c r="AT327" s="1968"/>
      <c r="AU327" s="1968"/>
      <c r="AV327" s="1968"/>
      <c r="AW327" s="1968"/>
      <c r="AX327" s="1968"/>
      <c r="AY327" s="1968"/>
      <c r="AZ327" s="1968"/>
      <c r="BA327" s="1968"/>
      <c r="BB327" s="1968"/>
      <c r="BC327" s="1968"/>
      <c r="BD327" s="1968"/>
      <c r="BE327" s="1968"/>
      <c r="BF327" s="1968"/>
      <c r="BG327" s="7235"/>
    </row>
    <row customHeight="1" ht="11.25">
      <c r="A328" s="1312" t="s">
        <v>1069</v>
      </c>
      <c r="B328" s="1312" t="s">
        <v>1198</v>
      </c>
      <c r="C328" s="1312"/>
      <c r="D328" s="1306"/>
      <c r="E328" s="1316"/>
      <c r="F328" s="1974"/>
      <c r="G328" s="7143" t="s">
        <v>106</v>
      </c>
      <c r="H328" s="2674" t="s">
        <v>1224</v>
      </c>
      <c r="I328" s="2675" t="s">
        <v>1200</v>
      </c>
      <c r="J328" s="2644" t="s">
        <v>1206</v>
      </c>
      <c r="K328" s="2676" t="s">
        <v>1225</v>
      </c>
      <c r="L328" s="2266" t="s">
        <v>19</v>
      </c>
      <c r="M328" s="2267"/>
      <c r="N328" s="2129"/>
      <c r="O328" s="1323" t="s">
        <v>398</v>
      </c>
      <c r="P328" s="1324"/>
      <c r="Q328" s="1324"/>
      <c r="R328" s="1324"/>
      <c r="S328" s="1324"/>
      <c r="T328" s="1324"/>
      <c r="U328" s="1324"/>
      <c r="V328" s="1324"/>
      <c r="W328" s="1324"/>
      <c r="X328" s="1324"/>
      <c r="Y328" s="1324"/>
      <c r="Z328" s="1324"/>
      <c r="AA328" s="1324"/>
      <c r="AB328" s="1324"/>
      <c r="AC328" s="1324"/>
      <c r="AD328" s="1324"/>
      <c r="AE328" s="1324"/>
      <c r="AF328" s="2665">
        <v>2027</v>
      </c>
      <c r="AG328" s="2666" t="s">
        <v>1103</v>
      </c>
      <c r="AH328" s="2666" t="s">
        <v>1164</v>
      </c>
      <c r="AI328" s="8647"/>
      <c r="AJ328" s="2666" t="s">
        <v>1105</v>
      </c>
      <c r="AK328" s="2666" t="s">
        <v>1105</v>
      </c>
      <c r="AL328" s="2131"/>
      <c r="AM328" s="1968"/>
      <c r="AN328" s="1968"/>
      <c r="AO328" s="1968"/>
      <c r="AP328" s="1968"/>
      <c r="AQ328" s="1968"/>
      <c r="AR328" s="1968"/>
      <c r="AS328" s="1968"/>
      <c r="AT328" s="1968"/>
      <c r="AU328" s="1968"/>
      <c r="AV328" s="1968"/>
      <c r="AW328" s="1968"/>
      <c r="AX328" s="1968"/>
      <c r="AY328" s="1968"/>
      <c r="AZ328" s="1968"/>
      <c r="BA328" s="1968"/>
      <c r="BB328" s="1968"/>
      <c r="BC328" s="1968"/>
      <c r="BD328" s="1968"/>
      <c r="BE328" s="1968"/>
      <c r="BF328" s="1968"/>
      <c r="BG328" s="7235"/>
    </row>
    <row customHeight="1" ht="11.25">
      <c r="A329" s="1312" t="s">
        <v>1069</v>
      </c>
      <c r="B329" s="1312"/>
      <c r="C329" s="1312"/>
      <c r="D329" s="1306"/>
      <c r="E329" s="1316"/>
      <c r="F329" s="1974"/>
      <c r="G329" s="1975"/>
      <c r="H329" s="2674" t="s">
        <v>1222</v>
      </c>
      <c r="I329" s="2675"/>
      <c r="J329" s="2644"/>
      <c r="K329" s="2676"/>
      <c r="L329" s="2266"/>
      <c r="M329" s="2267"/>
      <c r="N329" s="2667"/>
      <c r="O329" s="2668">
        <v>1</v>
      </c>
      <c r="P329" s="2669" t="s">
        <v>63</v>
      </c>
      <c r="Q329" s="8645" t="s">
        <v>1208</v>
      </c>
      <c r="R329" s="8646" t="s">
        <v>1114</v>
      </c>
      <c r="S329" s="8646" t="s">
        <v>113</v>
      </c>
      <c r="T329" s="8646" t="s">
        <v>113</v>
      </c>
      <c r="U329" s="8646" t="s">
        <v>114</v>
      </c>
      <c r="V329" s="8646" t="s">
        <v>1115</v>
      </c>
      <c r="W329" s="8646" t="s">
        <v>1116</v>
      </c>
      <c r="X329" s="8646" t="s">
        <v>1209</v>
      </c>
      <c r="Y329" s="8646" t="s">
        <v>121</v>
      </c>
      <c r="Z329" s="1321"/>
      <c r="AA329" s="1322"/>
      <c r="AB329" s="1322"/>
      <c r="AC329" s="1326"/>
      <c r="AD329" s="1326"/>
      <c r="AE329" s="1327"/>
      <c r="AF329" s="2665"/>
      <c r="AG329" s="2666"/>
      <c r="AH329" s="2666"/>
      <c r="AI329" s="8647"/>
      <c r="AJ329" s="2666"/>
      <c r="AK329" s="2666"/>
      <c r="AL329" s="2131"/>
      <c r="AM329" s="1968"/>
      <c r="AN329" s="1968"/>
      <c r="AO329" s="1968"/>
      <c r="AP329" s="1968"/>
      <c r="AQ329" s="1968"/>
      <c r="AR329" s="1968"/>
      <c r="AS329" s="1968"/>
      <c r="AT329" s="1968"/>
      <c r="AU329" s="1968"/>
      <c r="AV329" s="1968"/>
      <c r="AW329" s="1968"/>
      <c r="AX329" s="1968"/>
      <c r="AY329" s="1968"/>
      <c r="AZ329" s="1968"/>
      <c r="BA329" s="1968"/>
      <c r="BB329" s="1968"/>
      <c r="BC329" s="1968"/>
      <c r="BD329" s="1968"/>
      <c r="BE329" s="1968"/>
      <c r="BF329" s="1968"/>
      <c r="BG329" s="7235"/>
    </row>
    <row customHeight="1" ht="11.25">
      <c r="A330" s="1312" t="s">
        <v>1069</v>
      </c>
      <c r="B330" s="1312"/>
      <c r="C330" s="1312"/>
      <c r="D330" s="1306"/>
      <c r="E330" s="1316"/>
      <c r="F330" s="1974"/>
      <c r="G330" s="1975"/>
      <c r="H330" s="2674" t="s">
        <v>1222</v>
      </c>
      <c r="I330" s="2675"/>
      <c r="J330" s="2644"/>
      <c r="K330" s="2676"/>
      <c r="L330" s="2266"/>
      <c r="M330" s="2267"/>
      <c r="N330" s="2667"/>
      <c r="O330" s="2668"/>
      <c r="P330" s="2670"/>
      <c r="Q330" s="8645"/>
      <c r="R330" s="2672"/>
      <c r="S330" s="2673"/>
      <c r="T330" s="2672"/>
      <c r="U330" s="2672"/>
      <c r="V330" s="2672"/>
      <c r="W330" s="2672"/>
      <c r="X330" s="2672"/>
      <c r="Y330" s="2672"/>
      <c r="Z330" s="1973"/>
      <c r="AA330" s="1939">
        <v>1</v>
      </c>
      <c r="AB330" s="1325" t="s">
        <v>1131</v>
      </c>
      <c r="AC330" s="1315">
        <v>54974</v>
      </c>
      <c r="AD330" s="1325" t="str">
        <f>AB330</f>
        <v>      Прочие амортизационные отчисления</v>
      </c>
      <c r="AE330" s="1315">
        <v>26242.2514333333</v>
      </c>
      <c r="AF330" s="2665"/>
      <c r="AG330" s="2666"/>
      <c r="AH330" s="2666"/>
      <c r="AI330" s="8647"/>
      <c r="AJ330" s="2666"/>
      <c r="AK330" s="2666"/>
      <c r="AL330" s="2131"/>
      <c r="AM330" s="1968"/>
      <c r="AN330" s="1968"/>
      <c r="AO330" s="1968"/>
      <c r="AP330" s="1968"/>
      <c r="AQ330" s="1968"/>
      <c r="AR330" s="1968"/>
      <c r="AS330" s="1968"/>
      <c r="AT330" s="1968"/>
      <c r="AU330" s="1968"/>
      <c r="AV330" s="1968"/>
      <c r="AW330" s="1968"/>
      <c r="AX330" s="1968"/>
      <c r="AY330" s="1968"/>
      <c r="AZ330" s="1968"/>
      <c r="BA330" s="1968"/>
      <c r="BB330" s="1968"/>
      <c r="BC330" s="1968"/>
      <c r="BD330" s="1968"/>
      <c r="BE330" s="1968"/>
      <c r="BF330" s="1968"/>
      <c r="BG330" s="7235"/>
    </row>
    <row customHeight="1" ht="11.25">
      <c r="A331" s="1312" t="s">
        <v>1069</v>
      </c>
      <c r="B331" s="1312"/>
      <c r="C331" s="1312"/>
      <c r="D331" s="1306"/>
      <c r="E331" s="1316"/>
      <c r="F331" s="1974"/>
      <c r="G331" s="1975"/>
      <c r="H331" s="2674" t="s">
        <v>1222</v>
      </c>
      <c r="I331" s="2675"/>
      <c r="J331" s="2644"/>
      <c r="K331" s="2676"/>
      <c r="L331" s="2266"/>
      <c r="M331" s="2267"/>
      <c r="N331" s="2667"/>
      <c r="O331" s="2668"/>
      <c r="P331" s="2671"/>
      <c r="Q331" s="8645"/>
      <c r="R331" s="2672"/>
      <c r="S331" s="2673"/>
      <c r="T331" s="2672"/>
      <c r="U331" s="2672"/>
      <c r="V331" s="2672"/>
      <c r="W331" s="2672"/>
      <c r="X331" s="2672"/>
      <c r="Y331" s="2672"/>
      <c r="Z331" s="1321"/>
      <c r="AA331" s="1322"/>
      <c r="AB331" s="1387" t="s">
        <v>1107</v>
      </c>
      <c r="AC331" s="1326"/>
      <c r="AD331" s="1326"/>
      <c r="AE331" s="1328"/>
      <c r="AF331" s="2665"/>
      <c r="AG331" s="2666"/>
      <c r="AH331" s="2666"/>
      <c r="AI331" s="8647"/>
      <c r="AJ331" s="2666"/>
      <c r="AK331" s="2666"/>
      <c r="AL331" s="2131"/>
      <c r="AM331" s="1968"/>
      <c r="AN331" s="1968"/>
      <c r="AO331" s="1968"/>
      <c r="AP331" s="1968"/>
      <c r="AQ331" s="1968"/>
      <c r="AR331" s="1968"/>
      <c r="AS331" s="1968"/>
      <c r="AT331" s="1968"/>
      <c r="AU331" s="1968"/>
      <c r="AV331" s="1968"/>
      <c r="AW331" s="1968"/>
      <c r="AX331" s="1968"/>
      <c r="AY331" s="1968"/>
      <c r="AZ331" s="1968"/>
      <c r="BA331" s="1968"/>
      <c r="BB331" s="1968"/>
      <c r="BC331" s="1968"/>
      <c r="BD331" s="1968"/>
      <c r="BE331" s="1968"/>
      <c r="BF331" s="1968"/>
      <c r="BG331" s="7235"/>
    </row>
    <row customHeight="1" ht="11.25">
      <c r="A332" s="1312" t="s">
        <v>1069</v>
      </c>
      <c r="B332" s="1312"/>
      <c r="C332" s="1312"/>
      <c r="D332" s="1306"/>
      <c r="E332" s="1316"/>
      <c r="F332" s="1974"/>
      <c r="G332" s="1975"/>
      <c r="H332" s="2674" t="s">
        <v>1222</v>
      </c>
      <c r="I332" s="2675"/>
      <c r="J332" s="2644"/>
      <c r="K332" s="2676"/>
      <c r="L332" s="2266"/>
      <c r="M332" s="2267"/>
      <c r="N332" s="1321"/>
      <c r="O332" s="1322"/>
      <c r="P332" s="1314" t="s">
        <v>1108</v>
      </c>
      <c r="Q332" s="1322"/>
      <c r="R332" s="1322"/>
      <c r="S332" s="1322"/>
      <c r="T332" s="1322"/>
      <c r="U332" s="1322"/>
      <c r="V332" s="1322"/>
      <c r="W332" s="1322"/>
      <c r="X332" s="1322"/>
      <c r="Y332" s="1322"/>
      <c r="Z332" s="1322"/>
      <c r="AA332" s="1322"/>
      <c r="AB332" s="1322"/>
      <c r="AC332" s="1322"/>
      <c r="AD332" s="1322"/>
      <c r="AE332" s="1329"/>
      <c r="AF332" s="2665"/>
      <c r="AG332" s="2666"/>
      <c r="AH332" s="2666"/>
      <c r="AI332" s="8647"/>
      <c r="AJ332" s="2666"/>
      <c r="AK332" s="2666"/>
      <c r="AL332" s="2131"/>
      <c r="AM332" s="1968"/>
      <c r="AN332" s="1968"/>
      <c r="AO332" s="1968"/>
      <c r="AP332" s="1968"/>
      <c r="AQ332" s="1968"/>
      <c r="AR332" s="1968"/>
      <c r="AS332" s="1968"/>
      <c r="AT332" s="1968"/>
      <c r="AU332" s="1968"/>
      <c r="AV332" s="1968"/>
      <c r="AW332" s="1968"/>
      <c r="AX332" s="1968"/>
      <c r="AY332" s="1968"/>
      <c r="AZ332" s="1968"/>
      <c r="BA332" s="1968"/>
      <c r="BB332" s="1968"/>
      <c r="BC332" s="1968"/>
      <c r="BD332" s="1968"/>
      <c r="BE332" s="1968"/>
      <c r="BF332" s="1968"/>
      <c r="BG332" s="7235"/>
    </row>
    <row customHeight="1" ht="11.25">
      <c r="A333" s="1312" t="s">
        <v>1069</v>
      </c>
      <c r="B333" s="1312" t="s">
        <v>1198</v>
      </c>
      <c r="C333" s="1312"/>
      <c r="D333" s="1306"/>
      <c r="E333" s="1316"/>
      <c r="F333" s="1974"/>
      <c r="G333" s="7143" t="s">
        <v>106</v>
      </c>
      <c r="H333" s="2674" t="s">
        <v>1226</v>
      </c>
      <c r="I333" s="2675" t="s">
        <v>1200</v>
      </c>
      <c r="J333" s="2644" t="s">
        <v>1206</v>
      </c>
      <c r="K333" s="2676" t="s">
        <v>1227</v>
      </c>
      <c r="L333" s="2266" t="s">
        <v>19</v>
      </c>
      <c r="M333" s="2267"/>
      <c r="N333" s="2129"/>
      <c r="O333" s="1323" t="s">
        <v>398</v>
      </c>
      <c r="P333" s="1324"/>
      <c r="Q333" s="1324"/>
      <c r="R333" s="1324"/>
      <c r="S333" s="1324"/>
      <c r="T333" s="1324"/>
      <c r="U333" s="1324"/>
      <c r="V333" s="1324"/>
      <c r="W333" s="1324"/>
      <c r="X333" s="1324"/>
      <c r="Y333" s="1324"/>
      <c r="Z333" s="1324"/>
      <c r="AA333" s="1324"/>
      <c r="AB333" s="1324"/>
      <c r="AC333" s="1324"/>
      <c r="AD333" s="1324"/>
      <c r="AE333" s="1324"/>
      <c r="AF333" s="2665">
        <v>2028</v>
      </c>
      <c r="AG333" s="2666" t="s">
        <v>1103</v>
      </c>
      <c r="AH333" s="2666" t="s">
        <v>1228</v>
      </c>
      <c r="AI333" s="8647"/>
      <c r="AJ333" s="2666" t="s">
        <v>1105</v>
      </c>
      <c r="AK333" s="2666" t="s">
        <v>1105</v>
      </c>
      <c r="AL333" s="2131"/>
      <c r="AM333" s="1968"/>
      <c r="AN333" s="1968"/>
      <c r="AO333" s="1968"/>
      <c r="AP333" s="1968"/>
      <c r="AQ333" s="1968"/>
      <c r="AR333" s="1968"/>
      <c r="AS333" s="1968"/>
      <c r="AT333" s="1968"/>
      <c r="AU333" s="1968"/>
      <c r="AV333" s="1968"/>
      <c r="AW333" s="1968"/>
      <c r="AX333" s="1968"/>
      <c r="AY333" s="1968"/>
      <c r="AZ333" s="1968"/>
      <c r="BA333" s="1968"/>
      <c r="BB333" s="1968"/>
      <c r="BC333" s="1968"/>
      <c r="BD333" s="1968"/>
      <c r="BE333" s="1968"/>
      <c r="BF333" s="1968"/>
      <c r="BG333" s="7235"/>
    </row>
    <row customHeight="1" ht="11.25">
      <c r="A334" s="1312" t="s">
        <v>1069</v>
      </c>
      <c r="B334" s="1312"/>
      <c r="C334" s="1312"/>
      <c r="D334" s="1306"/>
      <c r="E334" s="1316"/>
      <c r="F334" s="1974"/>
      <c r="G334" s="1975"/>
      <c r="H334" s="2674" t="s">
        <v>1224</v>
      </c>
      <c r="I334" s="2675"/>
      <c r="J334" s="2644"/>
      <c r="K334" s="2676"/>
      <c r="L334" s="2266"/>
      <c r="M334" s="2267"/>
      <c r="N334" s="2667"/>
      <c r="O334" s="2668">
        <v>1</v>
      </c>
      <c r="P334" s="2669" t="s">
        <v>63</v>
      </c>
      <c r="Q334" s="8645" t="s">
        <v>1208</v>
      </c>
      <c r="R334" s="8646" t="s">
        <v>1114</v>
      </c>
      <c r="S334" s="8646" t="s">
        <v>113</v>
      </c>
      <c r="T334" s="8646" t="s">
        <v>113</v>
      </c>
      <c r="U334" s="8646" t="s">
        <v>114</v>
      </c>
      <c r="V334" s="8646" t="s">
        <v>1115</v>
      </c>
      <c r="W334" s="8646" t="s">
        <v>1116</v>
      </c>
      <c r="X334" s="8646" t="s">
        <v>1209</v>
      </c>
      <c r="Y334" s="8646" t="s">
        <v>121</v>
      </c>
      <c r="Z334" s="1321"/>
      <c r="AA334" s="1322"/>
      <c r="AB334" s="1322"/>
      <c r="AC334" s="1326"/>
      <c r="AD334" s="1326"/>
      <c r="AE334" s="1327"/>
      <c r="AF334" s="2665"/>
      <c r="AG334" s="2666"/>
      <c r="AH334" s="2666"/>
      <c r="AI334" s="8647"/>
      <c r="AJ334" s="2666"/>
      <c r="AK334" s="2666"/>
      <c r="AL334" s="2131"/>
      <c r="AM334" s="1968"/>
      <c r="AN334" s="1968"/>
      <c r="AO334" s="1968"/>
      <c r="AP334" s="1968"/>
      <c r="AQ334" s="1968"/>
      <c r="AR334" s="1968"/>
      <c r="AS334" s="1968"/>
      <c r="AT334" s="1968"/>
      <c r="AU334" s="1968"/>
      <c r="AV334" s="1968"/>
      <c r="AW334" s="1968"/>
      <c r="AX334" s="1968"/>
      <c r="AY334" s="1968"/>
      <c r="AZ334" s="1968"/>
      <c r="BA334" s="1968"/>
      <c r="BB334" s="1968"/>
      <c r="BC334" s="1968"/>
      <c r="BD334" s="1968"/>
      <c r="BE334" s="1968"/>
      <c r="BF334" s="1968"/>
      <c r="BG334" s="7235"/>
    </row>
    <row customHeight="1" ht="11.25">
      <c r="A335" s="1312" t="s">
        <v>1069</v>
      </c>
      <c r="B335" s="1312"/>
      <c r="C335" s="1312"/>
      <c r="D335" s="1306"/>
      <c r="E335" s="1316"/>
      <c r="F335" s="1974"/>
      <c r="G335" s="1975"/>
      <c r="H335" s="2674" t="s">
        <v>1224</v>
      </c>
      <c r="I335" s="2675"/>
      <c r="J335" s="2644"/>
      <c r="K335" s="2676"/>
      <c r="L335" s="2266"/>
      <c r="M335" s="2267"/>
      <c r="N335" s="2667"/>
      <c r="O335" s="2668"/>
      <c r="P335" s="2670"/>
      <c r="Q335" s="8645"/>
      <c r="R335" s="2672"/>
      <c r="S335" s="2673"/>
      <c r="T335" s="2672"/>
      <c r="U335" s="2672"/>
      <c r="V335" s="2672"/>
      <c r="W335" s="2672"/>
      <c r="X335" s="2672"/>
      <c r="Y335" s="2672"/>
      <c r="Z335" s="1973"/>
      <c r="AA335" s="1939">
        <v>1</v>
      </c>
      <c r="AB335" s="1325" t="s">
        <v>1131</v>
      </c>
      <c r="AC335" s="1315">
        <v>6133</v>
      </c>
      <c r="AD335" s="1325" t="str">
        <f>AB335</f>
        <v>      Прочие амортизационные отчисления</v>
      </c>
      <c r="AE335" s="1315">
        <v>6132.44</v>
      </c>
      <c r="AF335" s="2665"/>
      <c r="AG335" s="2666"/>
      <c r="AH335" s="2666"/>
      <c r="AI335" s="8647"/>
      <c r="AJ335" s="2666"/>
      <c r="AK335" s="2666"/>
      <c r="AL335" s="2131"/>
      <c r="AM335" s="1968"/>
      <c r="AN335" s="1968"/>
      <c r="AO335" s="1968"/>
      <c r="AP335" s="1968"/>
      <c r="AQ335" s="1968"/>
      <c r="AR335" s="1968"/>
      <c r="AS335" s="1968"/>
      <c r="AT335" s="1968"/>
      <c r="AU335" s="1968"/>
      <c r="AV335" s="1968"/>
      <c r="AW335" s="1968"/>
      <c r="AX335" s="1968"/>
      <c r="AY335" s="1968"/>
      <c r="AZ335" s="1968"/>
      <c r="BA335" s="1968"/>
      <c r="BB335" s="1968"/>
      <c r="BC335" s="1968"/>
      <c r="BD335" s="1968"/>
      <c r="BE335" s="1968"/>
      <c r="BF335" s="1968"/>
      <c r="BG335" s="7235"/>
    </row>
    <row customHeight="1" ht="11.25">
      <c r="A336" s="1312" t="s">
        <v>1069</v>
      </c>
      <c r="B336" s="1312"/>
      <c r="C336" s="1312"/>
      <c r="D336" s="1306"/>
      <c r="E336" s="1316"/>
      <c r="F336" s="1974"/>
      <c r="G336" s="1975"/>
      <c r="H336" s="2674" t="s">
        <v>1224</v>
      </c>
      <c r="I336" s="2675"/>
      <c r="J336" s="2644"/>
      <c r="K336" s="2676"/>
      <c r="L336" s="2266"/>
      <c r="M336" s="2267"/>
      <c r="N336" s="2667"/>
      <c r="O336" s="2668"/>
      <c r="P336" s="2671"/>
      <c r="Q336" s="8645"/>
      <c r="R336" s="2672"/>
      <c r="S336" s="2673"/>
      <c r="T336" s="2672"/>
      <c r="U336" s="2672"/>
      <c r="V336" s="2672"/>
      <c r="W336" s="2672"/>
      <c r="X336" s="2672"/>
      <c r="Y336" s="2672"/>
      <c r="Z336" s="1321"/>
      <c r="AA336" s="1322"/>
      <c r="AB336" s="1387" t="s">
        <v>1107</v>
      </c>
      <c r="AC336" s="1326"/>
      <c r="AD336" s="1326"/>
      <c r="AE336" s="1328"/>
      <c r="AF336" s="2665"/>
      <c r="AG336" s="2666"/>
      <c r="AH336" s="2666"/>
      <c r="AI336" s="8647"/>
      <c r="AJ336" s="2666"/>
      <c r="AK336" s="2666"/>
      <c r="AL336" s="2131"/>
      <c r="AM336" s="1968"/>
      <c r="AN336" s="1968"/>
      <c r="AO336" s="1968"/>
      <c r="AP336" s="1968"/>
      <c r="AQ336" s="1968"/>
      <c r="AR336" s="1968"/>
      <c r="AS336" s="1968"/>
      <c r="AT336" s="1968"/>
      <c r="AU336" s="1968"/>
      <c r="AV336" s="1968"/>
      <c r="AW336" s="1968"/>
      <c r="AX336" s="1968"/>
      <c r="AY336" s="1968"/>
      <c r="AZ336" s="1968"/>
      <c r="BA336" s="1968"/>
      <c r="BB336" s="1968"/>
      <c r="BC336" s="1968"/>
      <c r="BD336" s="1968"/>
      <c r="BE336" s="1968"/>
      <c r="BF336" s="1968"/>
      <c r="BG336" s="7235"/>
    </row>
    <row customHeight="1" ht="11.25">
      <c r="A337" s="1312" t="s">
        <v>1069</v>
      </c>
      <c r="B337" s="1312"/>
      <c r="C337" s="1312"/>
      <c r="D337" s="1306"/>
      <c r="E337" s="1316"/>
      <c r="F337" s="1974"/>
      <c r="G337" s="1975"/>
      <c r="H337" s="2674" t="s">
        <v>1224</v>
      </c>
      <c r="I337" s="2675"/>
      <c r="J337" s="2644"/>
      <c r="K337" s="2676"/>
      <c r="L337" s="2266"/>
      <c r="M337" s="2267"/>
      <c r="N337" s="1321"/>
      <c r="O337" s="1322"/>
      <c r="P337" s="1314" t="s">
        <v>1108</v>
      </c>
      <c r="Q337" s="1322"/>
      <c r="R337" s="1322"/>
      <c r="S337" s="1322"/>
      <c r="T337" s="1322"/>
      <c r="U337" s="1322"/>
      <c r="V337" s="1322"/>
      <c r="W337" s="1322"/>
      <c r="X337" s="1322"/>
      <c r="Y337" s="1322"/>
      <c r="Z337" s="1322"/>
      <c r="AA337" s="1322"/>
      <c r="AB337" s="1322"/>
      <c r="AC337" s="1322"/>
      <c r="AD337" s="1322"/>
      <c r="AE337" s="1329"/>
      <c r="AF337" s="2665"/>
      <c r="AG337" s="2666"/>
      <c r="AH337" s="2666"/>
      <c r="AI337" s="8647"/>
      <c r="AJ337" s="2666"/>
      <c r="AK337" s="2666"/>
      <c r="AL337" s="2131"/>
      <c r="AM337" s="1968"/>
      <c r="AN337" s="1968"/>
      <c r="AO337" s="1968"/>
      <c r="AP337" s="1968"/>
      <c r="AQ337" s="1968"/>
      <c r="AR337" s="1968"/>
      <c r="AS337" s="1968"/>
      <c r="AT337" s="1968"/>
      <c r="AU337" s="1968"/>
      <c r="AV337" s="1968"/>
      <c r="AW337" s="1968"/>
      <c r="AX337" s="1968"/>
      <c r="AY337" s="1968"/>
      <c r="AZ337" s="1968"/>
      <c r="BA337" s="1968"/>
      <c r="BB337" s="1968"/>
      <c r="BC337" s="1968"/>
      <c r="BD337" s="1968"/>
      <c r="BE337" s="1968"/>
      <c r="BF337" s="1968"/>
      <c r="BG337" s="7235"/>
    </row>
    <row customHeight="1" ht="11.25">
      <c r="A338" s="1312" t="s">
        <v>1069</v>
      </c>
      <c r="B338" s="1312" t="s">
        <v>1198</v>
      </c>
      <c r="C338" s="1312"/>
      <c r="D338" s="1306"/>
      <c r="E338" s="1316"/>
      <c r="F338" s="1974"/>
      <c r="G338" s="7143" t="s">
        <v>106</v>
      </c>
      <c r="H338" s="2674" t="s">
        <v>1229</v>
      </c>
      <c r="I338" s="2675" t="s">
        <v>1200</v>
      </c>
      <c r="J338" s="2644" t="s">
        <v>1206</v>
      </c>
      <c r="K338" s="2676" t="s">
        <v>1230</v>
      </c>
      <c r="L338" s="2266" t="s">
        <v>19</v>
      </c>
      <c r="M338" s="2267"/>
      <c r="N338" s="2129"/>
      <c r="O338" s="1323" t="s">
        <v>398</v>
      </c>
      <c r="P338" s="1324"/>
      <c r="Q338" s="1324"/>
      <c r="R338" s="1324"/>
      <c r="S338" s="1324"/>
      <c r="T338" s="1324"/>
      <c r="U338" s="1324"/>
      <c r="V338" s="1324"/>
      <c r="W338" s="1324"/>
      <c r="X338" s="1324"/>
      <c r="Y338" s="1324"/>
      <c r="Z338" s="1324"/>
      <c r="AA338" s="1324"/>
      <c r="AB338" s="1324"/>
      <c r="AC338" s="1324"/>
      <c r="AD338" s="1324"/>
      <c r="AE338" s="1324"/>
      <c r="AF338" s="2665">
        <v>2028</v>
      </c>
      <c r="AG338" s="2666" t="s">
        <v>1103</v>
      </c>
      <c r="AH338" s="2666" t="s">
        <v>1228</v>
      </c>
      <c r="AI338" s="8647"/>
      <c r="AJ338" s="2666" t="s">
        <v>1105</v>
      </c>
      <c r="AK338" s="2666" t="s">
        <v>1105</v>
      </c>
      <c r="AL338" s="2131"/>
      <c r="AM338" s="1968"/>
      <c r="AN338" s="1968"/>
      <c r="AO338" s="1968"/>
      <c r="AP338" s="1968"/>
      <c r="AQ338" s="1968"/>
      <c r="AR338" s="1968"/>
      <c r="AS338" s="1968"/>
      <c r="AT338" s="1968"/>
      <c r="AU338" s="1968"/>
      <c r="AV338" s="1968"/>
      <c r="AW338" s="1968"/>
      <c r="AX338" s="1968"/>
      <c r="AY338" s="1968"/>
      <c r="AZ338" s="1968"/>
      <c r="BA338" s="1968"/>
      <c r="BB338" s="1968"/>
      <c r="BC338" s="1968"/>
      <c r="BD338" s="1968"/>
      <c r="BE338" s="1968"/>
      <c r="BF338" s="1968"/>
      <c r="BG338" s="7235"/>
    </row>
    <row customHeight="1" ht="11.25">
      <c r="A339" s="1312" t="s">
        <v>1069</v>
      </c>
      <c r="B339" s="1312"/>
      <c r="C339" s="1312"/>
      <c r="D339" s="1306"/>
      <c r="E339" s="1316"/>
      <c r="F339" s="1974"/>
      <c r="G339" s="1975"/>
      <c r="H339" s="2674" t="s">
        <v>1226</v>
      </c>
      <c r="I339" s="2675"/>
      <c r="J339" s="2644"/>
      <c r="K339" s="2676"/>
      <c r="L339" s="2266"/>
      <c r="M339" s="2267"/>
      <c r="N339" s="2667"/>
      <c r="O339" s="2668">
        <v>1</v>
      </c>
      <c r="P339" s="2669" t="s">
        <v>63</v>
      </c>
      <c r="Q339" s="8645" t="s">
        <v>1208</v>
      </c>
      <c r="R339" s="8646" t="s">
        <v>1114</v>
      </c>
      <c r="S339" s="8646" t="s">
        <v>113</v>
      </c>
      <c r="T339" s="8646" t="s">
        <v>113</v>
      </c>
      <c r="U339" s="8646" t="s">
        <v>114</v>
      </c>
      <c r="V339" s="8646" t="s">
        <v>1115</v>
      </c>
      <c r="W339" s="8646" t="s">
        <v>1116</v>
      </c>
      <c r="X339" s="8646" t="s">
        <v>1209</v>
      </c>
      <c r="Y339" s="8646" t="s">
        <v>121</v>
      </c>
      <c r="Z339" s="1321"/>
      <c r="AA339" s="1322"/>
      <c r="AB339" s="1322"/>
      <c r="AC339" s="1326"/>
      <c r="AD339" s="1326"/>
      <c r="AE339" s="1327"/>
      <c r="AF339" s="2665"/>
      <c r="AG339" s="2666"/>
      <c r="AH339" s="2666"/>
      <c r="AI339" s="8647"/>
      <c r="AJ339" s="2666"/>
      <c r="AK339" s="2666"/>
      <c r="AL339" s="2131"/>
      <c r="AM339" s="1968"/>
      <c r="AN339" s="1968"/>
      <c r="AO339" s="1968"/>
      <c r="AP339" s="1968"/>
      <c r="AQ339" s="1968"/>
      <c r="AR339" s="1968"/>
      <c r="AS339" s="1968"/>
      <c r="AT339" s="1968"/>
      <c r="AU339" s="1968"/>
      <c r="AV339" s="1968"/>
      <c r="AW339" s="1968"/>
      <c r="AX339" s="1968"/>
      <c r="AY339" s="1968"/>
      <c r="AZ339" s="1968"/>
      <c r="BA339" s="1968"/>
      <c r="BB339" s="1968"/>
      <c r="BC339" s="1968"/>
      <c r="BD339" s="1968"/>
      <c r="BE339" s="1968"/>
      <c r="BF339" s="1968"/>
      <c r="BG339" s="7235"/>
    </row>
    <row customHeight="1" ht="11.25">
      <c r="A340" s="1312" t="s">
        <v>1069</v>
      </c>
      <c r="B340" s="1312"/>
      <c r="C340" s="1312"/>
      <c r="D340" s="1306"/>
      <c r="E340" s="1316"/>
      <c r="F340" s="1974"/>
      <c r="G340" s="1975"/>
      <c r="H340" s="2674" t="s">
        <v>1226</v>
      </c>
      <c r="I340" s="2675"/>
      <c r="J340" s="2644"/>
      <c r="K340" s="2676"/>
      <c r="L340" s="2266"/>
      <c r="M340" s="2267"/>
      <c r="N340" s="2667"/>
      <c r="O340" s="2668"/>
      <c r="P340" s="2670"/>
      <c r="Q340" s="8645"/>
      <c r="R340" s="2672"/>
      <c r="S340" s="2673"/>
      <c r="T340" s="2672"/>
      <c r="U340" s="2672"/>
      <c r="V340" s="2672"/>
      <c r="W340" s="2672"/>
      <c r="X340" s="2672"/>
      <c r="Y340" s="2672"/>
      <c r="Z340" s="1973"/>
      <c r="AA340" s="1939">
        <v>1</v>
      </c>
      <c r="AB340" s="1325" t="s">
        <v>1131</v>
      </c>
      <c r="AC340" s="1315">
        <v>1951</v>
      </c>
      <c r="AD340" s="1325" t="str">
        <f>AB340</f>
        <v>      Прочие амортизационные отчисления</v>
      </c>
      <c r="AE340" s="1315">
        <v>0</v>
      </c>
      <c r="AF340" s="2665"/>
      <c r="AG340" s="2666"/>
      <c r="AH340" s="2666"/>
      <c r="AI340" s="8647"/>
      <c r="AJ340" s="2666"/>
      <c r="AK340" s="2666"/>
      <c r="AL340" s="2131"/>
      <c r="AM340" s="1968"/>
      <c r="AN340" s="1968"/>
      <c r="AO340" s="1968"/>
      <c r="AP340" s="1968"/>
      <c r="AQ340" s="1968"/>
      <c r="AR340" s="1968"/>
      <c r="AS340" s="1968"/>
      <c r="AT340" s="1968"/>
      <c r="AU340" s="1968"/>
      <c r="AV340" s="1968"/>
      <c r="AW340" s="1968"/>
      <c r="AX340" s="1968"/>
      <c r="AY340" s="1968"/>
      <c r="AZ340" s="1968"/>
      <c r="BA340" s="1968"/>
      <c r="BB340" s="1968"/>
      <c r="BC340" s="1968"/>
      <c r="BD340" s="1968"/>
      <c r="BE340" s="1968"/>
      <c r="BF340" s="1968"/>
      <c r="BG340" s="7235"/>
    </row>
    <row customHeight="1" ht="11.25">
      <c r="A341" s="1312" t="s">
        <v>1069</v>
      </c>
      <c r="B341" s="1312"/>
      <c r="C341" s="1312"/>
      <c r="D341" s="1306"/>
      <c r="E341" s="1316"/>
      <c r="F341" s="1974"/>
      <c r="G341" s="1975"/>
      <c r="H341" s="2674" t="s">
        <v>1226</v>
      </c>
      <c r="I341" s="2675"/>
      <c r="J341" s="2644"/>
      <c r="K341" s="2676"/>
      <c r="L341" s="2266"/>
      <c r="M341" s="2267"/>
      <c r="N341" s="2667"/>
      <c r="O341" s="2668"/>
      <c r="P341" s="2671"/>
      <c r="Q341" s="8645"/>
      <c r="R341" s="2672"/>
      <c r="S341" s="2673"/>
      <c r="T341" s="2672"/>
      <c r="U341" s="2672"/>
      <c r="V341" s="2672"/>
      <c r="W341" s="2672"/>
      <c r="X341" s="2672"/>
      <c r="Y341" s="2672"/>
      <c r="Z341" s="1321"/>
      <c r="AA341" s="1322"/>
      <c r="AB341" s="1387" t="s">
        <v>1107</v>
      </c>
      <c r="AC341" s="1326"/>
      <c r="AD341" s="1326"/>
      <c r="AE341" s="1328"/>
      <c r="AF341" s="2665"/>
      <c r="AG341" s="2666"/>
      <c r="AH341" s="2666"/>
      <c r="AI341" s="8647"/>
      <c r="AJ341" s="2666"/>
      <c r="AK341" s="2666"/>
      <c r="AL341" s="2131"/>
      <c r="AM341" s="1968"/>
      <c r="AN341" s="1968"/>
      <c r="AO341" s="1968"/>
      <c r="AP341" s="1968"/>
      <c r="AQ341" s="1968"/>
      <c r="AR341" s="1968"/>
      <c r="AS341" s="1968"/>
      <c r="AT341" s="1968"/>
      <c r="AU341" s="1968"/>
      <c r="AV341" s="1968"/>
      <c r="AW341" s="1968"/>
      <c r="AX341" s="1968"/>
      <c r="AY341" s="1968"/>
      <c r="AZ341" s="1968"/>
      <c r="BA341" s="1968"/>
      <c r="BB341" s="1968"/>
      <c r="BC341" s="1968"/>
      <c r="BD341" s="1968"/>
      <c r="BE341" s="1968"/>
      <c r="BF341" s="1968"/>
      <c r="BG341" s="7235"/>
    </row>
    <row customHeight="1" ht="11.25">
      <c r="A342" s="1312" t="s">
        <v>1069</v>
      </c>
      <c r="B342" s="1312"/>
      <c r="C342" s="1312"/>
      <c r="D342" s="1306"/>
      <c r="E342" s="1316"/>
      <c r="F342" s="1974"/>
      <c r="G342" s="1975"/>
      <c r="H342" s="2674" t="s">
        <v>1226</v>
      </c>
      <c r="I342" s="2675"/>
      <c r="J342" s="2644"/>
      <c r="K342" s="2676"/>
      <c r="L342" s="2266"/>
      <c r="M342" s="2267"/>
      <c r="N342" s="1321"/>
      <c r="O342" s="1322"/>
      <c r="P342" s="1314" t="s">
        <v>1108</v>
      </c>
      <c r="Q342" s="1322"/>
      <c r="R342" s="1322"/>
      <c r="S342" s="1322"/>
      <c r="T342" s="1322"/>
      <c r="U342" s="1322"/>
      <c r="V342" s="1322"/>
      <c r="W342" s="1322"/>
      <c r="X342" s="1322"/>
      <c r="Y342" s="1322"/>
      <c r="Z342" s="1322"/>
      <c r="AA342" s="1322"/>
      <c r="AB342" s="1322"/>
      <c r="AC342" s="1322"/>
      <c r="AD342" s="1322"/>
      <c r="AE342" s="1329"/>
      <c r="AF342" s="2665"/>
      <c r="AG342" s="2666"/>
      <c r="AH342" s="2666"/>
      <c r="AI342" s="8647"/>
      <c r="AJ342" s="2666"/>
      <c r="AK342" s="2666"/>
      <c r="AL342" s="2131"/>
      <c r="AM342" s="1968"/>
      <c r="AN342" s="1968"/>
      <c r="AO342" s="1968"/>
      <c r="AP342" s="1968"/>
      <c r="AQ342" s="1968"/>
      <c r="AR342" s="1968"/>
      <c r="AS342" s="1968"/>
      <c r="AT342" s="1968"/>
      <c r="AU342" s="1968"/>
      <c r="AV342" s="1968"/>
      <c r="AW342" s="1968"/>
      <c r="AX342" s="1968"/>
      <c r="AY342" s="1968"/>
      <c r="AZ342" s="1968"/>
      <c r="BA342" s="1968"/>
      <c r="BB342" s="1968"/>
      <c r="BC342" s="1968"/>
      <c r="BD342" s="1968"/>
      <c r="BE342" s="1968"/>
      <c r="BF342" s="1968"/>
      <c r="BG342" s="7235"/>
    </row>
    <row customHeight="1" ht="11.25">
      <c r="A343" s="1312" t="s">
        <v>1069</v>
      </c>
      <c r="B343" s="1312" t="s">
        <v>1198</v>
      </c>
      <c r="C343" s="1312"/>
      <c r="D343" s="1306"/>
      <c r="E343" s="1316"/>
      <c r="F343" s="1974"/>
      <c r="G343" s="7143" t="s">
        <v>106</v>
      </c>
      <c r="H343" s="2674" t="s">
        <v>1145</v>
      </c>
      <c r="I343" s="2675" t="s">
        <v>1200</v>
      </c>
      <c r="J343" s="2644" t="s">
        <v>1206</v>
      </c>
      <c r="K343" s="2676" t="s">
        <v>1231</v>
      </c>
      <c r="L343" s="2266" t="s">
        <v>19</v>
      </c>
      <c r="M343" s="2267"/>
      <c r="N343" s="2129"/>
      <c r="O343" s="1323" t="s">
        <v>398</v>
      </c>
      <c r="P343" s="1324"/>
      <c r="Q343" s="1324"/>
      <c r="R343" s="1324"/>
      <c r="S343" s="1324"/>
      <c r="T343" s="1324"/>
      <c r="U343" s="1324"/>
      <c r="V343" s="1324"/>
      <c r="W343" s="1324"/>
      <c r="X343" s="1324"/>
      <c r="Y343" s="1324"/>
      <c r="Z343" s="1324"/>
      <c r="AA343" s="1324"/>
      <c r="AB343" s="1324"/>
      <c r="AC343" s="1324"/>
      <c r="AD343" s="1324"/>
      <c r="AE343" s="1324"/>
      <c r="AF343" s="2665">
        <v>2024</v>
      </c>
      <c r="AG343" s="2666" t="s">
        <v>1103</v>
      </c>
      <c r="AH343" s="2666" t="s">
        <v>1154</v>
      </c>
      <c r="AI343" s="2665">
        <v>2024</v>
      </c>
      <c r="AJ343" s="2666" t="s">
        <v>1103</v>
      </c>
      <c r="AK343" s="2666" t="s">
        <v>1154</v>
      </c>
      <c r="AL343" s="2131"/>
      <c r="AM343" s="1968"/>
      <c r="AN343" s="1968"/>
      <c r="AO343" s="1968"/>
      <c r="AP343" s="1968"/>
      <c r="AQ343" s="1968"/>
      <c r="AR343" s="1968"/>
      <c r="AS343" s="1968"/>
      <c r="AT343" s="1968"/>
      <c r="AU343" s="1968"/>
      <c r="AV343" s="1968"/>
      <c r="AW343" s="1968"/>
      <c r="AX343" s="1968"/>
      <c r="AY343" s="1968"/>
      <c r="AZ343" s="1968"/>
      <c r="BA343" s="1968"/>
      <c r="BB343" s="1968"/>
      <c r="BC343" s="1968"/>
      <c r="BD343" s="1968"/>
      <c r="BE343" s="1968"/>
      <c r="BF343" s="1968"/>
      <c r="BG343" s="7235"/>
    </row>
    <row customHeight="1" ht="11.25">
      <c r="A344" s="1312" t="s">
        <v>1069</v>
      </c>
      <c r="B344" s="1312"/>
      <c r="C344" s="1312"/>
      <c r="D344" s="1306"/>
      <c r="E344" s="1316"/>
      <c r="F344" s="1974"/>
      <c r="G344" s="1975"/>
      <c r="H344" s="2674" t="s">
        <v>1229</v>
      </c>
      <c r="I344" s="2675"/>
      <c r="J344" s="2644"/>
      <c r="K344" s="2676"/>
      <c r="L344" s="2266"/>
      <c r="M344" s="2267"/>
      <c r="N344" s="2667"/>
      <c r="O344" s="2668">
        <v>1</v>
      </c>
      <c r="P344" s="2669" t="s">
        <v>63</v>
      </c>
      <c r="Q344" s="8645" t="s">
        <v>1208</v>
      </c>
      <c r="R344" s="8646" t="s">
        <v>1114</v>
      </c>
      <c r="S344" s="8646" t="s">
        <v>113</v>
      </c>
      <c r="T344" s="8646" t="s">
        <v>113</v>
      </c>
      <c r="U344" s="8646" t="s">
        <v>114</v>
      </c>
      <c r="V344" s="8646" t="s">
        <v>1115</v>
      </c>
      <c r="W344" s="8646" t="s">
        <v>1116</v>
      </c>
      <c r="X344" s="8646" t="s">
        <v>1209</v>
      </c>
      <c r="Y344" s="8646" t="s">
        <v>121</v>
      </c>
      <c r="Z344" s="1321"/>
      <c r="AA344" s="1322"/>
      <c r="AB344" s="1322"/>
      <c r="AC344" s="1326"/>
      <c r="AD344" s="1326"/>
      <c r="AE344" s="1327"/>
      <c r="AF344" s="2665"/>
      <c r="AG344" s="2666"/>
      <c r="AH344" s="2666"/>
      <c r="AI344" s="2665"/>
      <c r="AJ344" s="2666"/>
      <c r="AK344" s="2666"/>
      <c r="AL344" s="2131"/>
      <c r="AM344" s="1968"/>
      <c r="AN344" s="1968"/>
      <c r="AO344" s="1968"/>
      <c r="AP344" s="1968"/>
      <c r="AQ344" s="1968"/>
      <c r="AR344" s="1968"/>
      <c r="AS344" s="1968"/>
      <c r="AT344" s="1968"/>
      <c r="AU344" s="1968"/>
      <c r="AV344" s="1968"/>
      <c r="AW344" s="1968"/>
      <c r="AX344" s="1968"/>
      <c r="AY344" s="1968"/>
      <c r="AZ344" s="1968"/>
      <c r="BA344" s="1968"/>
      <c r="BB344" s="1968"/>
      <c r="BC344" s="1968"/>
      <c r="BD344" s="1968"/>
      <c r="BE344" s="1968"/>
      <c r="BF344" s="1968"/>
      <c r="BG344" s="7235"/>
    </row>
    <row customHeight="1" ht="11.25">
      <c r="A345" s="1312" t="s">
        <v>1069</v>
      </c>
      <c r="B345" s="1312"/>
      <c r="C345" s="1312"/>
      <c r="D345" s="1306"/>
      <c r="E345" s="1316"/>
      <c r="F345" s="1974"/>
      <c r="G345" s="1975"/>
      <c r="H345" s="2674" t="s">
        <v>1229</v>
      </c>
      <c r="I345" s="2675"/>
      <c r="J345" s="2644"/>
      <c r="K345" s="2676"/>
      <c r="L345" s="2266"/>
      <c r="M345" s="2267"/>
      <c r="N345" s="2667"/>
      <c r="O345" s="2668"/>
      <c r="P345" s="2670"/>
      <c r="Q345" s="8645"/>
      <c r="R345" s="2672"/>
      <c r="S345" s="2673"/>
      <c r="T345" s="2672"/>
      <c r="U345" s="2672"/>
      <c r="V345" s="2672"/>
      <c r="W345" s="2672"/>
      <c r="X345" s="2672"/>
      <c r="Y345" s="2672"/>
      <c r="Z345" s="1973"/>
      <c r="AA345" s="1939">
        <v>1</v>
      </c>
      <c r="AB345" s="1325" t="s">
        <v>1131</v>
      </c>
      <c r="AC345" s="1315">
        <v>4203.6075</v>
      </c>
      <c r="AD345" s="1325" t="str">
        <f>AB345</f>
        <v>      Прочие амортизационные отчисления</v>
      </c>
      <c r="AE345" s="1315">
        <v>4203.60759166667</v>
      </c>
      <c r="AF345" s="2665"/>
      <c r="AG345" s="2666"/>
      <c r="AH345" s="2666"/>
      <c r="AI345" s="2665"/>
      <c r="AJ345" s="2666"/>
      <c r="AK345" s="2666"/>
      <c r="AL345" s="2131"/>
      <c r="AM345" s="1968"/>
      <c r="AN345" s="1968"/>
      <c r="AO345" s="1968"/>
      <c r="AP345" s="1968"/>
      <c r="AQ345" s="1968"/>
      <c r="AR345" s="1968"/>
      <c r="AS345" s="1968"/>
      <c r="AT345" s="1968"/>
      <c r="AU345" s="1968"/>
      <c r="AV345" s="1968"/>
      <c r="AW345" s="1968"/>
      <c r="AX345" s="1968"/>
      <c r="AY345" s="1968"/>
      <c r="AZ345" s="1968"/>
      <c r="BA345" s="1968"/>
      <c r="BB345" s="1968"/>
      <c r="BC345" s="1968"/>
      <c r="BD345" s="1968"/>
      <c r="BE345" s="1968"/>
      <c r="BF345" s="1968"/>
      <c r="BG345" s="7235"/>
    </row>
    <row customHeight="1" ht="11.25">
      <c r="A346" s="1312" t="s">
        <v>1069</v>
      </c>
      <c r="B346" s="1312"/>
      <c r="C346" s="1312"/>
      <c r="D346" s="1306"/>
      <c r="E346" s="1316"/>
      <c r="F346" s="1974"/>
      <c r="G346" s="1975"/>
      <c r="H346" s="2674" t="s">
        <v>1229</v>
      </c>
      <c r="I346" s="2675"/>
      <c r="J346" s="2644"/>
      <c r="K346" s="2676"/>
      <c r="L346" s="2266"/>
      <c r="M346" s="2267"/>
      <c r="N346" s="2667"/>
      <c r="O346" s="2668"/>
      <c r="P346" s="2671"/>
      <c r="Q346" s="8645"/>
      <c r="R346" s="2672"/>
      <c r="S346" s="2673"/>
      <c r="T346" s="2672"/>
      <c r="U346" s="2672"/>
      <c r="V346" s="2672"/>
      <c r="W346" s="2672"/>
      <c r="X346" s="2672"/>
      <c r="Y346" s="2672"/>
      <c r="Z346" s="1321"/>
      <c r="AA346" s="1322"/>
      <c r="AB346" s="1387" t="s">
        <v>1107</v>
      </c>
      <c r="AC346" s="1326"/>
      <c r="AD346" s="1326"/>
      <c r="AE346" s="1328"/>
      <c r="AF346" s="2665"/>
      <c r="AG346" s="2666"/>
      <c r="AH346" s="2666"/>
      <c r="AI346" s="2665"/>
      <c r="AJ346" s="2666"/>
      <c r="AK346" s="2666"/>
      <c r="AL346" s="2131"/>
      <c r="AM346" s="1968"/>
      <c r="AN346" s="1968"/>
      <c r="AO346" s="1968"/>
      <c r="AP346" s="1968"/>
      <c r="AQ346" s="1968"/>
      <c r="AR346" s="1968"/>
      <c r="AS346" s="1968"/>
      <c r="AT346" s="1968"/>
      <c r="AU346" s="1968"/>
      <c r="AV346" s="1968"/>
      <c r="AW346" s="1968"/>
      <c r="AX346" s="1968"/>
      <c r="AY346" s="1968"/>
      <c r="AZ346" s="1968"/>
      <c r="BA346" s="1968"/>
      <c r="BB346" s="1968"/>
      <c r="BC346" s="1968"/>
      <c r="BD346" s="1968"/>
      <c r="BE346" s="1968"/>
      <c r="BF346" s="1968"/>
      <c r="BG346" s="7235"/>
    </row>
    <row customHeight="1" ht="11.25">
      <c r="A347" s="1312" t="s">
        <v>1069</v>
      </c>
      <c r="B347" s="1312"/>
      <c r="C347" s="1312"/>
      <c r="D347" s="1306"/>
      <c r="E347" s="1316"/>
      <c r="F347" s="1974"/>
      <c r="G347" s="1975"/>
      <c r="H347" s="2674" t="s">
        <v>1229</v>
      </c>
      <c r="I347" s="2675"/>
      <c r="J347" s="2644"/>
      <c r="K347" s="2676"/>
      <c r="L347" s="2266"/>
      <c r="M347" s="2267"/>
      <c r="N347" s="1321"/>
      <c r="O347" s="1322"/>
      <c r="P347" s="1314" t="s">
        <v>1108</v>
      </c>
      <c r="Q347" s="1322"/>
      <c r="R347" s="1322"/>
      <c r="S347" s="1322"/>
      <c r="T347" s="1322"/>
      <c r="U347" s="1322"/>
      <c r="V347" s="1322"/>
      <c r="W347" s="1322"/>
      <c r="X347" s="1322"/>
      <c r="Y347" s="1322"/>
      <c r="Z347" s="1322"/>
      <c r="AA347" s="1322"/>
      <c r="AB347" s="1322"/>
      <c r="AC347" s="1322"/>
      <c r="AD347" s="1322"/>
      <c r="AE347" s="1329"/>
      <c r="AF347" s="2665"/>
      <c r="AG347" s="2666"/>
      <c r="AH347" s="2666"/>
      <c r="AI347" s="2665"/>
      <c r="AJ347" s="2666"/>
      <c r="AK347" s="2666"/>
      <c r="AL347" s="2131"/>
      <c r="AM347" s="1968"/>
      <c r="AN347" s="1968"/>
      <c r="AO347" s="1968"/>
      <c r="AP347" s="1968"/>
      <c r="AQ347" s="1968"/>
      <c r="AR347" s="1968"/>
      <c r="AS347" s="1968"/>
      <c r="AT347" s="1968"/>
      <c r="AU347" s="1968"/>
      <c r="AV347" s="1968"/>
      <c r="AW347" s="1968"/>
      <c r="AX347" s="1968"/>
      <c r="AY347" s="1968"/>
      <c r="AZ347" s="1968"/>
      <c r="BA347" s="1968"/>
      <c r="BB347" s="1968"/>
      <c r="BC347" s="1968"/>
      <c r="BD347" s="1968"/>
      <c r="BE347" s="1968"/>
      <c r="BF347" s="1968"/>
      <c r="BG347" s="7235"/>
    </row>
    <row customHeight="1" ht="11.25">
      <c r="A348" s="1312" t="s">
        <v>1069</v>
      </c>
      <c r="B348" s="1312" t="s">
        <v>1198</v>
      </c>
      <c r="C348" s="1312"/>
      <c r="D348" s="1306"/>
      <c r="E348" s="1316"/>
      <c r="F348" s="1974"/>
      <c r="G348" s="7143" t="s">
        <v>106</v>
      </c>
      <c r="H348" s="2674" t="s">
        <v>1232</v>
      </c>
      <c r="I348" s="2675" t="s">
        <v>1200</v>
      </c>
      <c r="J348" s="2644" t="s">
        <v>1206</v>
      </c>
      <c r="K348" s="2676" t="s">
        <v>1233</v>
      </c>
      <c r="L348" s="2266" t="s">
        <v>19</v>
      </c>
      <c r="M348" s="2267"/>
      <c r="N348" s="2129"/>
      <c r="O348" s="1323" t="s">
        <v>398</v>
      </c>
      <c r="P348" s="1324"/>
      <c r="Q348" s="1324"/>
      <c r="R348" s="1324"/>
      <c r="S348" s="1324"/>
      <c r="T348" s="1324"/>
      <c r="U348" s="1324"/>
      <c r="V348" s="1324"/>
      <c r="W348" s="1324"/>
      <c r="X348" s="1324"/>
      <c r="Y348" s="1324"/>
      <c r="Z348" s="1324"/>
      <c r="AA348" s="1324"/>
      <c r="AB348" s="1324"/>
      <c r="AC348" s="1324"/>
      <c r="AD348" s="1324"/>
      <c r="AE348" s="1324"/>
      <c r="AF348" s="2665">
        <v>2027</v>
      </c>
      <c r="AG348" s="2666" t="s">
        <v>1103</v>
      </c>
      <c r="AH348" s="2666" t="s">
        <v>1164</v>
      </c>
      <c r="AI348" s="8647"/>
      <c r="AJ348" s="2666" t="s">
        <v>1105</v>
      </c>
      <c r="AK348" s="2666" t="s">
        <v>1105</v>
      </c>
      <c r="AL348" s="2131"/>
      <c r="AM348" s="1968"/>
      <c r="AN348" s="1968"/>
      <c r="AO348" s="1968"/>
      <c r="AP348" s="1968"/>
      <c r="AQ348" s="1968"/>
      <c r="AR348" s="1968"/>
      <c r="AS348" s="1968"/>
      <c r="AT348" s="1968"/>
      <c r="AU348" s="1968"/>
      <c r="AV348" s="1968"/>
      <c r="AW348" s="1968"/>
      <c r="AX348" s="1968"/>
      <c r="AY348" s="1968"/>
      <c r="AZ348" s="1968"/>
      <c r="BA348" s="1968"/>
      <c r="BB348" s="1968"/>
      <c r="BC348" s="1968"/>
      <c r="BD348" s="1968"/>
      <c r="BE348" s="1968"/>
      <c r="BF348" s="1968"/>
      <c r="BG348" s="7235"/>
    </row>
    <row customHeight="1" ht="11.25">
      <c r="A349" s="1312" t="s">
        <v>1069</v>
      </c>
      <c r="B349" s="1312"/>
      <c r="C349" s="1312"/>
      <c r="D349" s="1306"/>
      <c r="E349" s="1316"/>
      <c r="F349" s="1974"/>
      <c r="G349" s="1975"/>
      <c r="H349" s="2674" t="s">
        <v>1145</v>
      </c>
      <c r="I349" s="2675"/>
      <c r="J349" s="2644"/>
      <c r="K349" s="2676"/>
      <c r="L349" s="2266"/>
      <c r="M349" s="2267"/>
      <c r="N349" s="2667"/>
      <c r="O349" s="2668">
        <v>1</v>
      </c>
      <c r="P349" s="2669" t="s">
        <v>63</v>
      </c>
      <c r="Q349" s="8645" t="s">
        <v>1208</v>
      </c>
      <c r="R349" s="8646" t="s">
        <v>1114</v>
      </c>
      <c r="S349" s="8646" t="s">
        <v>113</v>
      </c>
      <c r="T349" s="8646" t="s">
        <v>113</v>
      </c>
      <c r="U349" s="8646" t="s">
        <v>114</v>
      </c>
      <c r="V349" s="8646" t="s">
        <v>1115</v>
      </c>
      <c r="W349" s="8646" t="s">
        <v>1116</v>
      </c>
      <c r="X349" s="8646" t="s">
        <v>1209</v>
      </c>
      <c r="Y349" s="8646" t="s">
        <v>121</v>
      </c>
      <c r="Z349" s="1321"/>
      <c r="AA349" s="1322"/>
      <c r="AB349" s="1322"/>
      <c r="AC349" s="1326"/>
      <c r="AD349" s="1326"/>
      <c r="AE349" s="1327"/>
      <c r="AF349" s="2665"/>
      <c r="AG349" s="2666"/>
      <c r="AH349" s="2666"/>
      <c r="AI349" s="8647"/>
      <c r="AJ349" s="2666"/>
      <c r="AK349" s="2666"/>
      <c r="AL349" s="2131"/>
      <c r="AM349" s="1968"/>
      <c r="AN349" s="1968"/>
      <c r="AO349" s="1968"/>
      <c r="AP349" s="1968"/>
      <c r="AQ349" s="1968"/>
      <c r="AR349" s="1968"/>
      <c r="AS349" s="1968"/>
      <c r="AT349" s="1968"/>
      <c r="AU349" s="1968"/>
      <c r="AV349" s="1968"/>
      <c r="AW349" s="1968"/>
      <c r="AX349" s="1968"/>
      <c r="AY349" s="1968"/>
      <c r="AZ349" s="1968"/>
      <c r="BA349" s="1968"/>
      <c r="BB349" s="1968"/>
      <c r="BC349" s="1968"/>
      <c r="BD349" s="1968"/>
      <c r="BE349" s="1968"/>
      <c r="BF349" s="1968"/>
      <c r="BG349" s="7235"/>
    </row>
    <row customHeight="1" ht="11.25">
      <c r="A350" s="1312" t="s">
        <v>1069</v>
      </c>
      <c r="B350" s="1312"/>
      <c r="C350" s="1312"/>
      <c r="D350" s="1306"/>
      <c r="E350" s="1316"/>
      <c r="F350" s="1974"/>
      <c r="G350" s="1975"/>
      <c r="H350" s="2674" t="s">
        <v>1145</v>
      </c>
      <c r="I350" s="2675"/>
      <c r="J350" s="2644"/>
      <c r="K350" s="2676"/>
      <c r="L350" s="2266"/>
      <c r="M350" s="2267"/>
      <c r="N350" s="2667"/>
      <c r="O350" s="2668"/>
      <c r="P350" s="2670"/>
      <c r="Q350" s="8645"/>
      <c r="R350" s="2672"/>
      <c r="S350" s="2673"/>
      <c r="T350" s="2672"/>
      <c r="U350" s="2672"/>
      <c r="V350" s="2672"/>
      <c r="W350" s="2672"/>
      <c r="X350" s="2672"/>
      <c r="Y350" s="2672"/>
      <c r="Z350" s="1973"/>
      <c r="AA350" s="1939">
        <v>1</v>
      </c>
      <c r="AB350" s="1325" t="s">
        <v>1131</v>
      </c>
      <c r="AC350" s="1315">
        <v>1575</v>
      </c>
      <c r="AD350" s="1325" t="str">
        <f>AB350</f>
        <v>      Прочие амортизационные отчисления</v>
      </c>
      <c r="AE350" s="1315">
        <v>1575</v>
      </c>
      <c r="AF350" s="2665"/>
      <c r="AG350" s="2666"/>
      <c r="AH350" s="2666"/>
      <c r="AI350" s="8647"/>
      <c r="AJ350" s="2666"/>
      <c r="AK350" s="2666"/>
      <c r="AL350" s="2131"/>
      <c r="AM350" s="1968"/>
      <c r="AN350" s="1968"/>
      <c r="AO350" s="1968"/>
      <c r="AP350" s="1968"/>
      <c r="AQ350" s="1968"/>
      <c r="AR350" s="1968"/>
      <c r="AS350" s="1968"/>
      <c r="AT350" s="1968"/>
      <c r="AU350" s="1968"/>
      <c r="AV350" s="1968"/>
      <c r="AW350" s="1968"/>
      <c r="AX350" s="1968"/>
      <c r="AY350" s="1968"/>
      <c r="AZ350" s="1968"/>
      <c r="BA350" s="1968"/>
      <c r="BB350" s="1968"/>
      <c r="BC350" s="1968"/>
      <c r="BD350" s="1968"/>
      <c r="BE350" s="1968"/>
      <c r="BF350" s="1968"/>
      <c r="BG350" s="7235"/>
    </row>
    <row customHeight="1" ht="11.25">
      <c r="A351" s="1312" t="s">
        <v>1069</v>
      </c>
      <c r="B351" s="1312"/>
      <c r="C351" s="1312"/>
      <c r="D351" s="1306"/>
      <c r="E351" s="1316"/>
      <c r="F351" s="1974"/>
      <c r="G351" s="1975"/>
      <c r="H351" s="2674" t="s">
        <v>1145</v>
      </c>
      <c r="I351" s="2675"/>
      <c r="J351" s="2644"/>
      <c r="K351" s="2676"/>
      <c r="L351" s="2266"/>
      <c r="M351" s="2267"/>
      <c r="N351" s="2667"/>
      <c r="O351" s="2668"/>
      <c r="P351" s="2671"/>
      <c r="Q351" s="8645"/>
      <c r="R351" s="2672"/>
      <c r="S351" s="2673"/>
      <c r="T351" s="2672"/>
      <c r="U351" s="2672"/>
      <c r="V351" s="2672"/>
      <c r="W351" s="2672"/>
      <c r="X351" s="2672"/>
      <c r="Y351" s="2672"/>
      <c r="Z351" s="1321"/>
      <c r="AA351" s="1322"/>
      <c r="AB351" s="1387" t="s">
        <v>1107</v>
      </c>
      <c r="AC351" s="1326"/>
      <c r="AD351" s="1326"/>
      <c r="AE351" s="1328"/>
      <c r="AF351" s="2665"/>
      <c r="AG351" s="2666"/>
      <c r="AH351" s="2666"/>
      <c r="AI351" s="8647"/>
      <c r="AJ351" s="2666"/>
      <c r="AK351" s="2666"/>
      <c r="AL351" s="2131"/>
      <c r="AM351" s="1968"/>
      <c r="AN351" s="1968"/>
      <c r="AO351" s="1968"/>
      <c r="AP351" s="1968"/>
      <c r="AQ351" s="1968"/>
      <c r="AR351" s="1968"/>
      <c r="AS351" s="1968"/>
      <c r="AT351" s="1968"/>
      <c r="AU351" s="1968"/>
      <c r="AV351" s="1968"/>
      <c r="AW351" s="1968"/>
      <c r="AX351" s="1968"/>
      <c r="AY351" s="1968"/>
      <c r="AZ351" s="1968"/>
      <c r="BA351" s="1968"/>
      <c r="BB351" s="1968"/>
      <c r="BC351" s="1968"/>
      <c r="BD351" s="1968"/>
      <c r="BE351" s="1968"/>
      <c r="BF351" s="1968"/>
      <c r="BG351" s="7235"/>
    </row>
    <row customHeight="1" ht="11.25">
      <c r="A352" s="1312" t="s">
        <v>1069</v>
      </c>
      <c r="B352" s="1312"/>
      <c r="C352" s="1312"/>
      <c r="D352" s="1306"/>
      <c r="E352" s="1316"/>
      <c r="F352" s="1974"/>
      <c r="G352" s="1975"/>
      <c r="H352" s="2674" t="s">
        <v>1145</v>
      </c>
      <c r="I352" s="2675"/>
      <c r="J352" s="2644"/>
      <c r="K352" s="2676"/>
      <c r="L352" s="2266"/>
      <c r="M352" s="2267"/>
      <c r="N352" s="1321"/>
      <c r="O352" s="1322"/>
      <c r="P352" s="1314" t="s">
        <v>1108</v>
      </c>
      <c r="Q352" s="1322"/>
      <c r="R352" s="1322"/>
      <c r="S352" s="1322"/>
      <c r="T352" s="1322"/>
      <c r="U352" s="1322"/>
      <c r="V352" s="1322"/>
      <c r="W352" s="1322"/>
      <c r="X352" s="1322"/>
      <c r="Y352" s="1322"/>
      <c r="Z352" s="1322"/>
      <c r="AA352" s="1322"/>
      <c r="AB352" s="1322"/>
      <c r="AC352" s="1322"/>
      <c r="AD352" s="1322"/>
      <c r="AE352" s="1329"/>
      <c r="AF352" s="2665"/>
      <c r="AG352" s="2666"/>
      <c r="AH352" s="2666"/>
      <c r="AI352" s="8647"/>
      <c r="AJ352" s="2666"/>
      <c r="AK352" s="2666"/>
      <c r="AL352" s="2131"/>
      <c r="AM352" s="1968"/>
      <c r="AN352" s="1968"/>
      <c r="AO352" s="1968"/>
      <c r="AP352" s="1968"/>
      <c r="AQ352" s="1968"/>
      <c r="AR352" s="1968"/>
      <c r="AS352" s="1968"/>
      <c r="AT352" s="1968"/>
      <c r="AU352" s="1968"/>
      <c r="AV352" s="1968"/>
      <c r="AW352" s="1968"/>
      <c r="AX352" s="1968"/>
      <c r="AY352" s="1968"/>
      <c r="AZ352" s="1968"/>
      <c r="BA352" s="1968"/>
      <c r="BB352" s="1968"/>
      <c r="BC352" s="1968"/>
      <c r="BD352" s="1968"/>
      <c r="BE352" s="1968"/>
      <c r="BF352" s="1968"/>
      <c r="BG352" s="7235"/>
    </row>
    <row customHeight="1" ht="11.25">
      <c r="A353" s="1312" t="s">
        <v>1069</v>
      </c>
      <c r="B353" s="1312" t="s">
        <v>1198</v>
      </c>
      <c r="C353" s="1312"/>
      <c r="D353" s="1306"/>
      <c r="E353" s="1316"/>
      <c r="F353" s="1974"/>
      <c r="G353" s="7143" t="s">
        <v>106</v>
      </c>
      <c r="H353" s="2674" t="s">
        <v>1234</v>
      </c>
      <c r="I353" s="2675" t="s">
        <v>1200</v>
      </c>
      <c r="J353" s="2644" t="s">
        <v>1206</v>
      </c>
      <c r="K353" s="2676" t="s">
        <v>1235</v>
      </c>
      <c r="L353" s="2266" t="s">
        <v>19</v>
      </c>
      <c r="M353" s="2267"/>
      <c r="N353" s="2129"/>
      <c r="O353" s="1323" t="s">
        <v>398</v>
      </c>
      <c r="P353" s="1324"/>
      <c r="Q353" s="1324"/>
      <c r="R353" s="1324"/>
      <c r="S353" s="1324"/>
      <c r="T353" s="1324"/>
      <c r="U353" s="1324"/>
      <c r="V353" s="1324"/>
      <c r="W353" s="1324"/>
      <c r="X353" s="1324"/>
      <c r="Y353" s="1324"/>
      <c r="Z353" s="1324"/>
      <c r="AA353" s="1324"/>
      <c r="AB353" s="1324"/>
      <c r="AC353" s="1324"/>
      <c r="AD353" s="1324"/>
      <c r="AE353" s="1324"/>
      <c r="AF353" s="2665">
        <v>2024</v>
      </c>
      <c r="AG353" s="2666" t="s">
        <v>1103</v>
      </c>
      <c r="AH353" s="2666" t="s">
        <v>1154</v>
      </c>
      <c r="AI353" s="2665">
        <v>2024</v>
      </c>
      <c r="AJ353" s="2666" t="s">
        <v>1103</v>
      </c>
      <c r="AK353" s="2666" t="s">
        <v>1154</v>
      </c>
      <c r="AL353" s="2131"/>
      <c r="AM353" s="1968"/>
      <c r="AN353" s="1968"/>
      <c r="AO353" s="1968"/>
      <c r="AP353" s="1968"/>
      <c r="AQ353" s="1968"/>
      <c r="AR353" s="1968"/>
      <c r="AS353" s="1968"/>
      <c r="AT353" s="1968"/>
      <c r="AU353" s="1968"/>
      <c r="AV353" s="1968"/>
      <c r="AW353" s="1968"/>
      <c r="AX353" s="1968"/>
      <c r="AY353" s="1968"/>
      <c r="AZ353" s="1968"/>
      <c r="BA353" s="1968"/>
      <c r="BB353" s="1968"/>
      <c r="BC353" s="1968"/>
      <c r="BD353" s="1968"/>
      <c r="BE353" s="1968"/>
      <c r="BF353" s="1968"/>
      <c r="BG353" s="7235"/>
    </row>
    <row customHeight="1" ht="11.25">
      <c r="A354" s="1312" t="s">
        <v>1069</v>
      </c>
      <c r="B354" s="1312"/>
      <c r="C354" s="1312"/>
      <c r="D354" s="1306"/>
      <c r="E354" s="1316"/>
      <c r="F354" s="1974"/>
      <c r="G354" s="1975"/>
      <c r="H354" s="2674" t="s">
        <v>1232</v>
      </c>
      <c r="I354" s="2675"/>
      <c r="J354" s="2644"/>
      <c r="K354" s="2676"/>
      <c r="L354" s="2266"/>
      <c r="M354" s="2267"/>
      <c r="N354" s="2667"/>
      <c r="O354" s="2668">
        <v>1</v>
      </c>
      <c r="P354" s="2669" t="s">
        <v>63</v>
      </c>
      <c r="Q354" s="8645" t="s">
        <v>133</v>
      </c>
      <c r="R354" s="8646" t="s">
        <v>1114</v>
      </c>
      <c r="S354" s="8646" t="s">
        <v>109</v>
      </c>
      <c r="T354" s="8646" t="s">
        <v>109</v>
      </c>
      <c r="U354" s="8646" t="s">
        <v>110</v>
      </c>
      <c r="V354" s="8646" t="s">
        <v>1192</v>
      </c>
      <c r="W354" s="8646" t="s">
        <v>1193</v>
      </c>
      <c r="X354" s="8646" t="s">
        <v>1194</v>
      </c>
      <c r="Y354" s="8646" t="s">
        <v>1195</v>
      </c>
      <c r="Z354" s="1321"/>
      <c r="AA354" s="1322"/>
      <c r="AB354" s="1322"/>
      <c r="AC354" s="1326"/>
      <c r="AD354" s="1326"/>
      <c r="AE354" s="1327"/>
      <c r="AF354" s="2665"/>
      <c r="AG354" s="2666"/>
      <c r="AH354" s="2666"/>
      <c r="AI354" s="2665"/>
      <c r="AJ354" s="2666"/>
      <c r="AK354" s="2666"/>
      <c r="AL354" s="2131"/>
      <c r="AM354" s="1968"/>
      <c r="AN354" s="1968"/>
      <c r="AO354" s="1968"/>
      <c r="AP354" s="1968"/>
      <c r="AQ354" s="1968"/>
      <c r="AR354" s="1968"/>
      <c r="AS354" s="1968"/>
      <c r="AT354" s="1968"/>
      <c r="AU354" s="1968"/>
      <c r="AV354" s="1968"/>
      <c r="AW354" s="1968"/>
      <c r="AX354" s="1968"/>
      <c r="AY354" s="1968"/>
      <c r="AZ354" s="1968"/>
      <c r="BA354" s="1968"/>
      <c r="BB354" s="1968"/>
      <c r="BC354" s="1968"/>
      <c r="BD354" s="1968"/>
      <c r="BE354" s="1968"/>
      <c r="BF354" s="1968"/>
      <c r="BG354" s="7235"/>
    </row>
    <row customHeight="1" ht="11.25">
      <c r="A355" s="1312" t="s">
        <v>1069</v>
      </c>
      <c r="B355" s="1312"/>
      <c r="C355" s="1312"/>
      <c r="D355" s="1306"/>
      <c r="E355" s="1316"/>
      <c r="F355" s="1974"/>
      <c r="G355" s="1975"/>
      <c r="H355" s="2674" t="s">
        <v>1232</v>
      </c>
      <c r="I355" s="2675"/>
      <c r="J355" s="2644"/>
      <c r="K355" s="2676"/>
      <c r="L355" s="2266"/>
      <c r="M355" s="2267"/>
      <c r="N355" s="2667"/>
      <c r="O355" s="2668"/>
      <c r="P355" s="2670"/>
      <c r="Q355" s="8645"/>
      <c r="R355" s="2672"/>
      <c r="S355" s="2673"/>
      <c r="T355" s="2672"/>
      <c r="U355" s="2672"/>
      <c r="V355" s="2672"/>
      <c r="W355" s="2672"/>
      <c r="X355" s="2672"/>
      <c r="Y355" s="2672"/>
      <c r="Z355" s="1973"/>
      <c r="AA355" s="1939">
        <v>1</v>
      </c>
      <c r="AB355" s="1325" t="s">
        <v>1131</v>
      </c>
      <c r="AC355" s="1315">
        <v>1776</v>
      </c>
      <c r="AD355" s="1325" t="str">
        <f>AB355</f>
        <v>      Прочие амортизационные отчисления</v>
      </c>
      <c r="AE355" s="1315">
        <v>1680.29924</v>
      </c>
      <c r="AF355" s="2665"/>
      <c r="AG355" s="2666"/>
      <c r="AH355" s="2666"/>
      <c r="AI355" s="2665"/>
      <c r="AJ355" s="2666"/>
      <c r="AK355" s="2666"/>
      <c r="AL355" s="2131"/>
      <c r="AM355" s="1968"/>
      <c r="AN355" s="1968"/>
      <c r="AO355" s="1968"/>
      <c r="AP355" s="1968"/>
      <c r="AQ355" s="1968"/>
      <c r="AR355" s="1968"/>
      <c r="AS355" s="1968"/>
      <c r="AT355" s="1968"/>
      <c r="AU355" s="1968"/>
      <c r="AV355" s="1968"/>
      <c r="AW355" s="1968"/>
      <c r="AX355" s="1968"/>
      <c r="AY355" s="1968"/>
      <c r="AZ355" s="1968"/>
      <c r="BA355" s="1968"/>
      <c r="BB355" s="1968"/>
      <c r="BC355" s="1968"/>
      <c r="BD355" s="1968"/>
      <c r="BE355" s="1968"/>
      <c r="BF355" s="1968"/>
      <c r="BG355" s="7235"/>
    </row>
    <row customHeight="1" ht="11.25">
      <c r="A356" s="1312" t="s">
        <v>1069</v>
      </c>
      <c r="B356" s="1312"/>
      <c r="C356" s="1312"/>
      <c r="D356" s="1306"/>
      <c r="E356" s="1316"/>
      <c r="F356" s="1974"/>
      <c r="G356" s="1975"/>
      <c r="H356" s="2674" t="s">
        <v>1232</v>
      </c>
      <c r="I356" s="2675"/>
      <c r="J356" s="2644"/>
      <c r="K356" s="2676"/>
      <c r="L356" s="2266"/>
      <c r="M356" s="2267"/>
      <c r="N356" s="2667"/>
      <c r="O356" s="2668"/>
      <c r="P356" s="2671"/>
      <c r="Q356" s="8645"/>
      <c r="R356" s="2672"/>
      <c r="S356" s="2673"/>
      <c r="T356" s="2672"/>
      <c r="U356" s="2672"/>
      <c r="V356" s="2672"/>
      <c r="W356" s="2672"/>
      <c r="X356" s="2672"/>
      <c r="Y356" s="2672"/>
      <c r="Z356" s="1321"/>
      <c r="AA356" s="1322"/>
      <c r="AB356" s="1387" t="s">
        <v>1107</v>
      </c>
      <c r="AC356" s="1326"/>
      <c r="AD356" s="1326"/>
      <c r="AE356" s="1328"/>
      <c r="AF356" s="2665"/>
      <c r="AG356" s="2666"/>
      <c r="AH356" s="2666"/>
      <c r="AI356" s="2665"/>
      <c r="AJ356" s="2666"/>
      <c r="AK356" s="2666"/>
      <c r="AL356" s="2131"/>
      <c r="AM356" s="1968"/>
      <c r="AN356" s="1968"/>
      <c r="AO356" s="1968"/>
      <c r="AP356" s="1968"/>
      <c r="AQ356" s="1968"/>
      <c r="AR356" s="1968"/>
      <c r="AS356" s="1968"/>
      <c r="AT356" s="1968"/>
      <c r="AU356" s="1968"/>
      <c r="AV356" s="1968"/>
      <c r="AW356" s="1968"/>
      <c r="AX356" s="1968"/>
      <c r="AY356" s="1968"/>
      <c r="AZ356" s="1968"/>
      <c r="BA356" s="1968"/>
      <c r="BB356" s="1968"/>
      <c r="BC356" s="1968"/>
      <c r="BD356" s="1968"/>
      <c r="BE356" s="1968"/>
      <c r="BF356" s="1968"/>
      <c r="BG356" s="7235"/>
    </row>
    <row customHeight="1" ht="11.25">
      <c r="A357" s="1312" t="s">
        <v>1069</v>
      </c>
      <c r="B357" s="1312"/>
      <c r="C357" s="1312"/>
      <c r="D357" s="1306"/>
      <c r="E357" s="1316"/>
      <c r="F357" s="1974"/>
      <c r="G357" s="1975"/>
      <c r="H357" s="2674" t="s">
        <v>1232</v>
      </c>
      <c r="I357" s="2675"/>
      <c r="J357" s="2644"/>
      <c r="K357" s="2676"/>
      <c r="L357" s="2266"/>
      <c r="M357" s="2267"/>
      <c r="N357" s="1321"/>
      <c r="O357" s="1322"/>
      <c r="P357" s="1314" t="s">
        <v>1108</v>
      </c>
      <c r="Q357" s="1322"/>
      <c r="R357" s="1322"/>
      <c r="S357" s="1322"/>
      <c r="T357" s="1322"/>
      <c r="U357" s="1322"/>
      <c r="V357" s="1322"/>
      <c r="W357" s="1322"/>
      <c r="X357" s="1322"/>
      <c r="Y357" s="1322"/>
      <c r="Z357" s="1322"/>
      <c r="AA357" s="1322"/>
      <c r="AB357" s="1322"/>
      <c r="AC357" s="1322"/>
      <c r="AD357" s="1322"/>
      <c r="AE357" s="1329"/>
      <c r="AF357" s="2665"/>
      <c r="AG357" s="2666"/>
      <c r="AH357" s="2666"/>
      <c r="AI357" s="2665"/>
      <c r="AJ357" s="2666"/>
      <c r="AK357" s="2666"/>
      <c r="AL357" s="2131"/>
      <c r="AM357" s="1968"/>
      <c r="AN357" s="1968"/>
      <c r="AO357" s="1968"/>
      <c r="AP357" s="1968"/>
      <c r="AQ357" s="1968"/>
      <c r="AR357" s="1968"/>
      <c r="AS357" s="1968"/>
      <c r="AT357" s="1968"/>
      <c r="AU357" s="1968"/>
      <c r="AV357" s="1968"/>
      <c r="AW357" s="1968"/>
      <c r="AX357" s="1968"/>
      <c r="AY357" s="1968"/>
      <c r="AZ357" s="1968"/>
      <c r="BA357" s="1968"/>
      <c r="BB357" s="1968"/>
      <c r="BC357" s="1968"/>
      <c r="BD357" s="1968"/>
      <c r="BE357" s="1968"/>
      <c r="BF357" s="1968"/>
      <c r="BG357" s="7235"/>
    </row>
    <row customHeight="1" ht="11.25">
      <c r="A358" s="1312" t="s">
        <v>1069</v>
      </c>
      <c r="B358" s="1312" t="s">
        <v>1198</v>
      </c>
      <c r="C358" s="1312"/>
      <c r="D358" s="1306"/>
      <c r="E358" s="1316"/>
      <c r="F358" s="1974"/>
      <c r="G358" s="7143" t="s">
        <v>106</v>
      </c>
      <c r="H358" s="2674" t="s">
        <v>1236</v>
      </c>
      <c r="I358" s="2675" t="s">
        <v>1200</v>
      </c>
      <c r="J358" s="2644" t="s">
        <v>1206</v>
      </c>
      <c r="K358" s="2676" t="s">
        <v>1237</v>
      </c>
      <c r="L358" s="2266" t="s">
        <v>19</v>
      </c>
      <c r="M358" s="2267"/>
      <c r="N358" s="2129"/>
      <c r="O358" s="1323" t="s">
        <v>398</v>
      </c>
      <c r="P358" s="1324"/>
      <c r="Q358" s="1324"/>
      <c r="R358" s="1324"/>
      <c r="S358" s="1324"/>
      <c r="T358" s="1324"/>
      <c r="U358" s="1324"/>
      <c r="V358" s="1324"/>
      <c r="W358" s="1324"/>
      <c r="X358" s="1324"/>
      <c r="Y358" s="1324"/>
      <c r="Z358" s="1324"/>
      <c r="AA358" s="1324"/>
      <c r="AB358" s="1324"/>
      <c r="AC358" s="1324"/>
      <c r="AD358" s="1324"/>
      <c r="AE358" s="1324"/>
      <c r="AF358" s="2665">
        <v>2024</v>
      </c>
      <c r="AG358" s="2666" t="s">
        <v>1103</v>
      </c>
      <c r="AH358" s="2666" t="s">
        <v>1154</v>
      </c>
      <c r="AI358" s="2665">
        <v>2024</v>
      </c>
      <c r="AJ358" s="2666" t="s">
        <v>1103</v>
      </c>
      <c r="AK358" s="2666" t="s">
        <v>1154</v>
      </c>
      <c r="AL358" s="2131"/>
      <c r="AM358" s="1968"/>
      <c r="AN358" s="1968"/>
      <c r="AO358" s="1968"/>
      <c r="AP358" s="1968"/>
      <c r="AQ358" s="1968"/>
      <c r="AR358" s="1968"/>
      <c r="AS358" s="1968"/>
      <c r="AT358" s="1968"/>
      <c r="AU358" s="1968"/>
      <c r="AV358" s="1968"/>
      <c r="AW358" s="1968"/>
      <c r="AX358" s="1968"/>
      <c r="AY358" s="1968"/>
      <c r="AZ358" s="1968"/>
      <c r="BA358" s="1968"/>
      <c r="BB358" s="1968"/>
      <c r="BC358" s="1968"/>
      <c r="BD358" s="1968"/>
      <c r="BE358" s="1968"/>
      <c r="BF358" s="1968"/>
      <c r="BG358" s="7235"/>
    </row>
    <row customHeight="1" ht="11.25">
      <c r="A359" s="1312" t="s">
        <v>1069</v>
      </c>
      <c r="B359" s="1312"/>
      <c r="C359" s="1312"/>
      <c r="D359" s="1306"/>
      <c r="E359" s="1316"/>
      <c r="F359" s="1974"/>
      <c r="G359" s="1975"/>
      <c r="H359" s="2674" t="s">
        <v>1234</v>
      </c>
      <c r="I359" s="2675"/>
      <c r="J359" s="2644"/>
      <c r="K359" s="2676"/>
      <c r="L359" s="2266"/>
      <c r="M359" s="2267"/>
      <c r="N359" s="2667"/>
      <c r="O359" s="2668">
        <v>1</v>
      </c>
      <c r="P359" s="2669" t="s">
        <v>63</v>
      </c>
      <c r="Q359" s="8645" t="s">
        <v>128</v>
      </c>
      <c r="R359" s="8646" t="s">
        <v>1114</v>
      </c>
      <c r="S359" s="8646" t="s">
        <v>101</v>
      </c>
      <c r="T359" s="8646" t="s">
        <v>102</v>
      </c>
      <c r="U359" s="8646" t="s">
        <v>103</v>
      </c>
      <c r="V359" s="8646" t="s">
        <v>1238</v>
      </c>
      <c r="W359" s="8646" t="s">
        <v>1239</v>
      </c>
      <c r="X359" s="8646" t="s">
        <v>1240</v>
      </c>
      <c r="Y359" s="8646" t="s">
        <v>1190</v>
      </c>
      <c r="Z359" s="1321"/>
      <c r="AA359" s="1322"/>
      <c r="AB359" s="1322"/>
      <c r="AC359" s="1326"/>
      <c r="AD359" s="1326"/>
      <c r="AE359" s="1327"/>
      <c r="AF359" s="2665"/>
      <c r="AG359" s="2666"/>
      <c r="AH359" s="2666"/>
      <c r="AI359" s="2665"/>
      <c r="AJ359" s="2666"/>
      <c r="AK359" s="2666"/>
      <c r="AL359" s="2131"/>
      <c r="AM359" s="1968"/>
      <c r="AN359" s="1968"/>
      <c r="AO359" s="1968"/>
      <c r="AP359" s="1968"/>
      <c r="AQ359" s="1968"/>
      <c r="AR359" s="1968"/>
      <c r="AS359" s="1968"/>
      <c r="AT359" s="1968"/>
      <c r="AU359" s="1968"/>
      <c r="AV359" s="1968"/>
      <c r="AW359" s="1968"/>
      <c r="AX359" s="1968"/>
      <c r="AY359" s="1968"/>
      <c r="AZ359" s="1968"/>
      <c r="BA359" s="1968"/>
      <c r="BB359" s="1968"/>
      <c r="BC359" s="1968"/>
      <c r="BD359" s="1968"/>
      <c r="BE359" s="1968"/>
      <c r="BF359" s="1968"/>
      <c r="BG359" s="7235"/>
    </row>
    <row customHeight="1" ht="11.25">
      <c r="A360" s="1312" t="s">
        <v>1069</v>
      </c>
      <c r="B360" s="1312"/>
      <c r="C360" s="1312"/>
      <c r="D360" s="1306"/>
      <c r="E360" s="1316"/>
      <c r="F360" s="1974"/>
      <c r="G360" s="1975"/>
      <c r="H360" s="2674" t="s">
        <v>1234</v>
      </c>
      <c r="I360" s="2675"/>
      <c r="J360" s="2644"/>
      <c r="K360" s="2676"/>
      <c r="L360" s="2266"/>
      <c r="M360" s="2267"/>
      <c r="N360" s="2667"/>
      <c r="O360" s="2668"/>
      <c r="P360" s="2670"/>
      <c r="Q360" s="8645"/>
      <c r="R360" s="2672"/>
      <c r="S360" s="2673"/>
      <c r="T360" s="2672"/>
      <c r="U360" s="2672"/>
      <c r="V360" s="2672"/>
      <c r="W360" s="2672"/>
      <c r="X360" s="2672"/>
      <c r="Y360" s="2672"/>
      <c r="Z360" s="1973"/>
      <c r="AA360" s="1939">
        <v>1</v>
      </c>
      <c r="AB360" s="1325" t="s">
        <v>1131</v>
      </c>
      <c r="AC360" s="1315">
        <v>1012</v>
      </c>
      <c r="AD360" s="1325" t="str">
        <f>AB360</f>
        <v>      Прочие амортизационные отчисления</v>
      </c>
      <c r="AE360" s="1315">
        <v>961.195</v>
      </c>
      <c r="AF360" s="2665"/>
      <c r="AG360" s="2666"/>
      <c r="AH360" s="2666"/>
      <c r="AI360" s="2665"/>
      <c r="AJ360" s="2666"/>
      <c r="AK360" s="2666"/>
      <c r="AL360" s="2131"/>
      <c r="AM360" s="1968"/>
      <c r="AN360" s="1968"/>
      <c r="AO360" s="1968"/>
      <c r="AP360" s="1968"/>
      <c r="AQ360" s="1968"/>
      <c r="AR360" s="1968"/>
      <c r="AS360" s="1968"/>
      <c r="AT360" s="1968"/>
      <c r="AU360" s="1968"/>
      <c r="AV360" s="1968"/>
      <c r="AW360" s="1968"/>
      <c r="AX360" s="1968"/>
      <c r="AY360" s="1968"/>
      <c r="AZ360" s="1968"/>
      <c r="BA360" s="1968"/>
      <c r="BB360" s="1968"/>
      <c r="BC360" s="1968"/>
      <c r="BD360" s="1968"/>
      <c r="BE360" s="1968"/>
      <c r="BF360" s="1968"/>
      <c r="BG360" s="7235"/>
    </row>
    <row customHeight="1" ht="11.25">
      <c r="A361" s="1312" t="s">
        <v>1069</v>
      </c>
      <c r="B361" s="1312"/>
      <c r="C361" s="1312"/>
      <c r="D361" s="1306"/>
      <c r="E361" s="1316"/>
      <c r="F361" s="1974"/>
      <c r="G361" s="1975"/>
      <c r="H361" s="2674" t="s">
        <v>1234</v>
      </c>
      <c r="I361" s="2675"/>
      <c r="J361" s="2644"/>
      <c r="K361" s="2676"/>
      <c r="L361" s="2266"/>
      <c r="M361" s="2267"/>
      <c r="N361" s="2667"/>
      <c r="O361" s="2668"/>
      <c r="P361" s="2671"/>
      <c r="Q361" s="8645"/>
      <c r="R361" s="2672"/>
      <c r="S361" s="2673"/>
      <c r="T361" s="2672"/>
      <c r="U361" s="2672"/>
      <c r="V361" s="2672"/>
      <c r="W361" s="2672"/>
      <c r="X361" s="2672"/>
      <c r="Y361" s="2672"/>
      <c r="Z361" s="1321"/>
      <c r="AA361" s="1322"/>
      <c r="AB361" s="1387" t="s">
        <v>1107</v>
      </c>
      <c r="AC361" s="1326"/>
      <c r="AD361" s="1326"/>
      <c r="AE361" s="1328"/>
      <c r="AF361" s="2665"/>
      <c r="AG361" s="2666"/>
      <c r="AH361" s="2666"/>
      <c r="AI361" s="2665"/>
      <c r="AJ361" s="2666"/>
      <c r="AK361" s="2666"/>
      <c r="AL361" s="2131"/>
      <c r="AM361" s="1968"/>
      <c r="AN361" s="1968"/>
      <c r="AO361" s="1968"/>
      <c r="AP361" s="1968"/>
      <c r="AQ361" s="1968"/>
      <c r="AR361" s="1968"/>
      <c r="AS361" s="1968"/>
      <c r="AT361" s="1968"/>
      <c r="AU361" s="1968"/>
      <c r="AV361" s="1968"/>
      <c r="AW361" s="1968"/>
      <c r="AX361" s="1968"/>
      <c r="AY361" s="1968"/>
      <c r="AZ361" s="1968"/>
      <c r="BA361" s="1968"/>
      <c r="BB361" s="1968"/>
      <c r="BC361" s="1968"/>
      <c r="BD361" s="1968"/>
      <c r="BE361" s="1968"/>
      <c r="BF361" s="1968"/>
      <c r="BG361" s="7235"/>
    </row>
    <row customHeight="1" ht="11.25">
      <c r="A362" s="1312" t="s">
        <v>1069</v>
      </c>
      <c r="B362" s="1312"/>
      <c r="C362" s="1312"/>
      <c r="D362" s="1306"/>
      <c r="E362" s="1316"/>
      <c r="F362" s="1974"/>
      <c r="G362" s="1975"/>
      <c r="H362" s="2674" t="s">
        <v>1234</v>
      </c>
      <c r="I362" s="2675"/>
      <c r="J362" s="2644"/>
      <c r="K362" s="2676"/>
      <c r="L362" s="2266"/>
      <c r="M362" s="2267"/>
      <c r="N362" s="1321"/>
      <c r="O362" s="1322"/>
      <c r="P362" s="1314" t="s">
        <v>1108</v>
      </c>
      <c r="Q362" s="1322"/>
      <c r="R362" s="1322"/>
      <c r="S362" s="1322"/>
      <c r="T362" s="1322"/>
      <c r="U362" s="1322"/>
      <c r="V362" s="1322"/>
      <c r="W362" s="1322"/>
      <c r="X362" s="1322"/>
      <c r="Y362" s="1322"/>
      <c r="Z362" s="1322"/>
      <c r="AA362" s="1322"/>
      <c r="AB362" s="1322"/>
      <c r="AC362" s="1322"/>
      <c r="AD362" s="1322"/>
      <c r="AE362" s="1329"/>
      <c r="AF362" s="2665"/>
      <c r="AG362" s="2666"/>
      <c r="AH362" s="2666"/>
      <c r="AI362" s="2665"/>
      <c r="AJ362" s="2666"/>
      <c r="AK362" s="2666"/>
      <c r="AL362" s="2131"/>
      <c r="AM362" s="1968"/>
      <c r="AN362" s="1968"/>
      <c r="AO362" s="1968"/>
      <c r="AP362" s="1968"/>
      <c r="AQ362" s="1968"/>
      <c r="AR362" s="1968"/>
      <c r="AS362" s="1968"/>
      <c r="AT362" s="1968"/>
      <c r="AU362" s="1968"/>
      <c r="AV362" s="1968"/>
      <c r="AW362" s="1968"/>
      <c r="AX362" s="1968"/>
      <c r="AY362" s="1968"/>
      <c r="AZ362" s="1968"/>
      <c r="BA362" s="1968"/>
      <c r="BB362" s="1968"/>
      <c r="BC362" s="1968"/>
      <c r="BD362" s="1968"/>
      <c r="BE362" s="1968"/>
      <c r="BF362" s="1968"/>
      <c r="BG362" s="7235"/>
    </row>
    <row customHeight="1" ht="11.25">
      <c r="A363" s="1312" t="s">
        <v>1069</v>
      </c>
      <c r="B363" s="1312" t="s">
        <v>1198</v>
      </c>
      <c r="C363" s="1312"/>
      <c r="D363" s="1306"/>
      <c r="E363" s="1316"/>
      <c r="F363" s="1974"/>
      <c r="G363" s="7143" t="s">
        <v>106</v>
      </c>
      <c r="H363" s="2674" t="s">
        <v>1241</v>
      </c>
      <c r="I363" s="2675" t="s">
        <v>1200</v>
      </c>
      <c r="J363" s="2644" t="s">
        <v>1206</v>
      </c>
      <c r="K363" s="2676" t="s">
        <v>1242</v>
      </c>
      <c r="L363" s="2266" t="s">
        <v>19</v>
      </c>
      <c r="M363" s="2267"/>
      <c r="N363" s="2129"/>
      <c r="O363" s="1323" t="s">
        <v>398</v>
      </c>
      <c r="P363" s="1324"/>
      <c r="Q363" s="1324"/>
      <c r="R363" s="1324"/>
      <c r="S363" s="1324"/>
      <c r="T363" s="1324"/>
      <c r="U363" s="1324"/>
      <c r="V363" s="1324"/>
      <c r="W363" s="1324"/>
      <c r="X363" s="1324"/>
      <c r="Y363" s="1324"/>
      <c r="Z363" s="1324"/>
      <c r="AA363" s="1324"/>
      <c r="AB363" s="1324"/>
      <c r="AC363" s="1324"/>
      <c r="AD363" s="1324"/>
      <c r="AE363" s="1324"/>
      <c r="AF363" s="2665">
        <v>2024</v>
      </c>
      <c r="AG363" s="2666" t="s">
        <v>1103</v>
      </c>
      <c r="AH363" s="2666" t="s">
        <v>1154</v>
      </c>
      <c r="AI363" s="2665">
        <v>2024</v>
      </c>
      <c r="AJ363" s="2666" t="s">
        <v>1103</v>
      </c>
      <c r="AK363" s="2666" t="s">
        <v>1154</v>
      </c>
      <c r="AL363" s="2131"/>
      <c r="AM363" s="1968"/>
      <c r="AN363" s="1968"/>
      <c r="AO363" s="1968"/>
      <c r="AP363" s="1968"/>
      <c r="AQ363" s="1968"/>
      <c r="AR363" s="1968"/>
      <c r="AS363" s="1968"/>
      <c r="AT363" s="1968"/>
      <c r="AU363" s="1968"/>
      <c r="AV363" s="1968"/>
      <c r="AW363" s="1968"/>
      <c r="AX363" s="1968"/>
      <c r="AY363" s="1968"/>
      <c r="AZ363" s="1968"/>
      <c r="BA363" s="1968"/>
      <c r="BB363" s="1968"/>
      <c r="BC363" s="1968"/>
      <c r="BD363" s="1968"/>
      <c r="BE363" s="1968"/>
      <c r="BF363" s="1968"/>
      <c r="BG363" s="7235"/>
    </row>
    <row customHeight="1" ht="11.25">
      <c r="A364" s="1312" t="s">
        <v>1069</v>
      </c>
      <c r="B364" s="1312"/>
      <c r="C364" s="1312"/>
      <c r="D364" s="1306"/>
      <c r="E364" s="1316"/>
      <c r="F364" s="1974"/>
      <c r="G364" s="1975"/>
      <c r="H364" s="2674" t="s">
        <v>1236</v>
      </c>
      <c r="I364" s="2675"/>
      <c r="J364" s="2644"/>
      <c r="K364" s="2676"/>
      <c r="L364" s="2266"/>
      <c r="M364" s="2267"/>
      <c r="N364" s="2667"/>
      <c r="O364" s="2668">
        <v>1</v>
      </c>
      <c r="P364" s="2669" t="s">
        <v>63</v>
      </c>
      <c r="Q364" s="8645" t="s">
        <v>128</v>
      </c>
      <c r="R364" s="8646" t="s">
        <v>1114</v>
      </c>
      <c r="S364" s="8646" t="s">
        <v>101</v>
      </c>
      <c r="T364" s="8646" t="s">
        <v>102</v>
      </c>
      <c r="U364" s="8646" t="s">
        <v>103</v>
      </c>
      <c r="V364" s="8646" t="s">
        <v>1238</v>
      </c>
      <c r="W364" s="8646" t="s">
        <v>1239</v>
      </c>
      <c r="X364" s="8646" t="s">
        <v>1240</v>
      </c>
      <c r="Y364" s="8646" t="s">
        <v>1190</v>
      </c>
      <c r="Z364" s="1321"/>
      <c r="AA364" s="1322"/>
      <c r="AB364" s="1322"/>
      <c r="AC364" s="1326"/>
      <c r="AD364" s="1326"/>
      <c r="AE364" s="1327"/>
      <c r="AF364" s="2665"/>
      <c r="AG364" s="2666"/>
      <c r="AH364" s="2666"/>
      <c r="AI364" s="2665"/>
      <c r="AJ364" s="2666"/>
      <c r="AK364" s="2666"/>
      <c r="AL364" s="2131"/>
      <c r="AM364" s="1968"/>
      <c r="AN364" s="1968"/>
      <c r="AO364" s="1968"/>
      <c r="AP364" s="1968"/>
      <c r="AQ364" s="1968"/>
      <c r="AR364" s="1968"/>
      <c r="AS364" s="1968"/>
      <c r="AT364" s="1968"/>
      <c r="AU364" s="1968"/>
      <c r="AV364" s="1968"/>
      <c r="AW364" s="1968"/>
      <c r="AX364" s="1968"/>
      <c r="AY364" s="1968"/>
      <c r="AZ364" s="1968"/>
      <c r="BA364" s="1968"/>
      <c r="BB364" s="1968"/>
      <c r="BC364" s="1968"/>
      <c r="BD364" s="1968"/>
      <c r="BE364" s="1968"/>
      <c r="BF364" s="1968"/>
      <c r="BG364" s="7235"/>
    </row>
    <row customHeight="1" ht="11.25">
      <c r="A365" s="1312" t="s">
        <v>1069</v>
      </c>
      <c r="B365" s="1312"/>
      <c r="C365" s="1312"/>
      <c r="D365" s="1306"/>
      <c r="E365" s="1316"/>
      <c r="F365" s="1974"/>
      <c r="G365" s="1975"/>
      <c r="H365" s="2674" t="s">
        <v>1236</v>
      </c>
      <c r="I365" s="2675"/>
      <c r="J365" s="2644"/>
      <c r="K365" s="2676"/>
      <c r="L365" s="2266"/>
      <c r="M365" s="2267"/>
      <c r="N365" s="2667"/>
      <c r="O365" s="2668"/>
      <c r="P365" s="2670"/>
      <c r="Q365" s="8645"/>
      <c r="R365" s="2672"/>
      <c r="S365" s="2673"/>
      <c r="T365" s="2672"/>
      <c r="U365" s="2672"/>
      <c r="V365" s="2672"/>
      <c r="W365" s="2672"/>
      <c r="X365" s="2672"/>
      <c r="Y365" s="2672"/>
      <c r="Z365" s="1973"/>
      <c r="AA365" s="1939">
        <v>1</v>
      </c>
      <c r="AB365" s="1325" t="s">
        <v>1131</v>
      </c>
      <c r="AC365" s="1315">
        <v>925</v>
      </c>
      <c r="AD365" s="1325" t="str">
        <f>AB365</f>
        <v>      Прочие амортизационные отчисления</v>
      </c>
      <c r="AE365" s="1315">
        <v>925.3344</v>
      </c>
      <c r="AF365" s="2665"/>
      <c r="AG365" s="2666"/>
      <c r="AH365" s="2666"/>
      <c r="AI365" s="2665"/>
      <c r="AJ365" s="2666"/>
      <c r="AK365" s="2666"/>
      <c r="AL365" s="2131"/>
      <c r="AM365" s="1968"/>
      <c r="AN365" s="1968"/>
      <c r="AO365" s="1968"/>
      <c r="AP365" s="1968"/>
      <c r="AQ365" s="1968"/>
      <c r="AR365" s="1968"/>
      <c r="AS365" s="1968"/>
      <c r="AT365" s="1968"/>
      <c r="AU365" s="1968"/>
      <c r="AV365" s="1968"/>
      <c r="AW365" s="1968"/>
      <c r="AX365" s="1968"/>
      <c r="AY365" s="1968"/>
      <c r="AZ365" s="1968"/>
      <c r="BA365" s="1968"/>
      <c r="BB365" s="1968"/>
      <c r="BC365" s="1968"/>
      <c r="BD365" s="1968"/>
      <c r="BE365" s="1968"/>
      <c r="BF365" s="1968"/>
      <c r="BG365" s="7235"/>
    </row>
    <row customHeight="1" ht="11.25">
      <c r="A366" s="1312" t="s">
        <v>1069</v>
      </c>
      <c r="B366" s="1312"/>
      <c r="C366" s="1312"/>
      <c r="D366" s="1306"/>
      <c r="E366" s="1316"/>
      <c r="F366" s="1974"/>
      <c r="G366" s="1975"/>
      <c r="H366" s="2674" t="s">
        <v>1236</v>
      </c>
      <c r="I366" s="2675"/>
      <c r="J366" s="2644"/>
      <c r="K366" s="2676"/>
      <c r="L366" s="2266"/>
      <c r="M366" s="2267"/>
      <c r="N366" s="2667"/>
      <c r="O366" s="2668"/>
      <c r="P366" s="2671"/>
      <c r="Q366" s="8645"/>
      <c r="R366" s="2672"/>
      <c r="S366" s="2673"/>
      <c r="T366" s="2672"/>
      <c r="U366" s="2672"/>
      <c r="V366" s="2672"/>
      <c r="W366" s="2672"/>
      <c r="X366" s="2672"/>
      <c r="Y366" s="2672"/>
      <c r="Z366" s="1321"/>
      <c r="AA366" s="1322"/>
      <c r="AB366" s="1387" t="s">
        <v>1107</v>
      </c>
      <c r="AC366" s="1326"/>
      <c r="AD366" s="1326"/>
      <c r="AE366" s="1328"/>
      <c r="AF366" s="2665"/>
      <c r="AG366" s="2666"/>
      <c r="AH366" s="2666"/>
      <c r="AI366" s="2665"/>
      <c r="AJ366" s="2666"/>
      <c r="AK366" s="2666"/>
      <c r="AL366" s="2131"/>
      <c r="AM366" s="1968"/>
      <c r="AN366" s="1968"/>
      <c r="AO366" s="1968"/>
      <c r="AP366" s="1968"/>
      <c r="AQ366" s="1968"/>
      <c r="AR366" s="1968"/>
      <c r="AS366" s="1968"/>
      <c r="AT366" s="1968"/>
      <c r="AU366" s="1968"/>
      <c r="AV366" s="1968"/>
      <c r="AW366" s="1968"/>
      <c r="AX366" s="1968"/>
      <c r="AY366" s="1968"/>
      <c r="AZ366" s="1968"/>
      <c r="BA366" s="1968"/>
      <c r="BB366" s="1968"/>
      <c r="BC366" s="1968"/>
      <c r="BD366" s="1968"/>
      <c r="BE366" s="1968"/>
      <c r="BF366" s="1968"/>
      <c r="BG366" s="7235"/>
    </row>
    <row customHeight="1" ht="11.25">
      <c r="A367" s="1312" t="s">
        <v>1069</v>
      </c>
      <c r="B367" s="1312"/>
      <c r="C367" s="1312"/>
      <c r="D367" s="1306"/>
      <c r="E367" s="1316"/>
      <c r="F367" s="1974"/>
      <c r="G367" s="1975"/>
      <c r="H367" s="2674" t="s">
        <v>1236</v>
      </c>
      <c r="I367" s="2675"/>
      <c r="J367" s="2644"/>
      <c r="K367" s="2676"/>
      <c r="L367" s="2266"/>
      <c r="M367" s="2267"/>
      <c r="N367" s="1321"/>
      <c r="O367" s="1322"/>
      <c r="P367" s="1314" t="s">
        <v>1108</v>
      </c>
      <c r="Q367" s="1322"/>
      <c r="R367" s="1322"/>
      <c r="S367" s="1322"/>
      <c r="T367" s="1322"/>
      <c r="U367" s="1322"/>
      <c r="V367" s="1322"/>
      <c r="W367" s="1322"/>
      <c r="X367" s="1322"/>
      <c r="Y367" s="1322"/>
      <c r="Z367" s="1322"/>
      <c r="AA367" s="1322"/>
      <c r="AB367" s="1322"/>
      <c r="AC367" s="1322"/>
      <c r="AD367" s="1322"/>
      <c r="AE367" s="1329"/>
      <c r="AF367" s="2665"/>
      <c r="AG367" s="2666"/>
      <c r="AH367" s="2666"/>
      <c r="AI367" s="2665"/>
      <c r="AJ367" s="2666"/>
      <c r="AK367" s="2666"/>
      <c r="AL367" s="2131"/>
      <c r="AM367" s="1968"/>
      <c r="AN367" s="1968"/>
      <c r="AO367" s="1968"/>
      <c r="AP367" s="1968"/>
      <c r="AQ367" s="1968"/>
      <c r="AR367" s="1968"/>
      <c r="AS367" s="1968"/>
      <c r="AT367" s="1968"/>
      <c r="AU367" s="1968"/>
      <c r="AV367" s="1968"/>
      <c r="AW367" s="1968"/>
      <c r="AX367" s="1968"/>
      <c r="AY367" s="1968"/>
      <c r="AZ367" s="1968"/>
      <c r="BA367" s="1968"/>
      <c r="BB367" s="1968"/>
      <c r="BC367" s="1968"/>
      <c r="BD367" s="1968"/>
      <c r="BE367" s="1968"/>
      <c r="BF367" s="1968"/>
      <c r="BG367" s="7235"/>
    </row>
    <row customHeight="1" ht="11.25">
      <c r="A368" s="1312" t="s">
        <v>1069</v>
      </c>
      <c r="B368" s="1312" t="s">
        <v>1198</v>
      </c>
      <c r="C368" s="1312"/>
      <c r="D368" s="1306"/>
      <c r="E368" s="1316"/>
      <c r="F368" s="1974"/>
      <c r="G368" s="7143" t="s">
        <v>106</v>
      </c>
      <c r="H368" s="2674" t="s">
        <v>1243</v>
      </c>
      <c r="I368" s="2675" t="s">
        <v>1200</v>
      </c>
      <c r="J368" s="2644" t="s">
        <v>1206</v>
      </c>
      <c r="K368" s="2676" t="s">
        <v>1244</v>
      </c>
      <c r="L368" s="2266" t="s">
        <v>19</v>
      </c>
      <c r="M368" s="2267"/>
      <c r="N368" s="2129"/>
      <c r="O368" s="1323" t="s">
        <v>398</v>
      </c>
      <c r="P368" s="1324"/>
      <c r="Q368" s="1324"/>
      <c r="R368" s="1324"/>
      <c r="S368" s="1324"/>
      <c r="T368" s="1324"/>
      <c r="U368" s="1324"/>
      <c r="V368" s="1324"/>
      <c r="W368" s="1324"/>
      <c r="X368" s="1324"/>
      <c r="Y368" s="1324"/>
      <c r="Z368" s="1324"/>
      <c r="AA368" s="1324"/>
      <c r="AB368" s="1324"/>
      <c r="AC368" s="1324"/>
      <c r="AD368" s="1324"/>
      <c r="AE368" s="1324"/>
      <c r="AF368" s="2665">
        <v>2024</v>
      </c>
      <c r="AG368" s="2666" t="s">
        <v>1103</v>
      </c>
      <c r="AH368" s="2666" t="s">
        <v>1154</v>
      </c>
      <c r="AI368" s="2665">
        <v>2024</v>
      </c>
      <c r="AJ368" s="2666" t="s">
        <v>1103</v>
      </c>
      <c r="AK368" s="2666" t="s">
        <v>1154</v>
      </c>
      <c r="AL368" s="2131"/>
      <c r="AM368" s="1968"/>
      <c r="AN368" s="1968"/>
      <c r="AO368" s="1968"/>
      <c r="AP368" s="1968"/>
      <c r="AQ368" s="1968"/>
      <c r="AR368" s="1968"/>
      <c r="AS368" s="1968"/>
      <c r="AT368" s="1968"/>
      <c r="AU368" s="1968"/>
      <c r="AV368" s="1968"/>
      <c r="AW368" s="1968"/>
      <c r="AX368" s="1968"/>
      <c r="AY368" s="1968"/>
      <c r="AZ368" s="1968"/>
      <c r="BA368" s="1968"/>
      <c r="BB368" s="1968"/>
      <c r="BC368" s="1968"/>
      <c r="BD368" s="1968"/>
      <c r="BE368" s="1968"/>
      <c r="BF368" s="1968"/>
      <c r="BG368" s="7235"/>
    </row>
    <row customHeight="1" ht="11.25">
      <c r="A369" s="1312" t="s">
        <v>1069</v>
      </c>
      <c r="B369" s="1312"/>
      <c r="C369" s="1312"/>
      <c r="D369" s="1306"/>
      <c r="E369" s="1316"/>
      <c r="F369" s="1974"/>
      <c r="G369" s="1975"/>
      <c r="H369" s="2674" t="s">
        <v>1241</v>
      </c>
      <c r="I369" s="2675"/>
      <c r="J369" s="2644"/>
      <c r="K369" s="2676"/>
      <c r="L369" s="2266"/>
      <c r="M369" s="2267"/>
      <c r="N369" s="2667"/>
      <c r="O369" s="2668">
        <v>1</v>
      </c>
      <c r="P369" s="2669" t="s">
        <v>63</v>
      </c>
      <c r="Q369" s="8645" t="s">
        <v>128</v>
      </c>
      <c r="R369" s="8646" t="s">
        <v>1114</v>
      </c>
      <c r="S369" s="8646" t="s">
        <v>101</v>
      </c>
      <c r="T369" s="8646" t="s">
        <v>102</v>
      </c>
      <c r="U369" s="8646" t="s">
        <v>103</v>
      </c>
      <c r="V369" s="8646" t="s">
        <v>1238</v>
      </c>
      <c r="W369" s="8646" t="s">
        <v>1239</v>
      </c>
      <c r="X369" s="8646" t="s">
        <v>1240</v>
      </c>
      <c r="Y369" s="8646" t="s">
        <v>1190</v>
      </c>
      <c r="Z369" s="1321"/>
      <c r="AA369" s="1322"/>
      <c r="AB369" s="1322"/>
      <c r="AC369" s="1326"/>
      <c r="AD369" s="1326"/>
      <c r="AE369" s="1327"/>
      <c r="AF369" s="2665"/>
      <c r="AG369" s="2666"/>
      <c r="AH369" s="2666"/>
      <c r="AI369" s="2665"/>
      <c r="AJ369" s="2666"/>
      <c r="AK369" s="2666"/>
      <c r="AL369" s="2131"/>
      <c r="AM369" s="1968"/>
      <c r="AN369" s="1968"/>
      <c r="AO369" s="1968"/>
      <c r="AP369" s="1968"/>
      <c r="AQ369" s="1968"/>
      <c r="AR369" s="1968"/>
      <c r="AS369" s="1968"/>
      <c r="AT369" s="1968"/>
      <c r="AU369" s="1968"/>
      <c r="AV369" s="1968"/>
      <c r="AW369" s="1968"/>
      <c r="AX369" s="1968"/>
      <c r="AY369" s="1968"/>
      <c r="AZ369" s="1968"/>
      <c r="BA369" s="1968"/>
      <c r="BB369" s="1968"/>
      <c r="BC369" s="1968"/>
      <c r="BD369" s="1968"/>
      <c r="BE369" s="1968"/>
      <c r="BF369" s="1968"/>
      <c r="BG369" s="7235"/>
    </row>
    <row customHeight="1" ht="11.25">
      <c r="A370" s="1312" t="s">
        <v>1069</v>
      </c>
      <c r="B370" s="1312"/>
      <c r="C370" s="1312"/>
      <c r="D370" s="1306"/>
      <c r="E370" s="1316"/>
      <c r="F370" s="1974"/>
      <c r="G370" s="1975"/>
      <c r="H370" s="2674" t="s">
        <v>1241</v>
      </c>
      <c r="I370" s="2675"/>
      <c r="J370" s="2644"/>
      <c r="K370" s="2676"/>
      <c r="L370" s="2266"/>
      <c r="M370" s="2267"/>
      <c r="N370" s="2667"/>
      <c r="O370" s="2668"/>
      <c r="P370" s="2670"/>
      <c r="Q370" s="8645"/>
      <c r="R370" s="2672"/>
      <c r="S370" s="2673"/>
      <c r="T370" s="2672"/>
      <c r="U370" s="2672"/>
      <c r="V370" s="2672"/>
      <c r="W370" s="2672"/>
      <c r="X370" s="2672"/>
      <c r="Y370" s="2672"/>
      <c r="Z370" s="1973"/>
      <c r="AA370" s="1939">
        <v>1</v>
      </c>
      <c r="AB370" s="1325" t="s">
        <v>1131</v>
      </c>
      <c r="AC370" s="1315">
        <v>465</v>
      </c>
      <c r="AD370" s="1325" t="str">
        <f>AB370</f>
        <v>      Прочие амортизационные отчисления</v>
      </c>
      <c r="AE370" s="1315">
        <v>465</v>
      </c>
      <c r="AF370" s="2665"/>
      <c r="AG370" s="2666"/>
      <c r="AH370" s="2666"/>
      <c r="AI370" s="2665"/>
      <c r="AJ370" s="2666"/>
      <c r="AK370" s="2666"/>
      <c r="AL370" s="2131"/>
      <c r="AM370" s="1968"/>
      <c r="AN370" s="1968"/>
      <c r="AO370" s="1968"/>
      <c r="AP370" s="1968"/>
      <c r="AQ370" s="1968"/>
      <c r="AR370" s="1968"/>
      <c r="AS370" s="1968"/>
      <c r="AT370" s="1968"/>
      <c r="AU370" s="1968"/>
      <c r="AV370" s="1968"/>
      <c r="AW370" s="1968"/>
      <c r="AX370" s="1968"/>
      <c r="AY370" s="1968"/>
      <c r="AZ370" s="1968"/>
      <c r="BA370" s="1968"/>
      <c r="BB370" s="1968"/>
      <c r="BC370" s="1968"/>
      <c r="BD370" s="1968"/>
      <c r="BE370" s="1968"/>
      <c r="BF370" s="1968"/>
      <c r="BG370" s="7235"/>
    </row>
    <row customHeight="1" ht="11.25">
      <c r="A371" s="1312" t="s">
        <v>1069</v>
      </c>
      <c r="B371" s="1312"/>
      <c r="C371" s="1312"/>
      <c r="D371" s="1306"/>
      <c r="E371" s="1316"/>
      <c r="F371" s="1974"/>
      <c r="G371" s="1975"/>
      <c r="H371" s="2674" t="s">
        <v>1241</v>
      </c>
      <c r="I371" s="2675"/>
      <c r="J371" s="2644"/>
      <c r="K371" s="2676"/>
      <c r="L371" s="2266"/>
      <c r="M371" s="2267"/>
      <c r="N371" s="2667"/>
      <c r="O371" s="2668"/>
      <c r="P371" s="2671"/>
      <c r="Q371" s="8645"/>
      <c r="R371" s="2672"/>
      <c r="S371" s="2673"/>
      <c r="T371" s="2672"/>
      <c r="U371" s="2672"/>
      <c r="V371" s="2672"/>
      <c r="W371" s="2672"/>
      <c r="X371" s="2672"/>
      <c r="Y371" s="2672"/>
      <c r="Z371" s="1321"/>
      <c r="AA371" s="1322"/>
      <c r="AB371" s="1387" t="s">
        <v>1107</v>
      </c>
      <c r="AC371" s="1326"/>
      <c r="AD371" s="1326"/>
      <c r="AE371" s="1328"/>
      <c r="AF371" s="2665"/>
      <c r="AG371" s="2666"/>
      <c r="AH371" s="2666"/>
      <c r="AI371" s="2665"/>
      <c r="AJ371" s="2666"/>
      <c r="AK371" s="2666"/>
      <c r="AL371" s="2131"/>
      <c r="AM371" s="1968"/>
      <c r="AN371" s="1968"/>
      <c r="AO371" s="1968"/>
      <c r="AP371" s="1968"/>
      <c r="AQ371" s="1968"/>
      <c r="AR371" s="1968"/>
      <c r="AS371" s="1968"/>
      <c r="AT371" s="1968"/>
      <c r="AU371" s="1968"/>
      <c r="AV371" s="1968"/>
      <c r="AW371" s="1968"/>
      <c r="AX371" s="1968"/>
      <c r="AY371" s="1968"/>
      <c r="AZ371" s="1968"/>
      <c r="BA371" s="1968"/>
      <c r="BB371" s="1968"/>
      <c r="BC371" s="1968"/>
      <c r="BD371" s="1968"/>
      <c r="BE371" s="1968"/>
      <c r="BF371" s="1968"/>
      <c r="BG371" s="7235"/>
    </row>
    <row customHeight="1" ht="11.25">
      <c r="A372" s="1312" t="s">
        <v>1069</v>
      </c>
      <c r="B372" s="1312"/>
      <c r="C372" s="1312"/>
      <c r="D372" s="1306"/>
      <c r="E372" s="1316"/>
      <c r="F372" s="1974"/>
      <c r="G372" s="1975"/>
      <c r="H372" s="2674" t="s">
        <v>1241</v>
      </c>
      <c r="I372" s="2675"/>
      <c r="J372" s="2644"/>
      <c r="K372" s="2676"/>
      <c r="L372" s="2266"/>
      <c r="M372" s="2267"/>
      <c r="N372" s="1321"/>
      <c r="O372" s="1322"/>
      <c r="P372" s="1314" t="s">
        <v>1108</v>
      </c>
      <c r="Q372" s="1322"/>
      <c r="R372" s="1322"/>
      <c r="S372" s="1322"/>
      <c r="T372" s="1322"/>
      <c r="U372" s="1322"/>
      <c r="V372" s="1322"/>
      <c r="W372" s="1322"/>
      <c r="X372" s="1322"/>
      <c r="Y372" s="1322"/>
      <c r="Z372" s="1322"/>
      <c r="AA372" s="1322"/>
      <c r="AB372" s="1322"/>
      <c r="AC372" s="1322"/>
      <c r="AD372" s="1322"/>
      <c r="AE372" s="1329"/>
      <c r="AF372" s="2665"/>
      <c r="AG372" s="2666"/>
      <c r="AH372" s="2666"/>
      <c r="AI372" s="2665"/>
      <c r="AJ372" s="2666"/>
      <c r="AK372" s="2666"/>
      <c r="AL372" s="2131"/>
      <c r="AM372" s="1968"/>
      <c r="AN372" s="1968"/>
      <c r="AO372" s="1968"/>
      <c r="AP372" s="1968"/>
      <c r="AQ372" s="1968"/>
      <c r="AR372" s="1968"/>
      <c r="AS372" s="1968"/>
      <c r="AT372" s="1968"/>
      <c r="AU372" s="1968"/>
      <c r="AV372" s="1968"/>
      <c r="AW372" s="1968"/>
      <c r="AX372" s="1968"/>
      <c r="AY372" s="1968"/>
      <c r="AZ372" s="1968"/>
      <c r="BA372" s="1968"/>
      <c r="BB372" s="1968"/>
      <c r="BC372" s="1968"/>
      <c r="BD372" s="1968"/>
      <c r="BE372" s="1968"/>
      <c r="BF372" s="1968"/>
      <c r="BG372" s="7235"/>
    </row>
    <row customHeight="1" ht="11.25">
      <c r="A373" s="1312" t="s">
        <v>1069</v>
      </c>
      <c r="B373" s="1312" t="s">
        <v>1198</v>
      </c>
      <c r="C373" s="1312"/>
      <c r="D373" s="1306"/>
      <c r="E373" s="1316"/>
      <c r="F373" s="1974"/>
      <c r="G373" s="7143" t="s">
        <v>106</v>
      </c>
      <c r="H373" s="2674" t="s">
        <v>1245</v>
      </c>
      <c r="I373" s="2675" t="s">
        <v>1200</v>
      </c>
      <c r="J373" s="2644" t="s">
        <v>1206</v>
      </c>
      <c r="K373" s="2676" t="s">
        <v>1246</v>
      </c>
      <c r="L373" s="2266" t="s">
        <v>19</v>
      </c>
      <c r="M373" s="2267"/>
      <c r="N373" s="2129"/>
      <c r="O373" s="1323" t="s">
        <v>398</v>
      </c>
      <c r="P373" s="1324"/>
      <c r="Q373" s="1324"/>
      <c r="R373" s="1324"/>
      <c r="S373" s="1324"/>
      <c r="T373" s="1324"/>
      <c r="U373" s="1324"/>
      <c r="V373" s="1324"/>
      <c r="W373" s="1324"/>
      <c r="X373" s="1324"/>
      <c r="Y373" s="1324"/>
      <c r="Z373" s="1324"/>
      <c r="AA373" s="1324"/>
      <c r="AB373" s="1324"/>
      <c r="AC373" s="1324"/>
      <c r="AD373" s="1324"/>
      <c r="AE373" s="1324"/>
      <c r="AF373" s="2665">
        <v>2024</v>
      </c>
      <c r="AG373" s="2666" t="s">
        <v>1103</v>
      </c>
      <c r="AH373" s="2666" t="s">
        <v>1154</v>
      </c>
      <c r="AI373" s="2665">
        <v>2024</v>
      </c>
      <c r="AJ373" s="2666" t="s">
        <v>1103</v>
      </c>
      <c r="AK373" s="2666" t="s">
        <v>1154</v>
      </c>
      <c r="AL373" s="2131"/>
      <c r="AM373" s="1968"/>
      <c r="AN373" s="1968"/>
      <c r="AO373" s="1968"/>
      <c r="AP373" s="1968"/>
      <c r="AQ373" s="1968"/>
      <c r="AR373" s="1968"/>
      <c r="AS373" s="1968"/>
      <c r="AT373" s="1968"/>
      <c r="AU373" s="1968"/>
      <c r="AV373" s="1968"/>
      <c r="AW373" s="1968"/>
      <c r="AX373" s="1968"/>
      <c r="AY373" s="1968"/>
      <c r="AZ373" s="1968"/>
      <c r="BA373" s="1968"/>
      <c r="BB373" s="1968"/>
      <c r="BC373" s="1968"/>
      <c r="BD373" s="1968"/>
      <c r="BE373" s="1968"/>
      <c r="BF373" s="1968"/>
      <c r="BG373" s="7235"/>
    </row>
    <row customHeight="1" ht="11.25">
      <c r="A374" s="1312" t="s">
        <v>1069</v>
      </c>
      <c r="B374" s="1312"/>
      <c r="C374" s="1312"/>
      <c r="D374" s="1306"/>
      <c r="E374" s="1316"/>
      <c r="F374" s="1974"/>
      <c r="G374" s="1975"/>
      <c r="H374" s="2674" t="s">
        <v>1243</v>
      </c>
      <c r="I374" s="2675"/>
      <c r="J374" s="2644"/>
      <c r="K374" s="2676"/>
      <c r="L374" s="2266"/>
      <c r="M374" s="2267"/>
      <c r="N374" s="2667"/>
      <c r="O374" s="2668">
        <v>1</v>
      </c>
      <c r="P374" s="2669" t="s">
        <v>19</v>
      </c>
      <c r="Q374" s="8649" t="s">
        <v>22</v>
      </c>
      <c r="R374" s="8649" t="s">
        <v>22</v>
      </c>
      <c r="S374" s="8649" t="s">
        <v>22</v>
      </c>
      <c r="T374" s="8649" t="s">
        <v>22</v>
      </c>
      <c r="U374" s="8649" t="s">
        <v>22</v>
      </c>
      <c r="V374" s="8649" t="s">
        <v>22</v>
      </c>
      <c r="W374" s="8649" t="s">
        <v>22</v>
      </c>
      <c r="X374" s="8649" t="s">
        <v>22</v>
      </c>
      <c r="Y374" s="8649" t="s">
        <v>22</v>
      </c>
      <c r="Z374" s="1321"/>
      <c r="AA374" s="1322"/>
      <c r="AB374" s="1322"/>
      <c r="AC374" s="1326"/>
      <c r="AD374" s="1326"/>
      <c r="AE374" s="1327"/>
      <c r="AF374" s="2665"/>
      <c r="AG374" s="2666"/>
      <c r="AH374" s="2666"/>
      <c r="AI374" s="2665"/>
      <c r="AJ374" s="2666"/>
      <c r="AK374" s="2666"/>
      <c r="AL374" s="2131"/>
      <c r="AM374" s="1968"/>
      <c r="AN374" s="1968"/>
      <c r="AO374" s="1968"/>
      <c r="AP374" s="1968"/>
      <c r="AQ374" s="1968"/>
      <c r="AR374" s="1968"/>
      <c r="AS374" s="1968"/>
      <c r="AT374" s="1968"/>
      <c r="AU374" s="1968"/>
      <c r="AV374" s="1968"/>
      <c r="AW374" s="1968"/>
      <c r="AX374" s="1968"/>
      <c r="AY374" s="1968"/>
      <c r="AZ374" s="1968"/>
      <c r="BA374" s="1968"/>
      <c r="BB374" s="1968"/>
      <c r="BC374" s="1968"/>
      <c r="BD374" s="1968"/>
      <c r="BE374" s="1968"/>
      <c r="BF374" s="1968"/>
      <c r="BG374" s="7235"/>
    </row>
    <row customHeight="1" ht="11.25">
      <c r="A375" s="1312" t="s">
        <v>1069</v>
      </c>
      <c r="B375" s="1312"/>
      <c r="C375" s="1312"/>
      <c r="D375" s="1306"/>
      <c r="E375" s="1316"/>
      <c r="F375" s="1974"/>
      <c r="G375" s="1975"/>
      <c r="H375" s="2674" t="s">
        <v>1243</v>
      </c>
      <c r="I375" s="2675"/>
      <c r="J375" s="2644"/>
      <c r="K375" s="2676"/>
      <c r="L375" s="2266"/>
      <c r="M375" s="2267"/>
      <c r="N375" s="2667"/>
      <c r="O375" s="2668"/>
      <c r="P375" s="2670"/>
      <c r="Q375" s="8645"/>
      <c r="R375" s="2672"/>
      <c r="S375" s="2673"/>
      <c r="T375" s="2672"/>
      <c r="U375" s="2672"/>
      <c r="V375" s="2672"/>
      <c r="W375" s="2672"/>
      <c r="X375" s="2672"/>
      <c r="Y375" s="2672"/>
      <c r="Z375" s="1973"/>
      <c r="AA375" s="1939">
        <v>1</v>
      </c>
      <c r="AB375" s="1325" t="s">
        <v>1131</v>
      </c>
      <c r="AC375" s="1315">
        <v>779</v>
      </c>
      <c r="AD375" s="1325" t="str">
        <f>AB375</f>
        <v>      Прочие амортизационные отчисления</v>
      </c>
      <c r="AE375" s="1315">
        <v>803.916186666667</v>
      </c>
      <c r="AF375" s="2665"/>
      <c r="AG375" s="2666"/>
      <c r="AH375" s="2666"/>
      <c r="AI375" s="2665"/>
      <c r="AJ375" s="2666"/>
      <c r="AK375" s="2666"/>
      <c r="AL375" s="2131"/>
      <c r="AM375" s="1968"/>
      <c r="AN375" s="1968"/>
      <c r="AO375" s="1968"/>
      <c r="AP375" s="1968"/>
      <c r="AQ375" s="1968"/>
      <c r="AR375" s="1968"/>
      <c r="AS375" s="1968"/>
      <c r="AT375" s="1968"/>
      <c r="AU375" s="1968"/>
      <c r="AV375" s="1968"/>
      <c r="AW375" s="1968"/>
      <c r="AX375" s="1968"/>
      <c r="AY375" s="1968"/>
      <c r="AZ375" s="1968"/>
      <c r="BA375" s="1968"/>
      <c r="BB375" s="1968"/>
      <c r="BC375" s="1968"/>
      <c r="BD375" s="1968"/>
      <c r="BE375" s="1968"/>
      <c r="BF375" s="1968"/>
      <c r="BG375" s="7235"/>
    </row>
    <row customHeight="1" ht="11.25">
      <c r="A376" s="1312" t="s">
        <v>1069</v>
      </c>
      <c r="B376" s="1312"/>
      <c r="C376" s="1312"/>
      <c r="D376" s="1306"/>
      <c r="E376" s="1316"/>
      <c r="F376" s="1974"/>
      <c r="G376" s="1975"/>
      <c r="H376" s="2674" t="s">
        <v>1243</v>
      </c>
      <c r="I376" s="2675"/>
      <c r="J376" s="2644"/>
      <c r="K376" s="2676"/>
      <c r="L376" s="2266"/>
      <c r="M376" s="2267"/>
      <c r="N376" s="2667"/>
      <c r="O376" s="2668"/>
      <c r="P376" s="2671"/>
      <c r="Q376" s="8645"/>
      <c r="R376" s="2672"/>
      <c r="S376" s="2673"/>
      <c r="T376" s="2672"/>
      <c r="U376" s="2672"/>
      <c r="V376" s="2672"/>
      <c r="W376" s="2672"/>
      <c r="X376" s="2672"/>
      <c r="Y376" s="2672"/>
      <c r="Z376" s="1321"/>
      <c r="AA376" s="1322"/>
      <c r="AB376" s="1387" t="s">
        <v>1107</v>
      </c>
      <c r="AC376" s="1326"/>
      <c r="AD376" s="1326"/>
      <c r="AE376" s="1328"/>
      <c r="AF376" s="2665"/>
      <c r="AG376" s="2666"/>
      <c r="AH376" s="2666"/>
      <c r="AI376" s="2665"/>
      <c r="AJ376" s="2666"/>
      <c r="AK376" s="2666"/>
      <c r="AL376" s="2131"/>
      <c r="AM376" s="1968"/>
      <c r="AN376" s="1968"/>
      <c r="AO376" s="1968"/>
      <c r="AP376" s="1968"/>
      <c r="AQ376" s="1968"/>
      <c r="AR376" s="1968"/>
      <c r="AS376" s="1968"/>
      <c r="AT376" s="1968"/>
      <c r="AU376" s="1968"/>
      <c r="AV376" s="1968"/>
      <c r="AW376" s="1968"/>
      <c r="AX376" s="1968"/>
      <c r="AY376" s="1968"/>
      <c r="AZ376" s="1968"/>
      <c r="BA376" s="1968"/>
      <c r="BB376" s="1968"/>
      <c r="BC376" s="1968"/>
      <c r="BD376" s="1968"/>
      <c r="BE376" s="1968"/>
      <c r="BF376" s="1968"/>
      <c r="BG376" s="7235"/>
    </row>
    <row customHeight="1" ht="11.25">
      <c r="A377" s="1312" t="s">
        <v>1069</v>
      </c>
      <c r="B377" s="1312"/>
      <c r="C377" s="1312"/>
      <c r="D377" s="1306"/>
      <c r="E377" s="1316"/>
      <c r="F377" s="1974"/>
      <c r="G377" s="1975"/>
      <c r="H377" s="2674" t="s">
        <v>1243</v>
      </c>
      <c r="I377" s="2675"/>
      <c r="J377" s="2644"/>
      <c r="K377" s="2676"/>
      <c r="L377" s="2266"/>
      <c r="M377" s="2267"/>
      <c r="N377" s="1321"/>
      <c r="O377" s="1322"/>
      <c r="P377" s="1314" t="s">
        <v>1108</v>
      </c>
      <c r="Q377" s="1322"/>
      <c r="R377" s="1322"/>
      <c r="S377" s="1322"/>
      <c r="T377" s="1322"/>
      <c r="U377" s="1322"/>
      <c r="V377" s="1322"/>
      <c r="W377" s="1322"/>
      <c r="X377" s="1322"/>
      <c r="Y377" s="1322"/>
      <c r="Z377" s="1322"/>
      <c r="AA377" s="1322"/>
      <c r="AB377" s="1322"/>
      <c r="AC377" s="1322"/>
      <c r="AD377" s="1322"/>
      <c r="AE377" s="1329"/>
      <c r="AF377" s="2665"/>
      <c r="AG377" s="2666"/>
      <c r="AH377" s="2666"/>
      <c r="AI377" s="2665"/>
      <c r="AJ377" s="2666"/>
      <c r="AK377" s="2666"/>
      <c r="AL377" s="2131"/>
      <c r="AM377" s="1968"/>
      <c r="AN377" s="1968"/>
      <c r="AO377" s="1968"/>
      <c r="AP377" s="1968"/>
      <c r="AQ377" s="1968"/>
      <c r="AR377" s="1968"/>
      <c r="AS377" s="1968"/>
      <c r="AT377" s="1968"/>
      <c r="AU377" s="1968"/>
      <c r="AV377" s="1968"/>
      <c r="AW377" s="1968"/>
      <c r="AX377" s="1968"/>
      <c r="AY377" s="1968"/>
      <c r="AZ377" s="1968"/>
      <c r="BA377" s="1968"/>
      <c r="BB377" s="1968"/>
      <c r="BC377" s="1968"/>
      <c r="BD377" s="1968"/>
      <c r="BE377" s="1968"/>
      <c r="BF377" s="1968"/>
      <c r="BG377" s="7235"/>
    </row>
    <row customHeight="1" ht="11.25">
      <c r="A378" s="1312" t="s">
        <v>1069</v>
      </c>
      <c r="B378" s="1312" t="s">
        <v>1198</v>
      </c>
      <c r="C378" s="1312"/>
      <c r="D378" s="1306"/>
      <c r="E378" s="1316"/>
      <c r="F378" s="1974"/>
      <c r="G378" s="7143" t="s">
        <v>106</v>
      </c>
      <c r="H378" s="2674" t="s">
        <v>1247</v>
      </c>
      <c r="I378" s="2675" t="s">
        <v>1200</v>
      </c>
      <c r="J378" s="2644" t="s">
        <v>1206</v>
      </c>
      <c r="K378" s="2676" t="s">
        <v>1248</v>
      </c>
      <c r="L378" s="2266" t="s">
        <v>19</v>
      </c>
      <c r="M378" s="2267"/>
      <c r="N378" s="2129"/>
      <c r="O378" s="1323" t="s">
        <v>398</v>
      </c>
      <c r="P378" s="1324"/>
      <c r="Q378" s="1324"/>
      <c r="R378" s="1324"/>
      <c r="S378" s="1324"/>
      <c r="T378" s="1324"/>
      <c r="U378" s="1324"/>
      <c r="V378" s="1324"/>
      <c r="W378" s="1324"/>
      <c r="X378" s="1324"/>
      <c r="Y378" s="1324"/>
      <c r="Z378" s="1324"/>
      <c r="AA378" s="1324"/>
      <c r="AB378" s="1324"/>
      <c r="AC378" s="1324"/>
      <c r="AD378" s="1324"/>
      <c r="AE378" s="1324"/>
      <c r="AF378" s="2665">
        <v>2028</v>
      </c>
      <c r="AG378" s="2666" t="s">
        <v>1103</v>
      </c>
      <c r="AH378" s="2666" t="s">
        <v>1228</v>
      </c>
      <c r="AI378" s="8647"/>
      <c r="AJ378" s="2666" t="s">
        <v>1105</v>
      </c>
      <c r="AK378" s="2666" t="s">
        <v>1105</v>
      </c>
      <c r="AL378" s="2131"/>
      <c r="AM378" s="1968"/>
      <c r="AN378" s="1968"/>
      <c r="AO378" s="1968"/>
      <c r="AP378" s="1968"/>
      <c r="AQ378" s="1968"/>
      <c r="AR378" s="1968"/>
      <c r="AS378" s="1968"/>
      <c r="AT378" s="1968"/>
      <c r="AU378" s="1968"/>
      <c r="AV378" s="1968"/>
      <c r="AW378" s="1968"/>
      <c r="AX378" s="1968"/>
      <c r="AY378" s="1968"/>
      <c r="AZ378" s="1968"/>
      <c r="BA378" s="1968"/>
      <c r="BB378" s="1968"/>
      <c r="BC378" s="1968"/>
      <c r="BD378" s="1968"/>
      <c r="BE378" s="1968"/>
      <c r="BF378" s="1968"/>
      <c r="BG378" s="7235"/>
    </row>
    <row customHeight="1" ht="11.25">
      <c r="A379" s="1312" t="s">
        <v>1069</v>
      </c>
      <c r="B379" s="1312"/>
      <c r="C379" s="1312"/>
      <c r="D379" s="1306"/>
      <c r="E379" s="1316"/>
      <c r="F379" s="1974"/>
      <c r="G379" s="1975"/>
      <c r="H379" s="2674" t="s">
        <v>1245</v>
      </c>
      <c r="I379" s="2675"/>
      <c r="J379" s="2644"/>
      <c r="K379" s="2676"/>
      <c r="L379" s="2266"/>
      <c r="M379" s="2267"/>
      <c r="N379" s="2667"/>
      <c r="O379" s="2668">
        <v>1</v>
      </c>
      <c r="P379" s="2669" t="s">
        <v>19</v>
      </c>
      <c r="Q379" s="2672" t="s">
        <v>22</v>
      </c>
      <c r="R379" s="2672" t="s">
        <v>22</v>
      </c>
      <c r="S379" s="2672" t="s">
        <v>22</v>
      </c>
      <c r="T379" s="2672" t="s">
        <v>22</v>
      </c>
      <c r="U379" s="2672" t="s">
        <v>22</v>
      </c>
      <c r="V379" s="2672" t="s">
        <v>22</v>
      </c>
      <c r="W379" s="2672" t="s">
        <v>22</v>
      </c>
      <c r="X379" s="2672" t="s">
        <v>22</v>
      </c>
      <c r="Y379" s="2672"/>
      <c r="Z379" s="1321"/>
      <c r="AA379" s="1322"/>
      <c r="AB379" s="1322"/>
      <c r="AC379" s="1326"/>
      <c r="AD379" s="1326"/>
      <c r="AE379" s="1327"/>
      <c r="AF379" s="2665"/>
      <c r="AG379" s="2666"/>
      <c r="AH379" s="2666"/>
      <c r="AI379" s="8647"/>
      <c r="AJ379" s="2666"/>
      <c r="AK379" s="2666"/>
      <c r="AL379" s="2131"/>
      <c r="AM379" s="1968"/>
      <c r="AN379" s="1968"/>
      <c r="AO379" s="1968"/>
      <c r="AP379" s="1968"/>
      <c r="AQ379" s="1968"/>
      <c r="AR379" s="1968"/>
      <c r="AS379" s="1968"/>
      <c r="AT379" s="1968"/>
      <c r="AU379" s="1968"/>
      <c r="AV379" s="1968"/>
      <c r="AW379" s="1968"/>
      <c r="AX379" s="1968"/>
      <c r="AY379" s="1968"/>
      <c r="AZ379" s="1968"/>
      <c r="BA379" s="1968"/>
      <c r="BB379" s="1968"/>
      <c r="BC379" s="1968"/>
      <c r="BD379" s="1968"/>
      <c r="BE379" s="1968"/>
      <c r="BF379" s="1968"/>
      <c r="BG379" s="7235"/>
    </row>
    <row customHeight="1" ht="11.25">
      <c r="A380" s="1312" t="s">
        <v>1069</v>
      </c>
      <c r="B380" s="1312"/>
      <c r="C380" s="1312"/>
      <c r="D380" s="1306"/>
      <c r="E380" s="1316"/>
      <c r="F380" s="1974"/>
      <c r="G380" s="1975"/>
      <c r="H380" s="2674" t="s">
        <v>1245</v>
      </c>
      <c r="I380" s="2675"/>
      <c r="J380" s="2644"/>
      <c r="K380" s="2676"/>
      <c r="L380" s="2266"/>
      <c r="M380" s="2267"/>
      <c r="N380" s="2667"/>
      <c r="O380" s="2668"/>
      <c r="P380" s="2670"/>
      <c r="Q380" s="2672"/>
      <c r="R380" s="2672"/>
      <c r="S380" s="2673"/>
      <c r="T380" s="2672"/>
      <c r="U380" s="2672"/>
      <c r="V380" s="2672"/>
      <c r="W380" s="2672"/>
      <c r="X380" s="2672"/>
      <c r="Y380" s="2672"/>
      <c r="Z380" s="1973"/>
      <c r="AA380" s="1939">
        <v>1</v>
      </c>
      <c r="AB380" s="1325" t="s">
        <v>1131</v>
      </c>
      <c r="AC380" s="1315">
        <v>21179</v>
      </c>
      <c r="AD380" s="1325" t="str">
        <f>AB380</f>
        <v>      Прочие амортизационные отчисления</v>
      </c>
      <c r="AE380" s="1315">
        <v>38401</v>
      </c>
      <c r="AF380" s="2665"/>
      <c r="AG380" s="2666"/>
      <c r="AH380" s="2666"/>
      <c r="AI380" s="8647"/>
      <c r="AJ380" s="2666"/>
      <c r="AK380" s="2666"/>
      <c r="AL380" s="2131"/>
      <c r="AM380" s="1968"/>
      <c r="AN380" s="1968"/>
      <c r="AO380" s="1968"/>
      <c r="AP380" s="1968"/>
      <c r="AQ380" s="1968"/>
      <c r="AR380" s="1968"/>
      <c r="AS380" s="1968"/>
      <c r="AT380" s="1968"/>
      <c r="AU380" s="1968"/>
      <c r="AV380" s="1968"/>
      <c r="AW380" s="1968"/>
      <c r="AX380" s="1968"/>
      <c r="AY380" s="1968"/>
      <c r="AZ380" s="1968"/>
      <c r="BA380" s="1968"/>
      <c r="BB380" s="1968"/>
      <c r="BC380" s="1968"/>
      <c r="BD380" s="1968"/>
      <c r="BE380" s="1968"/>
      <c r="BF380" s="1968"/>
      <c r="BG380" s="7235"/>
    </row>
    <row customHeight="1" ht="11.25">
      <c r="A381" s="1312" t="s">
        <v>1069</v>
      </c>
      <c r="B381" s="1312"/>
      <c r="C381" s="1312"/>
      <c r="D381" s="1306"/>
      <c r="E381" s="1316"/>
      <c r="F381" s="1974"/>
      <c r="G381" s="1975"/>
      <c r="H381" s="2674" t="s">
        <v>1245</v>
      </c>
      <c r="I381" s="2675"/>
      <c r="J381" s="2644"/>
      <c r="K381" s="2676"/>
      <c r="L381" s="2266"/>
      <c r="M381" s="2267"/>
      <c r="N381" s="2667"/>
      <c r="O381" s="2668"/>
      <c r="P381" s="2671"/>
      <c r="Q381" s="2672"/>
      <c r="R381" s="2672"/>
      <c r="S381" s="2673"/>
      <c r="T381" s="2672"/>
      <c r="U381" s="2672"/>
      <c r="V381" s="2672"/>
      <c r="W381" s="2672"/>
      <c r="X381" s="2672"/>
      <c r="Y381" s="2672"/>
      <c r="Z381" s="1321"/>
      <c r="AA381" s="1322"/>
      <c r="AB381" s="1387" t="s">
        <v>1107</v>
      </c>
      <c r="AC381" s="1326"/>
      <c r="AD381" s="1326"/>
      <c r="AE381" s="1328"/>
      <c r="AF381" s="2665"/>
      <c r="AG381" s="2666"/>
      <c r="AH381" s="2666"/>
      <c r="AI381" s="8647"/>
      <c r="AJ381" s="2666"/>
      <c r="AK381" s="2666"/>
      <c r="AL381" s="2131"/>
      <c r="AM381" s="1968"/>
      <c r="AN381" s="1968"/>
      <c r="AO381" s="1968"/>
      <c r="AP381" s="1968"/>
      <c r="AQ381" s="1968"/>
      <c r="AR381" s="1968"/>
      <c r="AS381" s="1968"/>
      <c r="AT381" s="1968"/>
      <c r="AU381" s="1968"/>
      <c r="AV381" s="1968"/>
      <c r="AW381" s="1968"/>
      <c r="AX381" s="1968"/>
      <c r="AY381" s="1968"/>
      <c r="AZ381" s="1968"/>
      <c r="BA381" s="1968"/>
      <c r="BB381" s="1968"/>
      <c r="BC381" s="1968"/>
      <c r="BD381" s="1968"/>
      <c r="BE381" s="1968"/>
      <c r="BF381" s="1968"/>
      <c r="BG381" s="7235"/>
    </row>
    <row customHeight="1" ht="11.25">
      <c r="A382" s="1312" t="s">
        <v>1069</v>
      </c>
      <c r="B382" s="1312"/>
      <c r="C382" s="1312"/>
      <c r="D382" s="1306"/>
      <c r="E382" s="1316"/>
      <c r="F382" s="1974"/>
      <c r="G382" s="1975"/>
      <c r="H382" s="2674" t="s">
        <v>1245</v>
      </c>
      <c r="I382" s="2675"/>
      <c r="J382" s="2644"/>
      <c r="K382" s="2676"/>
      <c r="L382" s="2266"/>
      <c r="M382" s="2267"/>
      <c r="N382" s="1321"/>
      <c r="O382" s="1322"/>
      <c r="P382" s="1314" t="s">
        <v>1108</v>
      </c>
      <c r="Q382" s="1322"/>
      <c r="R382" s="1322"/>
      <c r="S382" s="1322"/>
      <c r="T382" s="1322"/>
      <c r="U382" s="1322"/>
      <c r="V382" s="1322"/>
      <c r="W382" s="1322"/>
      <c r="X382" s="1322"/>
      <c r="Y382" s="1322"/>
      <c r="Z382" s="1322"/>
      <c r="AA382" s="1322"/>
      <c r="AB382" s="1322"/>
      <c r="AC382" s="1322"/>
      <c r="AD382" s="1322"/>
      <c r="AE382" s="1329"/>
      <c r="AF382" s="2665"/>
      <c r="AG382" s="2666"/>
      <c r="AH382" s="2666"/>
      <c r="AI382" s="8647"/>
      <c r="AJ382" s="2666"/>
      <c r="AK382" s="2666"/>
      <c r="AL382" s="2131"/>
      <c r="AM382" s="1968"/>
      <c r="AN382" s="1968"/>
      <c r="AO382" s="1968"/>
      <c r="AP382" s="1968"/>
      <c r="AQ382" s="1968"/>
      <c r="AR382" s="1968"/>
      <c r="AS382" s="1968"/>
      <c r="AT382" s="1968"/>
      <c r="AU382" s="1968"/>
      <c r="AV382" s="1968"/>
      <c r="AW382" s="1968"/>
      <c r="AX382" s="1968"/>
      <c r="AY382" s="1968"/>
      <c r="AZ382" s="1968"/>
      <c r="BA382" s="1968"/>
      <c r="BB382" s="1968"/>
      <c r="BC382" s="1968"/>
      <c r="BD382" s="1968"/>
      <c r="BE382" s="1968"/>
      <c r="BF382" s="1968"/>
      <c r="BG382" s="7235"/>
    </row>
    <row customHeight="1" ht="11.25">
      <c r="A383" s="1312" t="s">
        <v>1069</v>
      </c>
      <c r="B383" s="1312" t="s">
        <v>1198</v>
      </c>
      <c r="C383" s="1312"/>
      <c r="D383" s="1306"/>
      <c r="E383" s="1316"/>
      <c r="F383" s="1974"/>
      <c r="G383" s="7143" t="s">
        <v>106</v>
      </c>
      <c r="H383" s="2674" t="s">
        <v>1249</v>
      </c>
      <c r="I383" s="2675" t="s">
        <v>1200</v>
      </c>
      <c r="J383" s="2644" t="s">
        <v>1206</v>
      </c>
      <c r="K383" s="2676" t="s">
        <v>1250</v>
      </c>
      <c r="L383" s="2266" t="s">
        <v>19</v>
      </c>
      <c r="M383" s="2267"/>
      <c r="N383" s="2129"/>
      <c r="O383" s="1323" t="s">
        <v>398</v>
      </c>
      <c r="P383" s="1324"/>
      <c r="Q383" s="1324"/>
      <c r="R383" s="1324"/>
      <c r="S383" s="1324"/>
      <c r="T383" s="1324"/>
      <c r="U383" s="1324"/>
      <c r="V383" s="1324"/>
      <c r="W383" s="1324"/>
      <c r="X383" s="1324"/>
      <c r="Y383" s="1324"/>
      <c r="Z383" s="1324"/>
      <c r="AA383" s="1324"/>
      <c r="AB383" s="1324"/>
      <c r="AC383" s="1324"/>
      <c r="AD383" s="1324"/>
      <c r="AE383" s="1324"/>
      <c r="AF383" s="2665">
        <v>2028</v>
      </c>
      <c r="AG383" s="2666" t="s">
        <v>1103</v>
      </c>
      <c r="AH383" s="2666" t="s">
        <v>1228</v>
      </c>
      <c r="AI383" s="8647"/>
      <c r="AJ383" s="2666" t="s">
        <v>1105</v>
      </c>
      <c r="AK383" s="2666" t="s">
        <v>1105</v>
      </c>
      <c r="AL383" s="2131"/>
      <c r="AM383" s="1968"/>
      <c r="AN383" s="1968"/>
      <c r="AO383" s="1968"/>
      <c r="AP383" s="1968"/>
      <c r="AQ383" s="1968"/>
      <c r="AR383" s="1968"/>
      <c r="AS383" s="1968"/>
      <c r="AT383" s="1968"/>
      <c r="AU383" s="1968"/>
      <c r="AV383" s="1968"/>
      <c r="AW383" s="1968"/>
      <c r="AX383" s="1968"/>
      <c r="AY383" s="1968"/>
      <c r="AZ383" s="1968"/>
      <c r="BA383" s="1968"/>
      <c r="BB383" s="1968"/>
      <c r="BC383" s="1968"/>
      <c r="BD383" s="1968"/>
      <c r="BE383" s="1968"/>
      <c r="BF383" s="1968"/>
      <c r="BG383" s="7235"/>
    </row>
    <row customHeight="1" ht="11.25">
      <c r="A384" s="1312" t="s">
        <v>1069</v>
      </c>
      <c r="B384" s="1312"/>
      <c r="C384" s="1312"/>
      <c r="D384" s="1306"/>
      <c r="E384" s="1316"/>
      <c r="F384" s="1974"/>
      <c r="G384" s="1975"/>
      <c r="H384" s="2674" t="s">
        <v>1247</v>
      </c>
      <c r="I384" s="2675"/>
      <c r="J384" s="2644"/>
      <c r="K384" s="2676"/>
      <c r="L384" s="2266"/>
      <c r="M384" s="2267"/>
      <c r="N384" s="2667"/>
      <c r="O384" s="2668">
        <v>1</v>
      </c>
      <c r="P384" s="2669" t="s">
        <v>19</v>
      </c>
      <c r="Q384" s="2672" t="s">
        <v>22</v>
      </c>
      <c r="R384" s="2672" t="s">
        <v>22</v>
      </c>
      <c r="S384" s="2672" t="s">
        <v>22</v>
      </c>
      <c r="T384" s="2672" t="s">
        <v>22</v>
      </c>
      <c r="U384" s="2672" t="s">
        <v>22</v>
      </c>
      <c r="V384" s="2672" t="s">
        <v>22</v>
      </c>
      <c r="W384" s="2672" t="s">
        <v>22</v>
      </c>
      <c r="X384" s="2672" t="s">
        <v>22</v>
      </c>
      <c r="Y384" s="2672"/>
      <c r="Z384" s="1321"/>
      <c r="AA384" s="1322"/>
      <c r="AB384" s="1322"/>
      <c r="AC384" s="1326"/>
      <c r="AD384" s="1326"/>
      <c r="AE384" s="1327"/>
      <c r="AF384" s="2665"/>
      <c r="AG384" s="2666"/>
      <c r="AH384" s="2666"/>
      <c r="AI384" s="8647"/>
      <c r="AJ384" s="2666"/>
      <c r="AK384" s="2666"/>
      <c r="AL384" s="2131"/>
      <c r="AM384" s="1968"/>
      <c r="AN384" s="1968"/>
      <c r="AO384" s="1968"/>
      <c r="AP384" s="1968"/>
      <c r="AQ384" s="1968"/>
      <c r="AR384" s="1968"/>
      <c r="AS384" s="1968"/>
      <c r="AT384" s="1968"/>
      <c r="AU384" s="1968"/>
      <c r="AV384" s="1968"/>
      <c r="AW384" s="1968"/>
      <c r="AX384" s="1968"/>
      <c r="AY384" s="1968"/>
      <c r="AZ384" s="1968"/>
      <c r="BA384" s="1968"/>
      <c r="BB384" s="1968"/>
      <c r="BC384" s="1968"/>
      <c r="BD384" s="1968"/>
      <c r="BE384" s="1968"/>
      <c r="BF384" s="1968"/>
      <c r="BG384" s="7235"/>
    </row>
    <row customHeight="1" ht="11.25">
      <c r="A385" s="1312" t="s">
        <v>1069</v>
      </c>
      <c r="B385" s="1312"/>
      <c r="C385" s="1312"/>
      <c r="D385" s="1306"/>
      <c r="E385" s="1316"/>
      <c r="F385" s="1974"/>
      <c r="G385" s="1975"/>
      <c r="H385" s="2674" t="s">
        <v>1247</v>
      </c>
      <c r="I385" s="2675"/>
      <c r="J385" s="2644"/>
      <c r="K385" s="2676"/>
      <c r="L385" s="2266"/>
      <c r="M385" s="2267"/>
      <c r="N385" s="2667"/>
      <c r="O385" s="2668"/>
      <c r="P385" s="2670"/>
      <c r="Q385" s="2672"/>
      <c r="R385" s="2672"/>
      <c r="S385" s="2673"/>
      <c r="T385" s="2672"/>
      <c r="U385" s="2672"/>
      <c r="V385" s="2672"/>
      <c r="W385" s="2672"/>
      <c r="X385" s="2672"/>
      <c r="Y385" s="2672"/>
      <c r="Z385" s="1973"/>
      <c r="AA385" s="1939">
        <v>1</v>
      </c>
      <c r="AB385" s="1325" t="s">
        <v>1131</v>
      </c>
      <c r="AC385" s="1315">
        <v>96763.631</v>
      </c>
      <c r="AD385" s="1325" t="str">
        <f>AB385</f>
        <v>      Прочие амортизационные отчисления</v>
      </c>
      <c r="AE385" s="1315">
        <v>77183</v>
      </c>
      <c r="AF385" s="2665"/>
      <c r="AG385" s="2666"/>
      <c r="AH385" s="2666"/>
      <c r="AI385" s="8647"/>
      <c r="AJ385" s="2666"/>
      <c r="AK385" s="2666"/>
      <c r="AL385" s="2131"/>
      <c r="AM385" s="1968"/>
      <c r="AN385" s="1968"/>
      <c r="AO385" s="1968"/>
      <c r="AP385" s="1968"/>
      <c r="AQ385" s="1968"/>
      <c r="AR385" s="1968"/>
      <c r="AS385" s="1968"/>
      <c r="AT385" s="1968"/>
      <c r="AU385" s="1968"/>
      <c r="AV385" s="1968"/>
      <c r="AW385" s="1968"/>
      <c r="AX385" s="1968"/>
      <c r="AY385" s="1968"/>
      <c r="AZ385" s="1968"/>
      <c r="BA385" s="1968"/>
      <c r="BB385" s="1968"/>
      <c r="BC385" s="1968"/>
      <c r="BD385" s="1968"/>
      <c r="BE385" s="1968"/>
      <c r="BF385" s="1968"/>
      <c r="BG385" s="7235"/>
    </row>
    <row customHeight="1" ht="11.25">
      <c r="A386" s="1312" t="s">
        <v>1069</v>
      </c>
      <c r="B386" s="1312"/>
      <c r="C386" s="1312"/>
      <c r="D386" s="1306"/>
      <c r="E386" s="1316"/>
      <c r="F386" s="1975"/>
      <c r="G386" s="1975"/>
      <c r="H386" s="1975"/>
      <c r="I386" s="1975"/>
      <c r="J386" s="1975"/>
      <c r="K386" s="1975"/>
      <c r="L386" s="1975"/>
      <c r="M386" s="1975"/>
      <c r="N386" s="1975"/>
      <c r="O386" s="1975"/>
      <c r="P386" s="1975"/>
      <c r="Q386" s="1975"/>
      <c r="R386" s="1975"/>
      <c r="S386" s="1975"/>
      <c r="T386" s="1975"/>
      <c r="U386" s="1975"/>
      <c r="V386" s="1975"/>
      <c r="W386" s="1975"/>
      <c r="X386" s="1975"/>
      <c r="Y386" s="1975"/>
      <c r="Z386" s="7143" t="s">
        <v>106</v>
      </c>
      <c r="AA386" s="1959" t="s">
        <v>105</v>
      </c>
      <c r="AB386" s="1325" t="s">
        <v>1251</v>
      </c>
      <c r="AC386" s="1315">
        <v>28244.3689022253</v>
      </c>
      <c r="AD386" s="1325" t="str">
        <f>AB386</f>
        <v>  Прочие</v>
      </c>
      <c r="AE386" s="1315">
        <v>0</v>
      </c>
      <c r="AF386" s="2232"/>
      <c r="AG386" s="1904"/>
      <c r="AH386" s="1904"/>
      <c r="AI386" s="2232"/>
      <c r="AJ386" s="1904"/>
      <c r="AK386" s="2130"/>
      <c r="AL386" s="2131"/>
      <c r="AM386" s="1968"/>
      <c r="AN386" s="1968"/>
      <c r="AO386" s="1968"/>
      <c r="AP386" s="1968"/>
      <c r="AQ386" s="1968"/>
      <c r="AR386" s="1968"/>
      <c r="AS386" s="1968"/>
      <c r="AT386" s="1968"/>
      <c r="AU386" s="1968"/>
      <c r="AV386" s="1968"/>
      <c r="AW386" s="1968"/>
      <c r="AX386" s="1968"/>
      <c r="AY386" s="1968"/>
      <c r="AZ386" s="1968"/>
      <c r="BA386" s="1968"/>
      <c r="BB386" s="1968"/>
      <c r="BC386" s="1968"/>
      <c r="BD386" s="1968"/>
      <c r="BE386" s="1968"/>
      <c r="BF386" s="1968"/>
      <c r="BG386" s="7235"/>
    </row>
    <row customHeight="1" ht="11.25">
      <c r="A387" s="1312" t="s">
        <v>1069</v>
      </c>
      <c r="B387" s="1312"/>
      <c r="C387" s="1312"/>
      <c r="D387" s="1306"/>
      <c r="E387" s="1316"/>
      <c r="F387" s="1974"/>
      <c r="G387" s="1975"/>
      <c r="H387" s="2674" t="s">
        <v>1247</v>
      </c>
      <c r="I387" s="2675"/>
      <c r="J387" s="2644"/>
      <c r="K387" s="2676"/>
      <c r="L387" s="2266"/>
      <c r="M387" s="2267"/>
      <c r="N387" s="2667"/>
      <c r="O387" s="2668"/>
      <c r="P387" s="2671"/>
      <c r="Q387" s="2672"/>
      <c r="R387" s="2672"/>
      <c r="S387" s="2673"/>
      <c r="T387" s="2672"/>
      <c r="U387" s="2672"/>
      <c r="V387" s="2672"/>
      <c r="W387" s="2672"/>
      <c r="X387" s="2672"/>
      <c r="Y387" s="2672"/>
      <c r="Z387" s="1321"/>
      <c r="AA387" s="1322"/>
      <c r="AB387" s="1387" t="s">
        <v>1107</v>
      </c>
      <c r="AC387" s="1326"/>
      <c r="AD387" s="1326"/>
      <c r="AE387" s="1328"/>
      <c r="AF387" s="2665"/>
      <c r="AG387" s="2666"/>
      <c r="AH387" s="2666"/>
      <c r="AI387" s="8647"/>
      <c r="AJ387" s="2666"/>
      <c r="AK387" s="2666"/>
      <c r="AL387" s="2131"/>
      <c r="AM387" s="1968"/>
      <c r="AN387" s="1968"/>
      <c r="AO387" s="1968"/>
      <c r="AP387" s="1968"/>
      <c r="AQ387" s="1968"/>
      <c r="AR387" s="1968"/>
      <c r="AS387" s="1968"/>
      <c r="AT387" s="1968"/>
      <c r="AU387" s="1968"/>
      <c r="AV387" s="1968"/>
      <c r="AW387" s="1968"/>
      <c r="AX387" s="1968"/>
      <c r="AY387" s="1968"/>
      <c r="AZ387" s="1968"/>
      <c r="BA387" s="1968"/>
      <c r="BB387" s="1968"/>
      <c r="BC387" s="1968"/>
      <c r="BD387" s="1968"/>
      <c r="BE387" s="1968"/>
      <c r="BF387" s="1968"/>
      <c r="BG387" s="7235"/>
    </row>
    <row customHeight="1" ht="11.25">
      <c r="A388" s="1312" t="s">
        <v>1069</v>
      </c>
      <c r="B388" s="1312"/>
      <c r="C388" s="1312"/>
      <c r="D388" s="1306"/>
      <c r="E388" s="1316"/>
      <c r="F388" s="1974"/>
      <c r="G388" s="1975"/>
      <c r="H388" s="2674" t="s">
        <v>1247</v>
      </c>
      <c r="I388" s="2675"/>
      <c r="J388" s="2644"/>
      <c r="K388" s="2676"/>
      <c r="L388" s="2266"/>
      <c r="M388" s="2267"/>
      <c r="N388" s="1321"/>
      <c r="O388" s="1322"/>
      <c r="P388" s="1314" t="s">
        <v>1108</v>
      </c>
      <c r="Q388" s="1322"/>
      <c r="R388" s="1322"/>
      <c r="S388" s="1322"/>
      <c r="T388" s="1322"/>
      <c r="U388" s="1322"/>
      <c r="V388" s="1322"/>
      <c r="W388" s="1322"/>
      <c r="X388" s="1322"/>
      <c r="Y388" s="1322"/>
      <c r="Z388" s="1322"/>
      <c r="AA388" s="1322"/>
      <c r="AB388" s="1322"/>
      <c r="AC388" s="1322"/>
      <c r="AD388" s="1322"/>
      <c r="AE388" s="1329"/>
      <c r="AF388" s="2665"/>
      <c r="AG388" s="2666"/>
      <c r="AH388" s="2666"/>
      <c r="AI388" s="8647"/>
      <c r="AJ388" s="2666"/>
      <c r="AK388" s="2666"/>
      <c r="AL388" s="2131"/>
      <c r="AM388" s="1968"/>
      <c r="AN388" s="1968"/>
      <c r="AO388" s="1968"/>
      <c r="AP388" s="1968"/>
      <c r="AQ388" s="1968"/>
      <c r="AR388" s="1968"/>
      <c r="AS388" s="1968"/>
      <c r="AT388" s="1968"/>
      <c r="AU388" s="1968"/>
      <c r="AV388" s="1968"/>
      <c r="AW388" s="1968"/>
      <c r="AX388" s="1968"/>
      <c r="AY388" s="1968"/>
      <c r="AZ388" s="1968"/>
      <c r="BA388" s="1968"/>
      <c r="BB388" s="1968"/>
      <c r="BC388" s="1968"/>
      <c r="BD388" s="1968"/>
      <c r="BE388" s="1968"/>
      <c r="BF388" s="1968"/>
      <c r="BG388" s="7235"/>
    </row>
    <row customHeight="1" ht="11.25">
      <c r="A389" s="1312" t="s">
        <v>1069</v>
      </c>
      <c r="B389" s="1312" t="s">
        <v>1198</v>
      </c>
      <c r="C389" s="1312"/>
      <c r="D389" s="1306"/>
      <c r="E389" s="1316"/>
      <c r="F389" s="1974"/>
      <c r="G389" s="7143" t="s">
        <v>106</v>
      </c>
      <c r="H389" s="2674" t="s">
        <v>1252</v>
      </c>
      <c r="I389" s="2675" t="s">
        <v>1200</v>
      </c>
      <c r="J389" s="2644" t="s">
        <v>1206</v>
      </c>
      <c r="K389" s="2676" t="s">
        <v>1253</v>
      </c>
      <c r="L389" s="2266" t="s">
        <v>19</v>
      </c>
      <c r="M389" s="2267"/>
      <c r="N389" s="2129"/>
      <c r="O389" s="1323" t="s">
        <v>398</v>
      </c>
      <c r="P389" s="1324"/>
      <c r="Q389" s="1324"/>
      <c r="R389" s="1324"/>
      <c r="S389" s="1324"/>
      <c r="T389" s="1324"/>
      <c r="U389" s="1324"/>
      <c r="V389" s="1324"/>
      <c r="W389" s="1324"/>
      <c r="X389" s="1324"/>
      <c r="Y389" s="1324"/>
      <c r="Z389" s="1324"/>
      <c r="AA389" s="1324"/>
      <c r="AB389" s="1324"/>
      <c r="AC389" s="1324"/>
      <c r="AD389" s="1324"/>
      <c r="AE389" s="1324"/>
      <c r="AF389" s="2665">
        <v>2025</v>
      </c>
      <c r="AG389" s="2666" t="s">
        <v>1103</v>
      </c>
      <c r="AH389" s="2666" t="s">
        <v>1159</v>
      </c>
      <c r="AI389" s="8647"/>
      <c r="AJ389" s="2666" t="s">
        <v>1105</v>
      </c>
      <c r="AK389" s="2666" t="s">
        <v>1105</v>
      </c>
      <c r="AL389" s="2131"/>
      <c r="AM389" s="1968"/>
      <c r="AN389" s="1968"/>
      <c r="AO389" s="1968"/>
      <c r="AP389" s="1968"/>
      <c r="AQ389" s="1968"/>
      <c r="AR389" s="1968"/>
      <c r="AS389" s="1968"/>
      <c r="AT389" s="1968"/>
      <c r="AU389" s="1968"/>
      <c r="AV389" s="1968"/>
      <c r="AW389" s="1968"/>
      <c r="AX389" s="1968"/>
      <c r="AY389" s="1968"/>
      <c r="AZ389" s="1968"/>
      <c r="BA389" s="1968"/>
      <c r="BB389" s="1968"/>
      <c r="BC389" s="1968"/>
      <c r="BD389" s="1968"/>
      <c r="BE389" s="1968"/>
      <c r="BF389" s="1968"/>
      <c r="BG389" s="7235"/>
    </row>
    <row customHeight="1" ht="11.25">
      <c r="A390" s="1312" t="s">
        <v>1069</v>
      </c>
      <c r="B390" s="1312"/>
      <c r="C390" s="1312"/>
      <c r="D390" s="1306"/>
      <c r="E390" s="1316"/>
      <c r="F390" s="1974"/>
      <c r="G390" s="1975"/>
      <c r="H390" s="2674" t="s">
        <v>1249</v>
      </c>
      <c r="I390" s="2675"/>
      <c r="J390" s="2644"/>
      <c r="K390" s="2676"/>
      <c r="L390" s="2266"/>
      <c r="M390" s="2267"/>
      <c r="N390" s="2667"/>
      <c r="O390" s="2668">
        <v>1</v>
      </c>
      <c r="P390" s="2669" t="s">
        <v>19</v>
      </c>
      <c r="Q390" s="2672" t="s">
        <v>22</v>
      </c>
      <c r="R390" s="2672" t="s">
        <v>22</v>
      </c>
      <c r="S390" s="2672" t="s">
        <v>22</v>
      </c>
      <c r="T390" s="2672" t="s">
        <v>22</v>
      </c>
      <c r="U390" s="2672" t="s">
        <v>22</v>
      </c>
      <c r="V390" s="2672" t="s">
        <v>22</v>
      </c>
      <c r="W390" s="2672" t="s">
        <v>22</v>
      </c>
      <c r="X390" s="2672" t="s">
        <v>22</v>
      </c>
      <c r="Y390" s="2672"/>
      <c r="Z390" s="1321"/>
      <c r="AA390" s="1322"/>
      <c r="AB390" s="1322"/>
      <c r="AC390" s="1326"/>
      <c r="AD390" s="1326"/>
      <c r="AE390" s="1327"/>
      <c r="AF390" s="2665"/>
      <c r="AG390" s="2666"/>
      <c r="AH390" s="2666"/>
      <c r="AI390" s="8647"/>
      <c r="AJ390" s="2666"/>
      <c r="AK390" s="2666"/>
      <c r="AL390" s="2131"/>
      <c r="AM390" s="1968"/>
      <c r="AN390" s="1968"/>
      <c r="AO390" s="1968"/>
      <c r="AP390" s="1968"/>
      <c r="AQ390" s="1968"/>
      <c r="AR390" s="1968"/>
      <c r="AS390" s="1968"/>
      <c r="AT390" s="1968"/>
      <c r="AU390" s="1968"/>
      <c r="AV390" s="1968"/>
      <c r="AW390" s="1968"/>
      <c r="AX390" s="1968"/>
      <c r="AY390" s="1968"/>
      <c r="AZ390" s="1968"/>
      <c r="BA390" s="1968"/>
      <c r="BB390" s="1968"/>
      <c r="BC390" s="1968"/>
      <c r="BD390" s="1968"/>
      <c r="BE390" s="1968"/>
      <c r="BF390" s="1968"/>
      <c r="BG390" s="7235"/>
    </row>
    <row customHeight="1" ht="11.25">
      <c r="A391" s="1312" t="s">
        <v>1069</v>
      </c>
      <c r="B391" s="1312"/>
      <c r="C391" s="1312"/>
      <c r="D391" s="1306"/>
      <c r="E391" s="1316"/>
      <c r="F391" s="1974"/>
      <c r="G391" s="1975"/>
      <c r="H391" s="2674" t="s">
        <v>1249</v>
      </c>
      <c r="I391" s="2675"/>
      <c r="J391" s="2644"/>
      <c r="K391" s="2676"/>
      <c r="L391" s="2266"/>
      <c r="M391" s="2267"/>
      <c r="N391" s="2667"/>
      <c r="O391" s="2668"/>
      <c r="P391" s="2670"/>
      <c r="Q391" s="2672"/>
      <c r="R391" s="2672"/>
      <c r="S391" s="2673"/>
      <c r="T391" s="2672"/>
      <c r="U391" s="2672"/>
      <c r="V391" s="2672"/>
      <c r="W391" s="2672"/>
      <c r="X391" s="2672"/>
      <c r="Y391" s="2672"/>
      <c r="Z391" s="1973"/>
      <c r="AA391" s="1939">
        <v>1</v>
      </c>
      <c r="AB391" s="1325" t="s">
        <v>1131</v>
      </c>
      <c r="AC391" s="1315">
        <v>2299.3</v>
      </c>
      <c r="AD391" s="1325" t="str">
        <f>AB391</f>
        <v>      Прочие амортизационные отчисления</v>
      </c>
      <c r="AE391" s="1315">
        <v>223.3333</v>
      </c>
      <c r="AF391" s="2665"/>
      <c r="AG391" s="2666"/>
      <c r="AH391" s="2666"/>
      <c r="AI391" s="8647"/>
      <c r="AJ391" s="2666"/>
      <c r="AK391" s="2666"/>
      <c r="AL391" s="2131"/>
      <c r="AM391" s="1968"/>
      <c r="AN391" s="1968"/>
      <c r="AO391" s="1968"/>
      <c r="AP391" s="1968"/>
      <c r="AQ391" s="1968"/>
      <c r="AR391" s="1968"/>
      <c r="AS391" s="1968"/>
      <c r="AT391" s="1968"/>
      <c r="AU391" s="1968"/>
      <c r="AV391" s="1968"/>
      <c r="AW391" s="1968"/>
      <c r="AX391" s="1968"/>
      <c r="AY391" s="1968"/>
      <c r="AZ391" s="1968"/>
      <c r="BA391" s="1968"/>
      <c r="BB391" s="1968"/>
      <c r="BC391" s="1968"/>
      <c r="BD391" s="1968"/>
      <c r="BE391" s="1968"/>
      <c r="BF391" s="1968"/>
      <c r="BG391" s="7235"/>
    </row>
    <row customHeight="1" ht="11.25">
      <c r="A392" s="1312" t="s">
        <v>1069</v>
      </c>
      <c r="B392" s="1312"/>
      <c r="C392" s="1312"/>
      <c r="D392" s="1306"/>
      <c r="E392" s="1316"/>
      <c r="F392" s="1974"/>
      <c r="G392" s="1975"/>
      <c r="H392" s="2674" t="s">
        <v>1249</v>
      </c>
      <c r="I392" s="2675"/>
      <c r="J392" s="2644"/>
      <c r="K392" s="2676"/>
      <c r="L392" s="2266"/>
      <c r="M392" s="2267"/>
      <c r="N392" s="2667"/>
      <c r="O392" s="2668"/>
      <c r="P392" s="2671"/>
      <c r="Q392" s="2672"/>
      <c r="R392" s="2672"/>
      <c r="S392" s="2673"/>
      <c r="T392" s="2672"/>
      <c r="U392" s="2672"/>
      <c r="V392" s="2672"/>
      <c r="W392" s="2672"/>
      <c r="X392" s="2672"/>
      <c r="Y392" s="2672"/>
      <c r="Z392" s="1321"/>
      <c r="AA392" s="1322"/>
      <c r="AB392" s="1387" t="s">
        <v>1107</v>
      </c>
      <c r="AC392" s="1326"/>
      <c r="AD392" s="1326"/>
      <c r="AE392" s="1328"/>
      <c r="AF392" s="2665"/>
      <c r="AG392" s="2666"/>
      <c r="AH392" s="2666"/>
      <c r="AI392" s="8647"/>
      <c r="AJ392" s="2666"/>
      <c r="AK392" s="2666"/>
      <c r="AL392" s="2131"/>
      <c r="AM392" s="1968"/>
      <c r="AN392" s="1968"/>
      <c r="AO392" s="1968"/>
      <c r="AP392" s="1968"/>
      <c r="AQ392" s="1968"/>
      <c r="AR392" s="1968"/>
      <c r="AS392" s="1968"/>
      <c r="AT392" s="1968"/>
      <c r="AU392" s="1968"/>
      <c r="AV392" s="1968"/>
      <c r="AW392" s="1968"/>
      <c r="AX392" s="1968"/>
      <c r="AY392" s="1968"/>
      <c r="AZ392" s="1968"/>
      <c r="BA392" s="1968"/>
      <c r="BB392" s="1968"/>
      <c r="BC392" s="1968"/>
      <c r="BD392" s="1968"/>
      <c r="BE392" s="1968"/>
      <c r="BF392" s="1968"/>
      <c r="BG392" s="7235"/>
    </row>
    <row customHeight="1" ht="11.25">
      <c r="A393" s="1312" t="s">
        <v>1069</v>
      </c>
      <c r="B393" s="1312"/>
      <c r="C393" s="1312"/>
      <c r="D393" s="1306"/>
      <c r="E393" s="1316"/>
      <c r="F393" s="1974"/>
      <c r="G393" s="1975"/>
      <c r="H393" s="2674" t="s">
        <v>1249</v>
      </c>
      <c r="I393" s="2675"/>
      <c r="J393" s="2644"/>
      <c r="K393" s="2676"/>
      <c r="L393" s="2266"/>
      <c r="M393" s="2267"/>
      <c r="N393" s="1321"/>
      <c r="O393" s="1322"/>
      <c r="P393" s="1314" t="s">
        <v>1108</v>
      </c>
      <c r="Q393" s="1322"/>
      <c r="R393" s="1322"/>
      <c r="S393" s="1322"/>
      <c r="T393" s="1322"/>
      <c r="U393" s="1322"/>
      <c r="V393" s="1322"/>
      <c r="W393" s="1322"/>
      <c r="X393" s="1322"/>
      <c r="Y393" s="1322"/>
      <c r="Z393" s="1322"/>
      <c r="AA393" s="1322"/>
      <c r="AB393" s="1322"/>
      <c r="AC393" s="1322"/>
      <c r="AD393" s="1322"/>
      <c r="AE393" s="1329"/>
      <c r="AF393" s="2665"/>
      <c r="AG393" s="2666"/>
      <c r="AH393" s="2666"/>
      <c r="AI393" s="8647"/>
      <c r="AJ393" s="2666"/>
      <c r="AK393" s="2666"/>
      <c r="AL393" s="2131"/>
      <c r="AM393" s="1968"/>
      <c r="AN393" s="1968"/>
      <c r="AO393" s="1968"/>
      <c r="AP393" s="1968"/>
      <c r="AQ393" s="1968"/>
      <c r="AR393" s="1968"/>
      <c r="AS393" s="1968"/>
      <c r="AT393" s="1968"/>
      <c r="AU393" s="1968"/>
      <c r="AV393" s="1968"/>
      <c r="AW393" s="1968"/>
      <c r="AX393" s="1968"/>
      <c r="AY393" s="1968"/>
      <c r="AZ393" s="1968"/>
      <c r="BA393" s="1968"/>
      <c r="BB393" s="1968"/>
      <c r="BC393" s="1968"/>
      <c r="BD393" s="1968"/>
      <c r="BE393" s="1968"/>
      <c r="BF393" s="1968"/>
      <c r="BG393" s="7235"/>
    </row>
    <row customHeight="1" ht="11.25">
      <c r="A394" s="1312" t="s">
        <v>1069</v>
      </c>
      <c r="B394" s="1312" t="s">
        <v>1198</v>
      </c>
      <c r="C394" s="1312"/>
      <c r="D394" s="1306"/>
      <c r="E394" s="1316"/>
      <c r="F394" s="1974"/>
      <c r="G394" s="7143" t="s">
        <v>106</v>
      </c>
      <c r="H394" s="2674" t="s">
        <v>1254</v>
      </c>
      <c r="I394" s="2675" t="s">
        <v>1200</v>
      </c>
      <c r="J394" s="2644" t="s">
        <v>1206</v>
      </c>
      <c r="K394" s="2676" t="s">
        <v>1255</v>
      </c>
      <c r="L394" s="2266" t="s">
        <v>19</v>
      </c>
      <c r="M394" s="2267"/>
      <c r="N394" s="2129"/>
      <c r="O394" s="1323" t="s">
        <v>398</v>
      </c>
      <c r="P394" s="1324"/>
      <c r="Q394" s="1324"/>
      <c r="R394" s="1324"/>
      <c r="S394" s="1324"/>
      <c r="T394" s="1324"/>
      <c r="U394" s="1324"/>
      <c r="V394" s="1324"/>
      <c r="W394" s="1324"/>
      <c r="X394" s="1324"/>
      <c r="Y394" s="1324"/>
      <c r="Z394" s="1324"/>
      <c r="AA394" s="1324"/>
      <c r="AB394" s="1324"/>
      <c r="AC394" s="1324"/>
      <c r="AD394" s="1324"/>
      <c r="AE394" s="1324"/>
      <c r="AF394" s="2665">
        <v>2024</v>
      </c>
      <c r="AG394" s="2666" t="s">
        <v>1103</v>
      </c>
      <c r="AH394" s="2666" t="s">
        <v>1154</v>
      </c>
      <c r="AI394" s="2665">
        <v>2024</v>
      </c>
      <c r="AJ394" s="2666" t="s">
        <v>1103</v>
      </c>
      <c r="AK394" s="2666" t="s">
        <v>1154</v>
      </c>
      <c r="AL394" s="2131"/>
      <c r="AM394" s="1968"/>
      <c r="AN394" s="1968"/>
      <c r="AO394" s="1968"/>
      <c r="AP394" s="1968"/>
      <c r="AQ394" s="1968"/>
      <c r="AR394" s="1968"/>
      <c r="AS394" s="1968"/>
      <c r="AT394" s="1968"/>
      <c r="AU394" s="1968"/>
      <c r="AV394" s="1968"/>
      <c r="AW394" s="1968"/>
      <c r="AX394" s="1968"/>
      <c r="AY394" s="1968"/>
      <c r="AZ394" s="1968"/>
      <c r="BA394" s="1968"/>
      <c r="BB394" s="1968"/>
      <c r="BC394" s="1968"/>
      <c r="BD394" s="1968"/>
      <c r="BE394" s="1968"/>
      <c r="BF394" s="1968"/>
      <c r="BG394" s="7235"/>
    </row>
    <row customHeight="1" ht="11.25">
      <c r="A395" s="1312" t="s">
        <v>1069</v>
      </c>
      <c r="B395" s="1312"/>
      <c r="C395" s="1312"/>
      <c r="D395" s="1306"/>
      <c r="E395" s="1316"/>
      <c r="F395" s="1974"/>
      <c r="G395" s="1975"/>
      <c r="H395" s="2674" t="s">
        <v>1252</v>
      </c>
      <c r="I395" s="2675"/>
      <c r="J395" s="2644"/>
      <c r="K395" s="2676"/>
      <c r="L395" s="2266"/>
      <c r="M395" s="2267"/>
      <c r="N395" s="2667"/>
      <c r="O395" s="2668">
        <v>1</v>
      </c>
      <c r="P395" s="2669" t="s">
        <v>19</v>
      </c>
      <c r="Q395" s="2672" t="s">
        <v>22</v>
      </c>
      <c r="R395" s="2672" t="s">
        <v>22</v>
      </c>
      <c r="S395" s="2672" t="s">
        <v>22</v>
      </c>
      <c r="T395" s="2672" t="s">
        <v>22</v>
      </c>
      <c r="U395" s="2672" t="s">
        <v>22</v>
      </c>
      <c r="V395" s="2672" t="s">
        <v>22</v>
      </c>
      <c r="W395" s="2672" t="s">
        <v>22</v>
      </c>
      <c r="X395" s="2672" t="s">
        <v>22</v>
      </c>
      <c r="Y395" s="2672"/>
      <c r="Z395" s="1321"/>
      <c r="AA395" s="1322"/>
      <c r="AB395" s="1322"/>
      <c r="AC395" s="1326"/>
      <c r="AD395" s="1326"/>
      <c r="AE395" s="1327"/>
      <c r="AF395" s="2665"/>
      <c r="AG395" s="2666"/>
      <c r="AH395" s="2666"/>
      <c r="AI395" s="2665"/>
      <c r="AJ395" s="2666"/>
      <c r="AK395" s="2666"/>
      <c r="AL395" s="2131"/>
      <c r="AM395" s="1968"/>
      <c r="AN395" s="1968"/>
      <c r="AO395" s="1968"/>
      <c r="AP395" s="1968"/>
      <c r="AQ395" s="1968"/>
      <c r="AR395" s="1968"/>
      <c r="AS395" s="1968"/>
      <c r="AT395" s="1968"/>
      <c r="AU395" s="1968"/>
      <c r="AV395" s="1968"/>
      <c r="AW395" s="1968"/>
      <c r="AX395" s="1968"/>
      <c r="AY395" s="1968"/>
      <c r="AZ395" s="1968"/>
      <c r="BA395" s="1968"/>
      <c r="BB395" s="1968"/>
      <c r="BC395" s="1968"/>
      <c r="BD395" s="1968"/>
      <c r="BE395" s="1968"/>
      <c r="BF395" s="1968"/>
      <c r="BG395" s="7235"/>
    </row>
    <row customHeight="1" ht="11.25">
      <c r="A396" s="1312" t="s">
        <v>1069</v>
      </c>
      <c r="B396" s="1312"/>
      <c r="C396" s="1312"/>
      <c r="D396" s="1306"/>
      <c r="E396" s="1316"/>
      <c r="F396" s="1974"/>
      <c r="G396" s="1975"/>
      <c r="H396" s="2674" t="s">
        <v>1252</v>
      </c>
      <c r="I396" s="2675"/>
      <c r="J396" s="2644"/>
      <c r="K396" s="2676"/>
      <c r="L396" s="2266"/>
      <c r="M396" s="2267"/>
      <c r="N396" s="2667"/>
      <c r="O396" s="2668"/>
      <c r="P396" s="2670"/>
      <c r="Q396" s="2672"/>
      <c r="R396" s="2672"/>
      <c r="S396" s="2673"/>
      <c r="T396" s="2672"/>
      <c r="U396" s="2672"/>
      <c r="V396" s="2672"/>
      <c r="W396" s="2672"/>
      <c r="X396" s="2672"/>
      <c r="Y396" s="2672"/>
      <c r="Z396" s="1973"/>
      <c r="AA396" s="1939">
        <v>1</v>
      </c>
      <c r="AB396" s="1325" t="s">
        <v>1131</v>
      </c>
      <c r="AC396" s="1315">
        <v>216.67</v>
      </c>
      <c r="AD396" s="1325" t="str">
        <f>AB396</f>
        <v>      Прочие амортизационные отчисления</v>
      </c>
      <c r="AE396" s="1315">
        <v>216.667</v>
      </c>
      <c r="AF396" s="2665"/>
      <c r="AG396" s="2666"/>
      <c r="AH396" s="2666"/>
      <c r="AI396" s="2665"/>
      <c r="AJ396" s="2666"/>
      <c r="AK396" s="2666"/>
      <c r="AL396" s="2131"/>
      <c r="AM396" s="1968"/>
      <c r="AN396" s="1968"/>
      <c r="AO396" s="1968"/>
      <c r="AP396" s="1968"/>
      <c r="AQ396" s="1968"/>
      <c r="AR396" s="1968"/>
      <c r="AS396" s="1968"/>
      <c r="AT396" s="1968"/>
      <c r="AU396" s="1968"/>
      <c r="AV396" s="1968"/>
      <c r="AW396" s="1968"/>
      <c r="AX396" s="1968"/>
      <c r="AY396" s="1968"/>
      <c r="AZ396" s="1968"/>
      <c r="BA396" s="1968"/>
      <c r="BB396" s="1968"/>
      <c r="BC396" s="1968"/>
      <c r="BD396" s="1968"/>
      <c r="BE396" s="1968"/>
      <c r="BF396" s="1968"/>
      <c r="BG396" s="7235"/>
    </row>
    <row customHeight="1" ht="11.25">
      <c r="A397" s="1312" t="s">
        <v>1069</v>
      </c>
      <c r="B397" s="1312"/>
      <c r="C397" s="1312"/>
      <c r="D397" s="1306"/>
      <c r="E397" s="1316"/>
      <c r="F397" s="1974"/>
      <c r="G397" s="1975"/>
      <c r="H397" s="2674" t="s">
        <v>1252</v>
      </c>
      <c r="I397" s="2675"/>
      <c r="J397" s="2644"/>
      <c r="K397" s="2676"/>
      <c r="L397" s="2266"/>
      <c r="M397" s="2267"/>
      <c r="N397" s="2667"/>
      <c r="O397" s="2668"/>
      <c r="P397" s="2671"/>
      <c r="Q397" s="2672"/>
      <c r="R397" s="2672"/>
      <c r="S397" s="2673"/>
      <c r="T397" s="2672"/>
      <c r="U397" s="2672"/>
      <c r="V397" s="2672"/>
      <c r="W397" s="2672"/>
      <c r="X397" s="2672"/>
      <c r="Y397" s="2672"/>
      <c r="Z397" s="1321"/>
      <c r="AA397" s="1322"/>
      <c r="AB397" s="1387" t="s">
        <v>1107</v>
      </c>
      <c r="AC397" s="1326"/>
      <c r="AD397" s="1326"/>
      <c r="AE397" s="1328"/>
      <c r="AF397" s="2665"/>
      <c r="AG397" s="2666"/>
      <c r="AH397" s="2666"/>
      <c r="AI397" s="2665"/>
      <c r="AJ397" s="2666"/>
      <c r="AK397" s="2666"/>
      <c r="AL397" s="2131"/>
      <c r="AM397" s="1968"/>
      <c r="AN397" s="1968"/>
      <c r="AO397" s="1968"/>
      <c r="AP397" s="1968"/>
      <c r="AQ397" s="1968"/>
      <c r="AR397" s="1968"/>
      <c r="AS397" s="1968"/>
      <c r="AT397" s="1968"/>
      <c r="AU397" s="1968"/>
      <c r="AV397" s="1968"/>
      <c r="AW397" s="1968"/>
      <c r="AX397" s="1968"/>
      <c r="AY397" s="1968"/>
      <c r="AZ397" s="1968"/>
      <c r="BA397" s="1968"/>
      <c r="BB397" s="1968"/>
      <c r="BC397" s="1968"/>
      <c r="BD397" s="1968"/>
      <c r="BE397" s="1968"/>
      <c r="BF397" s="1968"/>
      <c r="BG397" s="7235"/>
    </row>
    <row customHeight="1" ht="11.25">
      <c r="A398" s="1312" t="s">
        <v>1069</v>
      </c>
      <c r="B398" s="1312"/>
      <c r="C398" s="1312"/>
      <c r="D398" s="1306"/>
      <c r="E398" s="1316"/>
      <c r="F398" s="1974"/>
      <c r="G398" s="1975"/>
      <c r="H398" s="2674" t="s">
        <v>1252</v>
      </c>
      <c r="I398" s="2675"/>
      <c r="J398" s="2644"/>
      <c r="K398" s="2676"/>
      <c r="L398" s="2266"/>
      <c r="M398" s="2267"/>
      <c r="N398" s="1321"/>
      <c r="O398" s="1322"/>
      <c r="P398" s="1314" t="s">
        <v>1108</v>
      </c>
      <c r="Q398" s="1322"/>
      <c r="R398" s="1322"/>
      <c r="S398" s="1322"/>
      <c r="T398" s="1322"/>
      <c r="U398" s="1322"/>
      <c r="V398" s="1322"/>
      <c r="W398" s="1322"/>
      <c r="X398" s="1322"/>
      <c r="Y398" s="1322"/>
      <c r="Z398" s="1322"/>
      <c r="AA398" s="1322"/>
      <c r="AB398" s="1322"/>
      <c r="AC398" s="1322"/>
      <c r="AD398" s="1322"/>
      <c r="AE398" s="1329"/>
      <c r="AF398" s="2665"/>
      <c r="AG398" s="2666"/>
      <c r="AH398" s="2666"/>
      <c r="AI398" s="2665"/>
      <c r="AJ398" s="2666"/>
      <c r="AK398" s="2666"/>
      <c r="AL398" s="2131"/>
      <c r="AM398" s="1968"/>
      <c r="AN398" s="1968"/>
      <c r="AO398" s="1968"/>
      <c r="AP398" s="1968"/>
      <c r="AQ398" s="1968"/>
      <c r="AR398" s="1968"/>
      <c r="AS398" s="1968"/>
      <c r="AT398" s="1968"/>
      <c r="AU398" s="1968"/>
      <c r="AV398" s="1968"/>
      <c r="AW398" s="1968"/>
      <c r="AX398" s="1968"/>
      <c r="AY398" s="1968"/>
      <c r="AZ398" s="1968"/>
      <c r="BA398" s="1968"/>
      <c r="BB398" s="1968"/>
      <c r="BC398" s="1968"/>
      <c r="BD398" s="1968"/>
      <c r="BE398" s="1968"/>
      <c r="BF398" s="1968"/>
      <c r="BG398" s="7235"/>
    </row>
    <row customHeight="1" ht="11.25">
      <c r="A399" s="1312" t="s">
        <v>1069</v>
      </c>
      <c r="B399" s="1312" t="s">
        <v>22</v>
      </c>
      <c r="C399" s="1312"/>
      <c r="D399" s="1306"/>
      <c r="E399" s="1316"/>
      <c r="F399" s="1974"/>
      <c r="G399" s="7143" t="s">
        <v>106</v>
      </c>
      <c r="H399" s="2674" t="s">
        <v>1256</v>
      </c>
      <c r="I399" s="2675" t="s">
        <v>1101</v>
      </c>
      <c r="J399" s="8650" t="s">
        <v>22</v>
      </c>
      <c r="K399" s="2676" t="s">
        <v>1257</v>
      </c>
      <c r="L399" s="2266" t="s">
        <v>19</v>
      </c>
      <c r="M399" s="2267"/>
      <c r="N399" s="2129"/>
      <c r="O399" s="1323" t="s">
        <v>398</v>
      </c>
      <c r="P399" s="1324"/>
      <c r="Q399" s="1324"/>
      <c r="R399" s="1324"/>
      <c r="S399" s="1324"/>
      <c r="T399" s="1324"/>
      <c r="U399" s="1324"/>
      <c r="V399" s="1324"/>
      <c r="W399" s="1324"/>
      <c r="X399" s="1324"/>
      <c r="Y399" s="1324"/>
      <c r="Z399" s="1324"/>
      <c r="AA399" s="1324"/>
      <c r="AB399" s="1324"/>
      <c r="AC399" s="1324"/>
      <c r="AD399" s="1324"/>
      <c r="AE399" s="1324"/>
      <c r="AF399" s="2665">
        <v>2027</v>
      </c>
      <c r="AG399" s="2666" t="s">
        <v>1103</v>
      </c>
      <c r="AH399" s="2666" t="s">
        <v>1164</v>
      </c>
      <c r="AI399" s="8647"/>
      <c r="AJ399" s="2666" t="s">
        <v>1105</v>
      </c>
      <c r="AK399" s="2666" t="s">
        <v>1105</v>
      </c>
      <c r="AL399" s="2131"/>
      <c r="AM399" s="1968"/>
      <c r="AN399" s="1968"/>
      <c r="AO399" s="1968"/>
      <c r="AP399" s="1968"/>
      <c r="AQ399" s="1968"/>
      <c r="AR399" s="1968"/>
      <c r="AS399" s="1968"/>
      <c r="AT399" s="1968"/>
      <c r="AU399" s="1968"/>
      <c r="AV399" s="1968"/>
      <c r="AW399" s="1968"/>
      <c r="AX399" s="1968"/>
      <c r="AY399" s="1968"/>
      <c r="AZ399" s="1968"/>
      <c r="BA399" s="1968"/>
      <c r="BB399" s="1968"/>
      <c r="BC399" s="1968"/>
      <c r="BD399" s="1968"/>
      <c r="BE399" s="1968"/>
      <c r="BF399" s="1968"/>
      <c r="BG399" s="7235"/>
    </row>
    <row customHeight="1" ht="11.25">
      <c r="A400" s="1312" t="s">
        <v>1069</v>
      </c>
      <c r="B400" s="1312"/>
      <c r="C400" s="1312"/>
      <c r="D400" s="1306"/>
      <c r="E400" s="1316"/>
      <c r="F400" s="1974"/>
      <c r="G400" s="1975"/>
      <c r="H400" s="2674" t="s">
        <v>1254</v>
      </c>
      <c r="I400" s="2675"/>
      <c r="J400" s="8650"/>
      <c r="K400" s="2676"/>
      <c r="L400" s="2266"/>
      <c r="M400" s="2267"/>
      <c r="N400" s="2667"/>
      <c r="O400" s="2668">
        <v>1</v>
      </c>
      <c r="P400" s="2669" t="s">
        <v>63</v>
      </c>
      <c r="Q400" s="8645" t="s">
        <v>1208</v>
      </c>
      <c r="R400" s="8646" t="s">
        <v>1114</v>
      </c>
      <c r="S400" s="8646" t="s">
        <v>113</v>
      </c>
      <c r="T400" s="8646" t="s">
        <v>113</v>
      </c>
      <c r="U400" s="8646" t="s">
        <v>114</v>
      </c>
      <c r="V400" s="8646" t="s">
        <v>1115</v>
      </c>
      <c r="W400" s="8646" t="s">
        <v>1116</v>
      </c>
      <c r="X400" s="8646" t="s">
        <v>1209</v>
      </c>
      <c r="Y400" s="8646" t="s">
        <v>121</v>
      </c>
      <c r="Z400" s="1321"/>
      <c r="AA400" s="1322"/>
      <c r="AB400" s="1322"/>
      <c r="AC400" s="1326"/>
      <c r="AD400" s="1326"/>
      <c r="AE400" s="1327"/>
      <c r="AF400" s="2665"/>
      <c r="AG400" s="2666"/>
      <c r="AH400" s="2666"/>
      <c r="AI400" s="8647"/>
      <c r="AJ400" s="2666"/>
      <c r="AK400" s="2666"/>
      <c r="AL400" s="2131"/>
      <c r="AM400" s="1968"/>
      <c r="AN400" s="1968"/>
      <c r="AO400" s="1968"/>
      <c r="AP400" s="1968"/>
      <c r="AQ400" s="1968"/>
      <c r="AR400" s="1968"/>
      <c r="AS400" s="1968"/>
      <c r="AT400" s="1968"/>
      <c r="AU400" s="1968"/>
      <c r="AV400" s="1968"/>
      <c r="AW400" s="1968"/>
      <c r="AX400" s="1968"/>
      <c r="AY400" s="1968"/>
      <c r="AZ400" s="1968"/>
      <c r="BA400" s="1968"/>
      <c r="BB400" s="1968"/>
      <c r="BC400" s="1968"/>
      <c r="BD400" s="1968"/>
      <c r="BE400" s="1968"/>
      <c r="BF400" s="1968"/>
      <c r="BG400" s="7235"/>
    </row>
    <row customHeight="1" ht="11.25">
      <c r="A401" s="1312" t="s">
        <v>1069</v>
      </c>
      <c r="B401" s="1312"/>
      <c r="C401" s="1312"/>
      <c r="D401" s="1306"/>
      <c r="E401" s="1316"/>
      <c r="F401" s="1974"/>
      <c r="G401" s="1975"/>
      <c r="H401" s="2674" t="s">
        <v>1254</v>
      </c>
      <c r="I401" s="2675"/>
      <c r="J401" s="8650"/>
      <c r="K401" s="2676"/>
      <c r="L401" s="2266"/>
      <c r="M401" s="2267"/>
      <c r="N401" s="2667"/>
      <c r="O401" s="2668"/>
      <c r="P401" s="2670"/>
      <c r="Q401" s="8645"/>
      <c r="R401" s="2672"/>
      <c r="S401" s="2673"/>
      <c r="T401" s="2672"/>
      <c r="U401" s="2672"/>
      <c r="V401" s="2672"/>
      <c r="W401" s="2672"/>
      <c r="X401" s="2672"/>
      <c r="Y401" s="2672"/>
      <c r="Z401" s="1973"/>
      <c r="AA401" s="1939">
        <v>1</v>
      </c>
      <c r="AB401" s="1325" t="s">
        <v>1131</v>
      </c>
      <c r="AC401" s="1315">
        <v>33350</v>
      </c>
      <c r="AD401" s="1325" t="str">
        <f>AB401</f>
        <v>      Прочие амортизационные отчисления</v>
      </c>
      <c r="AE401" s="1315">
        <v>17046.19575</v>
      </c>
      <c r="AF401" s="2665"/>
      <c r="AG401" s="2666"/>
      <c r="AH401" s="2666"/>
      <c r="AI401" s="8647"/>
      <c r="AJ401" s="2666"/>
      <c r="AK401" s="2666"/>
      <c r="AL401" s="2131"/>
      <c r="AM401" s="1968"/>
      <c r="AN401" s="1968"/>
      <c r="AO401" s="1968"/>
      <c r="AP401" s="1968"/>
      <c r="AQ401" s="1968"/>
      <c r="AR401" s="1968"/>
      <c r="AS401" s="1968"/>
      <c r="AT401" s="1968"/>
      <c r="AU401" s="1968"/>
      <c r="AV401" s="1968"/>
      <c r="AW401" s="1968"/>
      <c r="AX401" s="1968"/>
      <c r="AY401" s="1968"/>
      <c r="AZ401" s="1968"/>
      <c r="BA401" s="1968"/>
      <c r="BB401" s="1968"/>
      <c r="BC401" s="1968"/>
      <c r="BD401" s="1968"/>
      <c r="BE401" s="1968"/>
      <c r="BF401" s="1968"/>
      <c r="BG401" s="7235"/>
    </row>
    <row customHeight="1" ht="11.25">
      <c r="A402" s="1312" t="s">
        <v>1069</v>
      </c>
      <c r="B402" s="1312"/>
      <c r="C402" s="1312"/>
      <c r="D402" s="1306"/>
      <c r="E402" s="1316"/>
      <c r="F402" s="1974"/>
      <c r="G402" s="1975"/>
      <c r="H402" s="2674" t="s">
        <v>1254</v>
      </c>
      <c r="I402" s="2675"/>
      <c r="J402" s="8650"/>
      <c r="K402" s="2676"/>
      <c r="L402" s="2266"/>
      <c r="M402" s="2267"/>
      <c r="N402" s="2667"/>
      <c r="O402" s="2668"/>
      <c r="P402" s="2671"/>
      <c r="Q402" s="8645"/>
      <c r="R402" s="2672"/>
      <c r="S402" s="2673"/>
      <c r="T402" s="2672"/>
      <c r="U402" s="2672"/>
      <c r="V402" s="2672"/>
      <c r="W402" s="2672"/>
      <c r="X402" s="2672"/>
      <c r="Y402" s="2672"/>
      <c r="Z402" s="1321"/>
      <c r="AA402" s="1322"/>
      <c r="AB402" s="1387" t="s">
        <v>1107</v>
      </c>
      <c r="AC402" s="1326"/>
      <c r="AD402" s="1326"/>
      <c r="AE402" s="1328"/>
      <c r="AF402" s="2665"/>
      <c r="AG402" s="2666"/>
      <c r="AH402" s="2666"/>
      <c r="AI402" s="8647"/>
      <c r="AJ402" s="2666"/>
      <c r="AK402" s="2666"/>
      <c r="AL402" s="2131"/>
      <c r="AM402" s="1968"/>
      <c r="AN402" s="1968"/>
      <c r="AO402" s="1968"/>
      <c r="AP402" s="1968"/>
      <c r="AQ402" s="1968"/>
      <c r="AR402" s="1968"/>
      <c r="AS402" s="1968"/>
      <c r="AT402" s="1968"/>
      <c r="AU402" s="1968"/>
      <c r="AV402" s="1968"/>
      <c r="AW402" s="1968"/>
      <c r="AX402" s="1968"/>
      <c r="AY402" s="1968"/>
      <c r="AZ402" s="1968"/>
      <c r="BA402" s="1968"/>
      <c r="BB402" s="1968"/>
      <c r="BC402" s="1968"/>
      <c r="BD402" s="1968"/>
      <c r="BE402" s="1968"/>
      <c r="BF402" s="1968"/>
      <c r="BG402" s="7235"/>
    </row>
    <row customHeight="1" ht="11.25">
      <c r="A403" s="1312" t="s">
        <v>1069</v>
      </c>
      <c r="B403" s="1312"/>
      <c r="C403" s="1312"/>
      <c r="D403" s="1306"/>
      <c r="E403" s="1316"/>
      <c r="F403" s="1974"/>
      <c r="G403" s="1975"/>
      <c r="H403" s="2674" t="s">
        <v>1254</v>
      </c>
      <c r="I403" s="2675"/>
      <c r="J403" s="8650"/>
      <c r="K403" s="2676"/>
      <c r="L403" s="2266"/>
      <c r="M403" s="2267"/>
      <c r="N403" s="1321"/>
      <c r="O403" s="1322"/>
      <c r="P403" s="1314" t="s">
        <v>1108</v>
      </c>
      <c r="Q403" s="1322"/>
      <c r="R403" s="1322"/>
      <c r="S403" s="1322"/>
      <c r="T403" s="1322"/>
      <c r="U403" s="1322"/>
      <c r="V403" s="1322"/>
      <c r="W403" s="1322"/>
      <c r="X403" s="1322"/>
      <c r="Y403" s="1322"/>
      <c r="Z403" s="1322"/>
      <c r="AA403" s="1322"/>
      <c r="AB403" s="1322"/>
      <c r="AC403" s="1322"/>
      <c r="AD403" s="1322"/>
      <c r="AE403" s="1329"/>
      <c r="AF403" s="2665"/>
      <c r="AG403" s="2666"/>
      <c r="AH403" s="2666"/>
      <c r="AI403" s="8647"/>
      <c r="AJ403" s="2666"/>
      <c r="AK403" s="2666"/>
      <c r="AL403" s="2131"/>
      <c r="AM403" s="1968"/>
      <c r="AN403" s="1968"/>
      <c r="AO403" s="1968"/>
      <c r="AP403" s="1968"/>
      <c r="AQ403" s="1968"/>
      <c r="AR403" s="1968"/>
      <c r="AS403" s="1968"/>
      <c r="AT403" s="1968"/>
      <c r="AU403" s="1968"/>
      <c r="AV403" s="1968"/>
      <c r="AW403" s="1968"/>
      <c r="AX403" s="1968"/>
      <c r="AY403" s="1968"/>
      <c r="AZ403" s="1968"/>
      <c r="BA403" s="1968"/>
      <c r="BB403" s="1968"/>
      <c r="BC403" s="1968"/>
      <c r="BD403" s="1968"/>
      <c r="BE403" s="1968"/>
      <c r="BF403" s="1968"/>
      <c r="BG403" s="7235"/>
    </row>
    <row customHeight="1" ht="11.25">
      <c r="A404" s="1312" t="s">
        <v>1069</v>
      </c>
      <c r="B404" s="1312" t="s">
        <v>22</v>
      </c>
      <c r="C404" s="1312"/>
      <c r="D404" s="1306"/>
      <c r="E404" s="1316"/>
      <c r="F404" s="1974"/>
      <c r="G404" s="7143" t="s">
        <v>106</v>
      </c>
      <c r="H404" s="2674" t="s">
        <v>100</v>
      </c>
      <c r="I404" s="2675" t="s">
        <v>1101</v>
      </c>
      <c r="J404" s="8650" t="s">
        <v>22</v>
      </c>
      <c r="K404" s="2676" t="s">
        <v>1258</v>
      </c>
      <c r="L404" s="2266" t="s">
        <v>19</v>
      </c>
      <c r="M404" s="2267"/>
      <c r="N404" s="2129"/>
      <c r="O404" s="1323" t="s">
        <v>398</v>
      </c>
      <c r="P404" s="1324"/>
      <c r="Q404" s="1324"/>
      <c r="R404" s="1324"/>
      <c r="S404" s="1324"/>
      <c r="T404" s="1324"/>
      <c r="U404" s="1324"/>
      <c r="V404" s="1324"/>
      <c r="W404" s="1324"/>
      <c r="X404" s="1324"/>
      <c r="Y404" s="1324"/>
      <c r="Z404" s="1324"/>
      <c r="AA404" s="1324"/>
      <c r="AB404" s="1324"/>
      <c r="AC404" s="1324"/>
      <c r="AD404" s="1324"/>
      <c r="AE404" s="1324"/>
      <c r="AF404" s="2665">
        <v>2024</v>
      </c>
      <c r="AG404" s="2666" t="s">
        <v>1103</v>
      </c>
      <c r="AH404" s="2666" t="s">
        <v>1154</v>
      </c>
      <c r="AI404" s="2665">
        <v>2024</v>
      </c>
      <c r="AJ404" s="2666" t="s">
        <v>1103</v>
      </c>
      <c r="AK404" s="2666" t="s">
        <v>1154</v>
      </c>
      <c r="AL404" s="2131"/>
      <c r="AM404" s="1968"/>
      <c r="AN404" s="1968"/>
      <c r="AO404" s="1968"/>
      <c r="AP404" s="1968"/>
      <c r="AQ404" s="1968"/>
      <c r="AR404" s="1968"/>
      <c r="AS404" s="1968"/>
      <c r="AT404" s="1968"/>
      <c r="AU404" s="1968"/>
      <c r="AV404" s="1968"/>
      <c r="AW404" s="1968"/>
      <c r="AX404" s="1968"/>
      <c r="AY404" s="1968"/>
      <c r="AZ404" s="1968"/>
      <c r="BA404" s="1968"/>
      <c r="BB404" s="1968"/>
      <c r="BC404" s="1968"/>
      <c r="BD404" s="1968"/>
      <c r="BE404" s="1968"/>
      <c r="BF404" s="1968"/>
      <c r="BG404" s="7235"/>
    </row>
    <row customHeight="1" ht="11.25">
      <c r="A405" s="1312" t="s">
        <v>1069</v>
      </c>
      <c r="B405" s="1312"/>
      <c r="C405" s="1312"/>
      <c r="D405" s="1306"/>
      <c r="E405" s="1316"/>
      <c r="F405" s="1974"/>
      <c r="G405" s="1975"/>
      <c r="H405" s="2674" t="s">
        <v>1256</v>
      </c>
      <c r="I405" s="2675"/>
      <c r="J405" s="8650"/>
      <c r="K405" s="2676"/>
      <c r="L405" s="2266"/>
      <c r="M405" s="2267"/>
      <c r="N405" s="2667"/>
      <c r="O405" s="2668">
        <v>1</v>
      </c>
      <c r="P405" s="2669" t="s">
        <v>63</v>
      </c>
      <c r="Q405" s="8645" t="s">
        <v>1208</v>
      </c>
      <c r="R405" s="8646" t="s">
        <v>1114</v>
      </c>
      <c r="S405" s="8646" t="s">
        <v>113</v>
      </c>
      <c r="T405" s="8646" t="s">
        <v>113</v>
      </c>
      <c r="U405" s="8646" t="s">
        <v>114</v>
      </c>
      <c r="V405" s="8646" t="s">
        <v>1115</v>
      </c>
      <c r="W405" s="8646" t="s">
        <v>1116</v>
      </c>
      <c r="X405" s="8646" t="s">
        <v>1209</v>
      </c>
      <c r="Y405" s="8646" t="s">
        <v>121</v>
      </c>
      <c r="Z405" s="1321"/>
      <c r="AA405" s="1322"/>
      <c r="AB405" s="1322"/>
      <c r="AC405" s="1326"/>
      <c r="AD405" s="1326"/>
      <c r="AE405" s="1327"/>
      <c r="AF405" s="2665"/>
      <c r="AG405" s="2666"/>
      <c r="AH405" s="2666"/>
      <c r="AI405" s="2665"/>
      <c r="AJ405" s="2666"/>
      <c r="AK405" s="2666"/>
      <c r="AL405" s="2131"/>
      <c r="AM405" s="1968"/>
      <c r="AN405" s="1968"/>
      <c r="AO405" s="1968"/>
      <c r="AP405" s="1968"/>
      <c r="AQ405" s="1968"/>
      <c r="AR405" s="1968"/>
      <c r="AS405" s="1968"/>
      <c r="AT405" s="1968"/>
      <c r="AU405" s="1968"/>
      <c r="AV405" s="1968"/>
      <c r="AW405" s="1968"/>
      <c r="AX405" s="1968"/>
      <c r="AY405" s="1968"/>
      <c r="AZ405" s="1968"/>
      <c r="BA405" s="1968"/>
      <c r="BB405" s="1968"/>
      <c r="BC405" s="1968"/>
      <c r="BD405" s="1968"/>
      <c r="BE405" s="1968"/>
      <c r="BF405" s="1968"/>
      <c r="BG405" s="7235"/>
    </row>
    <row customHeight="1" ht="11.25">
      <c r="A406" s="1312" t="s">
        <v>1069</v>
      </c>
      <c r="B406" s="1312"/>
      <c r="C406" s="1312"/>
      <c r="D406" s="1306"/>
      <c r="E406" s="1316"/>
      <c r="F406" s="1974"/>
      <c r="G406" s="1975"/>
      <c r="H406" s="2674" t="s">
        <v>1256</v>
      </c>
      <c r="I406" s="2675"/>
      <c r="J406" s="8650"/>
      <c r="K406" s="2676"/>
      <c r="L406" s="2266"/>
      <c r="M406" s="2267"/>
      <c r="N406" s="2667"/>
      <c r="O406" s="2668"/>
      <c r="P406" s="2670"/>
      <c r="Q406" s="8645"/>
      <c r="R406" s="2672"/>
      <c r="S406" s="2673"/>
      <c r="T406" s="2672"/>
      <c r="U406" s="2672"/>
      <c r="V406" s="2672"/>
      <c r="W406" s="2672"/>
      <c r="X406" s="2672"/>
      <c r="Y406" s="2672"/>
      <c r="Z406" s="1973"/>
      <c r="AA406" s="1939">
        <v>1</v>
      </c>
      <c r="AB406" s="1325" t="s">
        <v>1131</v>
      </c>
      <c r="AC406" s="1315">
        <v>4500</v>
      </c>
      <c r="AD406" s="1325" t="str">
        <f>AB406</f>
        <v>      Прочие амортизационные отчисления</v>
      </c>
      <c r="AE406" s="1315">
        <v>4415.52083333333</v>
      </c>
      <c r="AF406" s="2665"/>
      <c r="AG406" s="2666"/>
      <c r="AH406" s="2666"/>
      <c r="AI406" s="2665"/>
      <c r="AJ406" s="2666"/>
      <c r="AK406" s="2666"/>
      <c r="AL406" s="2131"/>
      <c r="AM406" s="1968"/>
      <c r="AN406" s="1968"/>
      <c r="AO406" s="1968"/>
      <c r="AP406" s="1968"/>
      <c r="AQ406" s="1968"/>
      <c r="AR406" s="1968"/>
      <c r="AS406" s="1968"/>
      <c r="AT406" s="1968"/>
      <c r="AU406" s="1968"/>
      <c r="AV406" s="1968"/>
      <c r="AW406" s="1968"/>
      <c r="AX406" s="1968"/>
      <c r="AY406" s="1968"/>
      <c r="AZ406" s="1968"/>
      <c r="BA406" s="1968"/>
      <c r="BB406" s="1968"/>
      <c r="BC406" s="1968"/>
      <c r="BD406" s="1968"/>
      <c r="BE406" s="1968"/>
      <c r="BF406" s="1968"/>
      <c r="BG406" s="7235"/>
    </row>
    <row customHeight="1" ht="11.25">
      <c r="A407" s="1312" t="s">
        <v>1069</v>
      </c>
      <c r="B407" s="1312"/>
      <c r="C407" s="1312"/>
      <c r="D407" s="1306"/>
      <c r="E407" s="1316"/>
      <c r="F407" s="1974"/>
      <c r="G407" s="1975"/>
      <c r="H407" s="2674" t="s">
        <v>1256</v>
      </c>
      <c r="I407" s="2675"/>
      <c r="J407" s="8650"/>
      <c r="K407" s="2676"/>
      <c r="L407" s="2266"/>
      <c r="M407" s="2267"/>
      <c r="N407" s="2667"/>
      <c r="O407" s="2668"/>
      <c r="P407" s="2671"/>
      <c r="Q407" s="8645"/>
      <c r="R407" s="2672"/>
      <c r="S407" s="2673"/>
      <c r="T407" s="2672"/>
      <c r="U407" s="2672"/>
      <c r="V407" s="2672"/>
      <c r="W407" s="2672"/>
      <c r="X407" s="2672"/>
      <c r="Y407" s="2672"/>
      <c r="Z407" s="1321"/>
      <c r="AA407" s="1322"/>
      <c r="AB407" s="1387" t="s">
        <v>1107</v>
      </c>
      <c r="AC407" s="1326"/>
      <c r="AD407" s="1326"/>
      <c r="AE407" s="1328"/>
      <c r="AF407" s="2665"/>
      <c r="AG407" s="2666"/>
      <c r="AH407" s="2666"/>
      <c r="AI407" s="2665"/>
      <c r="AJ407" s="2666"/>
      <c r="AK407" s="2666"/>
      <c r="AL407" s="2131"/>
      <c r="AM407" s="1968"/>
      <c r="AN407" s="1968"/>
      <c r="AO407" s="1968"/>
      <c r="AP407" s="1968"/>
      <c r="AQ407" s="1968"/>
      <c r="AR407" s="1968"/>
      <c r="AS407" s="1968"/>
      <c r="AT407" s="1968"/>
      <c r="AU407" s="1968"/>
      <c r="AV407" s="1968"/>
      <c r="AW407" s="1968"/>
      <c r="AX407" s="1968"/>
      <c r="AY407" s="1968"/>
      <c r="AZ407" s="1968"/>
      <c r="BA407" s="1968"/>
      <c r="BB407" s="1968"/>
      <c r="BC407" s="1968"/>
      <c r="BD407" s="1968"/>
      <c r="BE407" s="1968"/>
      <c r="BF407" s="1968"/>
      <c r="BG407" s="7235"/>
    </row>
    <row customHeight="1" ht="11.25">
      <c r="A408" s="1312" t="s">
        <v>1069</v>
      </c>
      <c r="B408" s="1312"/>
      <c r="C408" s="1312"/>
      <c r="D408" s="1306"/>
      <c r="E408" s="1316"/>
      <c r="F408" s="1974"/>
      <c r="G408" s="1975"/>
      <c r="H408" s="2674" t="s">
        <v>1256</v>
      </c>
      <c r="I408" s="2675"/>
      <c r="J408" s="8650"/>
      <c r="K408" s="2676"/>
      <c r="L408" s="2266"/>
      <c r="M408" s="2267"/>
      <c r="N408" s="1321"/>
      <c r="O408" s="1322"/>
      <c r="P408" s="1314" t="s">
        <v>1108</v>
      </c>
      <c r="Q408" s="1322"/>
      <c r="R408" s="1322"/>
      <c r="S408" s="1322"/>
      <c r="T408" s="1322"/>
      <c r="U408" s="1322"/>
      <c r="V408" s="1322"/>
      <c r="W408" s="1322"/>
      <c r="X408" s="1322"/>
      <c r="Y408" s="1322"/>
      <c r="Z408" s="1322"/>
      <c r="AA408" s="1322"/>
      <c r="AB408" s="1322"/>
      <c r="AC408" s="1322"/>
      <c r="AD408" s="1322"/>
      <c r="AE408" s="1329"/>
      <c r="AF408" s="2665"/>
      <c r="AG408" s="2666"/>
      <c r="AH408" s="2666"/>
      <c r="AI408" s="2665"/>
      <c r="AJ408" s="2666"/>
      <c r="AK408" s="2666"/>
      <c r="AL408" s="2131"/>
      <c r="AM408" s="1968"/>
      <c r="AN408" s="1968"/>
      <c r="AO408" s="1968"/>
      <c r="AP408" s="1968"/>
      <c r="AQ408" s="1968"/>
      <c r="AR408" s="1968"/>
      <c r="AS408" s="1968"/>
      <c r="AT408" s="1968"/>
      <c r="AU408" s="1968"/>
      <c r="AV408" s="1968"/>
      <c r="AW408" s="1968"/>
      <c r="AX408" s="1968"/>
      <c r="AY408" s="1968"/>
      <c r="AZ408" s="1968"/>
      <c r="BA408" s="1968"/>
      <c r="BB408" s="1968"/>
      <c r="BC408" s="1968"/>
      <c r="BD408" s="1968"/>
      <c r="BE408" s="1968"/>
      <c r="BF408" s="1968"/>
      <c r="BG408" s="7235"/>
    </row>
    <row customHeight="1" ht="11.25">
      <c r="A409" s="1312" t="s">
        <v>1069</v>
      </c>
      <c r="B409" s="1312" t="s">
        <v>22</v>
      </c>
      <c r="C409" s="1312"/>
      <c r="D409" s="1306"/>
      <c r="E409" s="1316"/>
      <c r="F409" s="1974"/>
      <c r="G409" s="7143" t="s">
        <v>106</v>
      </c>
      <c r="H409" s="2674" t="s">
        <v>1259</v>
      </c>
      <c r="I409" s="2675" t="s">
        <v>1101</v>
      </c>
      <c r="J409" s="8650" t="s">
        <v>22</v>
      </c>
      <c r="K409" s="2676" t="s">
        <v>1260</v>
      </c>
      <c r="L409" s="2266" t="s">
        <v>19</v>
      </c>
      <c r="M409" s="2267"/>
      <c r="N409" s="2129"/>
      <c r="O409" s="1323" t="s">
        <v>398</v>
      </c>
      <c r="P409" s="1324"/>
      <c r="Q409" s="1324"/>
      <c r="R409" s="1324"/>
      <c r="S409" s="1324"/>
      <c r="T409" s="1324"/>
      <c r="U409" s="1324"/>
      <c r="V409" s="1324"/>
      <c r="W409" s="1324"/>
      <c r="X409" s="1324"/>
      <c r="Y409" s="1324"/>
      <c r="Z409" s="1324"/>
      <c r="AA409" s="1324"/>
      <c r="AB409" s="1324"/>
      <c r="AC409" s="1324"/>
      <c r="AD409" s="1324"/>
      <c r="AE409" s="1324"/>
      <c r="AF409" s="2665">
        <v>2024</v>
      </c>
      <c r="AG409" s="2666" t="s">
        <v>1103</v>
      </c>
      <c r="AH409" s="2666" t="s">
        <v>1154</v>
      </c>
      <c r="AI409" s="8647"/>
      <c r="AJ409" s="2666" t="s">
        <v>1152</v>
      </c>
      <c r="AK409" s="2666" t="s">
        <v>1152</v>
      </c>
      <c r="AL409" s="2131"/>
      <c r="AM409" s="1968"/>
      <c r="AN409" s="1968"/>
      <c r="AO409" s="1968"/>
      <c r="AP409" s="1968"/>
      <c r="AQ409" s="1968"/>
      <c r="AR409" s="1968"/>
      <c r="AS409" s="1968"/>
      <c r="AT409" s="1968"/>
      <c r="AU409" s="1968"/>
      <c r="AV409" s="1968"/>
      <c r="AW409" s="1968"/>
      <c r="AX409" s="1968"/>
      <c r="AY409" s="1968"/>
      <c r="AZ409" s="1968"/>
      <c r="BA409" s="1968"/>
      <c r="BB409" s="1968"/>
      <c r="BC409" s="1968"/>
      <c r="BD409" s="1968"/>
      <c r="BE409" s="1968"/>
      <c r="BF409" s="1968"/>
      <c r="BG409" s="7235"/>
    </row>
    <row customHeight="1" ht="11.25">
      <c r="A410" s="1312" t="s">
        <v>1069</v>
      </c>
      <c r="B410" s="1312"/>
      <c r="C410" s="1312"/>
      <c r="D410" s="1306"/>
      <c r="E410" s="1316"/>
      <c r="F410" s="1974"/>
      <c r="G410" s="1975"/>
      <c r="H410" s="2674" t="s">
        <v>100</v>
      </c>
      <c r="I410" s="2675"/>
      <c r="J410" s="8650"/>
      <c r="K410" s="2676"/>
      <c r="L410" s="2266"/>
      <c r="M410" s="2267"/>
      <c r="N410" s="2667"/>
      <c r="O410" s="2668">
        <v>1</v>
      </c>
      <c r="P410" s="2669" t="s">
        <v>63</v>
      </c>
      <c r="Q410" s="8645" t="s">
        <v>1208</v>
      </c>
      <c r="R410" s="8646" t="s">
        <v>1114</v>
      </c>
      <c r="S410" s="8646" t="s">
        <v>113</v>
      </c>
      <c r="T410" s="8646" t="s">
        <v>113</v>
      </c>
      <c r="U410" s="8646" t="s">
        <v>114</v>
      </c>
      <c r="V410" s="8646" t="s">
        <v>1115</v>
      </c>
      <c r="W410" s="8646" t="s">
        <v>1116</v>
      </c>
      <c r="X410" s="8646" t="s">
        <v>1209</v>
      </c>
      <c r="Y410" s="8646" t="s">
        <v>121</v>
      </c>
      <c r="Z410" s="1321"/>
      <c r="AA410" s="1322"/>
      <c r="AB410" s="1322"/>
      <c r="AC410" s="1326"/>
      <c r="AD410" s="1326"/>
      <c r="AE410" s="1327"/>
      <c r="AF410" s="2665"/>
      <c r="AG410" s="2666"/>
      <c r="AH410" s="2666"/>
      <c r="AI410" s="8647"/>
      <c r="AJ410" s="2666"/>
      <c r="AK410" s="2666"/>
      <c r="AL410" s="2131"/>
      <c r="AM410" s="1968"/>
      <c r="AN410" s="1968"/>
      <c r="AO410" s="1968"/>
      <c r="AP410" s="1968"/>
      <c r="AQ410" s="1968"/>
      <c r="AR410" s="1968"/>
      <c r="AS410" s="1968"/>
      <c r="AT410" s="1968"/>
      <c r="AU410" s="1968"/>
      <c r="AV410" s="1968"/>
      <c r="AW410" s="1968"/>
      <c r="AX410" s="1968"/>
      <c r="AY410" s="1968"/>
      <c r="AZ410" s="1968"/>
      <c r="BA410" s="1968"/>
      <c r="BB410" s="1968"/>
      <c r="BC410" s="1968"/>
      <c r="BD410" s="1968"/>
      <c r="BE410" s="1968"/>
      <c r="BF410" s="1968"/>
      <c r="BG410" s="7235"/>
    </row>
    <row customHeight="1" ht="11.25">
      <c r="A411" s="1312" t="s">
        <v>1069</v>
      </c>
      <c r="B411" s="1312"/>
      <c r="C411" s="1312"/>
      <c r="D411" s="1306"/>
      <c r="E411" s="1316"/>
      <c r="F411" s="1974"/>
      <c r="G411" s="1975"/>
      <c r="H411" s="2674" t="s">
        <v>100</v>
      </c>
      <c r="I411" s="2675"/>
      <c r="J411" s="8650"/>
      <c r="K411" s="2676"/>
      <c r="L411" s="2266"/>
      <c r="M411" s="2267"/>
      <c r="N411" s="2667"/>
      <c r="O411" s="2668"/>
      <c r="P411" s="2670"/>
      <c r="Q411" s="8645"/>
      <c r="R411" s="2672"/>
      <c r="S411" s="2673"/>
      <c r="T411" s="2672"/>
      <c r="U411" s="2672"/>
      <c r="V411" s="2672"/>
      <c r="W411" s="2672"/>
      <c r="X411" s="2672"/>
      <c r="Y411" s="2672"/>
      <c r="Z411" s="1973"/>
      <c r="AA411" s="1939">
        <v>1</v>
      </c>
      <c r="AB411" s="1325" t="s">
        <v>1131</v>
      </c>
      <c r="AC411" s="1315">
        <v>1625</v>
      </c>
      <c r="AD411" s="1325" t="str">
        <f>AB411</f>
        <v>      Прочие амортизационные отчисления</v>
      </c>
      <c r="AE411" s="1315">
        <v>325.0125</v>
      </c>
      <c r="AF411" s="2665"/>
      <c r="AG411" s="2666"/>
      <c r="AH411" s="2666"/>
      <c r="AI411" s="8647"/>
      <c r="AJ411" s="2666"/>
      <c r="AK411" s="2666"/>
      <c r="AL411" s="2131"/>
      <c r="AM411" s="1968"/>
      <c r="AN411" s="1968"/>
      <c r="AO411" s="1968"/>
      <c r="AP411" s="1968"/>
      <c r="AQ411" s="1968"/>
      <c r="AR411" s="1968"/>
      <c r="AS411" s="1968"/>
      <c r="AT411" s="1968"/>
      <c r="AU411" s="1968"/>
      <c r="AV411" s="1968"/>
      <c r="AW411" s="1968"/>
      <c r="AX411" s="1968"/>
      <c r="AY411" s="1968"/>
      <c r="AZ411" s="1968"/>
      <c r="BA411" s="1968"/>
      <c r="BB411" s="1968"/>
      <c r="BC411" s="1968"/>
      <c r="BD411" s="1968"/>
      <c r="BE411" s="1968"/>
      <c r="BF411" s="1968"/>
      <c r="BG411" s="7235"/>
    </row>
    <row customHeight="1" ht="11.25">
      <c r="A412" s="1312" t="s">
        <v>1069</v>
      </c>
      <c r="B412" s="1312"/>
      <c r="C412" s="1312"/>
      <c r="D412" s="1306"/>
      <c r="E412" s="1316"/>
      <c r="F412" s="1974"/>
      <c r="G412" s="1975"/>
      <c r="H412" s="2674" t="s">
        <v>100</v>
      </c>
      <c r="I412" s="2675"/>
      <c r="J412" s="8650"/>
      <c r="K412" s="2676"/>
      <c r="L412" s="2266"/>
      <c r="M412" s="2267"/>
      <c r="N412" s="2667"/>
      <c r="O412" s="2668"/>
      <c r="P412" s="2671"/>
      <c r="Q412" s="8645"/>
      <c r="R412" s="2672"/>
      <c r="S412" s="2673"/>
      <c r="T412" s="2672"/>
      <c r="U412" s="2672"/>
      <c r="V412" s="2672"/>
      <c r="W412" s="2672"/>
      <c r="X412" s="2672"/>
      <c r="Y412" s="2672"/>
      <c r="Z412" s="1321"/>
      <c r="AA412" s="1322"/>
      <c r="AB412" s="1387" t="s">
        <v>1107</v>
      </c>
      <c r="AC412" s="1326"/>
      <c r="AD412" s="1326"/>
      <c r="AE412" s="1328"/>
      <c r="AF412" s="2665"/>
      <c r="AG412" s="2666"/>
      <c r="AH412" s="2666"/>
      <c r="AI412" s="8647"/>
      <c r="AJ412" s="2666"/>
      <c r="AK412" s="2666"/>
      <c r="AL412" s="2131"/>
      <c r="AM412" s="1968"/>
      <c r="AN412" s="1968"/>
      <c r="AO412" s="1968"/>
      <c r="AP412" s="1968"/>
      <c r="AQ412" s="1968"/>
      <c r="AR412" s="1968"/>
      <c r="AS412" s="1968"/>
      <c r="AT412" s="1968"/>
      <c r="AU412" s="1968"/>
      <c r="AV412" s="1968"/>
      <c r="AW412" s="1968"/>
      <c r="AX412" s="1968"/>
      <c r="AY412" s="1968"/>
      <c r="AZ412" s="1968"/>
      <c r="BA412" s="1968"/>
      <c r="BB412" s="1968"/>
      <c r="BC412" s="1968"/>
      <c r="BD412" s="1968"/>
      <c r="BE412" s="1968"/>
      <c r="BF412" s="1968"/>
      <c r="BG412" s="7235"/>
    </row>
    <row customHeight="1" ht="11.25">
      <c r="A413" s="1312" t="s">
        <v>1069</v>
      </c>
      <c r="B413" s="1312"/>
      <c r="C413" s="1312"/>
      <c r="D413" s="1306"/>
      <c r="E413" s="1316"/>
      <c r="F413" s="1974"/>
      <c r="G413" s="1975"/>
      <c r="H413" s="2674" t="s">
        <v>100</v>
      </c>
      <c r="I413" s="2675"/>
      <c r="J413" s="8650"/>
      <c r="K413" s="2676"/>
      <c r="L413" s="2266"/>
      <c r="M413" s="2267"/>
      <c r="N413" s="1321"/>
      <c r="O413" s="1322"/>
      <c r="P413" s="1314" t="s">
        <v>1108</v>
      </c>
      <c r="Q413" s="1322"/>
      <c r="R413" s="1322"/>
      <c r="S413" s="1322"/>
      <c r="T413" s="1322"/>
      <c r="U413" s="1322"/>
      <c r="V413" s="1322"/>
      <c r="W413" s="1322"/>
      <c r="X413" s="1322"/>
      <c r="Y413" s="1322"/>
      <c r="Z413" s="1322"/>
      <c r="AA413" s="1322"/>
      <c r="AB413" s="1322"/>
      <c r="AC413" s="1322"/>
      <c r="AD413" s="1322"/>
      <c r="AE413" s="1329"/>
      <c r="AF413" s="2665"/>
      <c r="AG413" s="2666"/>
      <c r="AH413" s="2666"/>
      <c r="AI413" s="8647"/>
      <c r="AJ413" s="2666"/>
      <c r="AK413" s="2666"/>
      <c r="AL413" s="2131"/>
      <c r="AM413" s="1968"/>
      <c r="AN413" s="1968"/>
      <c r="AO413" s="1968"/>
      <c r="AP413" s="1968"/>
      <c r="AQ413" s="1968"/>
      <c r="AR413" s="1968"/>
      <c r="AS413" s="1968"/>
      <c r="AT413" s="1968"/>
      <c r="AU413" s="1968"/>
      <c r="AV413" s="1968"/>
      <c r="AW413" s="1968"/>
      <c r="AX413" s="1968"/>
      <c r="AY413" s="1968"/>
      <c r="AZ413" s="1968"/>
      <c r="BA413" s="1968"/>
      <c r="BB413" s="1968"/>
      <c r="BC413" s="1968"/>
      <c r="BD413" s="1968"/>
      <c r="BE413" s="1968"/>
      <c r="BF413" s="1968"/>
      <c r="BG413" s="7235"/>
    </row>
    <row customHeight="1" ht="11.25">
      <c r="A414" s="1312" t="s">
        <v>1069</v>
      </c>
      <c r="B414" s="1312" t="s">
        <v>22</v>
      </c>
      <c r="C414" s="1312"/>
      <c r="D414" s="1306"/>
      <c r="E414" s="1316"/>
      <c r="F414" s="1974"/>
      <c r="G414" s="7143" t="s">
        <v>106</v>
      </c>
      <c r="H414" s="2674" t="s">
        <v>1261</v>
      </c>
      <c r="I414" s="2675" t="s">
        <v>1109</v>
      </c>
      <c r="J414" s="8650" t="s">
        <v>22</v>
      </c>
      <c r="K414" s="2676" t="s">
        <v>1262</v>
      </c>
      <c r="L414" s="2266" t="s">
        <v>19</v>
      </c>
      <c r="M414" s="2267"/>
      <c r="N414" s="2129"/>
      <c r="O414" s="1323" t="s">
        <v>398</v>
      </c>
      <c r="P414" s="1324"/>
      <c r="Q414" s="1324"/>
      <c r="R414" s="1324"/>
      <c r="S414" s="1324"/>
      <c r="T414" s="1324"/>
      <c r="U414" s="1324"/>
      <c r="V414" s="1324"/>
      <c r="W414" s="1324"/>
      <c r="X414" s="1324"/>
      <c r="Y414" s="1324"/>
      <c r="Z414" s="1324"/>
      <c r="AA414" s="1324"/>
      <c r="AB414" s="1324"/>
      <c r="AC414" s="1324"/>
      <c r="AD414" s="1324"/>
      <c r="AE414" s="1324"/>
      <c r="AF414" s="2665">
        <v>2027</v>
      </c>
      <c r="AG414" s="2666" t="s">
        <v>1103</v>
      </c>
      <c r="AH414" s="2666" t="s">
        <v>1164</v>
      </c>
      <c r="AI414" s="8647"/>
      <c r="AJ414" s="2666" t="s">
        <v>1105</v>
      </c>
      <c r="AK414" s="2666" t="s">
        <v>1105</v>
      </c>
      <c r="AL414" s="2131"/>
      <c r="AM414" s="1968"/>
      <c r="AN414" s="1968"/>
      <c r="AO414" s="1968"/>
      <c r="AP414" s="1968"/>
      <c r="AQ414" s="1968"/>
      <c r="AR414" s="1968"/>
      <c r="AS414" s="1968"/>
      <c r="AT414" s="1968"/>
      <c r="AU414" s="1968"/>
      <c r="AV414" s="1968"/>
      <c r="AW414" s="1968"/>
      <c r="AX414" s="1968"/>
      <c r="AY414" s="1968"/>
      <c r="AZ414" s="1968"/>
      <c r="BA414" s="1968"/>
      <c r="BB414" s="1968"/>
      <c r="BC414" s="1968"/>
      <c r="BD414" s="1968"/>
      <c r="BE414" s="1968"/>
      <c r="BF414" s="1968"/>
      <c r="BG414" s="7235"/>
    </row>
    <row customHeight="1" ht="11.25">
      <c r="A415" s="1312" t="s">
        <v>1069</v>
      </c>
      <c r="B415" s="1312"/>
      <c r="C415" s="1312"/>
      <c r="D415" s="1306"/>
      <c r="E415" s="1316"/>
      <c r="F415" s="1974"/>
      <c r="G415" s="1975"/>
      <c r="H415" s="2674" t="s">
        <v>1259</v>
      </c>
      <c r="I415" s="2675"/>
      <c r="J415" s="8650"/>
      <c r="K415" s="2676"/>
      <c r="L415" s="2266"/>
      <c r="M415" s="2267"/>
      <c r="N415" s="2667"/>
      <c r="O415" s="2668">
        <v>1</v>
      </c>
      <c r="P415" s="2669" t="s">
        <v>63</v>
      </c>
      <c r="Q415" s="8645" t="s">
        <v>1208</v>
      </c>
      <c r="R415" s="8646" t="s">
        <v>1114</v>
      </c>
      <c r="S415" s="8646" t="s">
        <v>113</v>
      </c>
      <c r="T415" s="8646" t="s">
        <v>113</v>
      </c>
      <c r="U415" s="8646" t="s">
        <v>114</v>
      </c>
      <c r="V415" s="8646" t="s">
        <v>1115</v>
      </c>
      <c r="W415" s="8646" t="s">
        <v>1116</v>
      </c>
      <c r="X415" s="8646" t="s">
        <v>1209</v>
      </c>
      <c r="Y415" s="8646" t="s">
        <v>121</v>
      </c>
      <c r="Z415" s="1321"/>
      <c r="AA415" s="1322"/>
      <c r="AB415" s="1322"/>
      <c r="AC415" s="1326"/>
      <c r="AD415" s="1326"/>
      <c r="AE415" s="1327"/>
      <c r="AF415" s="2665"/>
      <c r="AG415" s="2666"/>
      <c r="AH415" s="2666"/>
      <c r="AI415" s="8647"/>
      <c r="AJ415" s="2666"/>
      <c r="AK415" s="2666"/>
      <c r="AL415" s="2131"/>
      <c r="AM415" s="1968"/>
      <c r="AN415" s="1968"/>
      <c r="AO415" s="1968"/>
      <c r="AP415" s="1968"/>
      <c r="AQ415" s="1968"/>
      <c r="AR415" s="1968"/>
      <c r="AS415" s="1968"/>
      <c r="AT415" s="1968"/>
      <c r="AU415" s="1968"/>
      <c r="AV415" s="1968"/>
      <c r="AW415" s="1968"/>
      <c r="AX415" s="1968"/>
      <c r="AY415" s="1968"/>
      <c r="AZ415" s="1968"/>
      <c r="BA415" s="1968"/>
      <c r="BB415" s="1968"/>
      <c r="BC415" s="1968"/>
      <c r="BD415" s="1968"/>
      <c r="BE415" s="1968"/>
      <c r="BF415" s="1968"/>
      <c r="BG415" s="7235"/>
    </row>
    <row customHeight="1" ht="11.25">
      <c r="A416" s="1312" t="s">
        <v>1069</v>
      </c>
      <c r="B416" s="1312"/>
      <c r="C416" s="1312"/>
      <c r="D416" s="1306"/>
      <c r="E416" s="1316"/>
      <c r="F416" s="1974"/>
      <c r="G416" s="1975"/>
      <c r="H416" s="2674" t="s">
        <v>1259</v>
      </c>
      <c r="I416" s="2675"/>
      <c r="J416" s="8650"/>
      <c r="K416" s="2676"/>
      <c r="L416" s="2266"/>
      <c r="M416" s="2267"/>
      <c r="N416" s="2667"/>
      <c r="O416" s="2668"/>
      <c r="P416" s="2670"/>
      <c r="Q416" s="8645"/>
      <c r="R416" s="2672"/>
      <c r="S416" s="2673"/>
      <c r="T416" s="2672"/>
      <c r="U416" s="2672"/>
      <c r="V416" s="2672"/>
      <c r="W416" s="2672"/>
      <c r="X416" s="2672"/>
      <c r="Y416" s="2672"/>
      <c r="Z416" s="1973"/>
      <c r="AA416" s="1939">
        <v>1</v>
      </c>
      <c r="AB416" s="1325" t="s">
        <v>1131</v>
      </c>
      <c r="AC416" s="1315">
        <v>1613</v>
      </c>
      <c r="AD416" s="1325" t="str">
        <f>AB416</f>
        <v>      Прочие амортизационные отчисления</v>
      </c>
      <c r="AE416" s="1315">
        <v>1612.69455833333</v>
      </c>
      <c r="AF416" s="2665"/>
      <c r="AG416" s="2666"/>
      <c r="AH416" s="2666"/>
      <c r="AI416" s="8647"/>
      <c r="AJ416" s="2666"/>
      <c r="AK416" s="2666"/>
      <c r="AL416" s="2131"/>
      <c r="AM416" s="1968"/>
      <c r="AN416" s="1968"/>
      <c r="AO416" s="1968"/>
      <c r="AP416" s="1968"/>
      <c r="AQ416" s="1968"/>
      <c r="AR416" s="1968"/>
      <c r="AS416" s="1968"/>
      <c r="AT416" s="1968"/>
      <c r="AU416" s="1968"/>
      <c r="AV416" s="1968"/>
      <c r="AW416" s="1968"/>
      <c r="AX416" s="1968"/>
      <c r="AY416" s="1968"/>
      <c r="AZ416" s="1968"/>
      <c r="BA416" s="1968"/>
      <c r="BB416" s="1968"/>
      <c r="BC416" s="1968"/>
      <c r="BD416" s="1968"/>
      <c r="BE416" s="1968"/>
      <c r="BF416" s="1968"/>
      <c r="BG416" s="7235"/>
    </row>
    <row customHeight="1" ht="11.25">
      <c r="A417" s="1312" t="s">
        <v>1069</v>
      </c>
      <c r="B417" s="1312"/>
      <c r="C417" s="1312"/>
      <c r="D417" s="1306"/>
      <c r="E417" s="1316"/>
      <c r="F417" s="1974"/>
      <c r="G417" s="1975"/>
      <c r="H417" s="2674" t="s">
        <v>1259</v>
      </c>
      <c r="I417" s="2675"/>
      <c r="J417" s="8650"/>
      <c r="K417" s="2676"/>
      <c r="L417" s="2266"/>
      <c r="M417" s="2267"/>
      <c r="N417" s="2667"/>
      <c r="O417" s="2668"/>
      <c r="P417" s="2671"/>
      <c r="Q417" s="8645"/>
      <c r="R417" s="2672"/>
      <c r="S417" s="2673"/>
      <c r="T417" s="2672"/>
      <c r="U417" s="2672"/>
      <c r="V417" s="2672"/>
      <c r="W417" s="2672"/>
      <c r="X417" s="2672"/>
      <c r="Y417" s="2672"/>
      <c r="Z417" s="1321"/>
      <c r="AA417" s="1322"/>
      <c r="AB417" s="1387" t="s">
        <v>1107</v>
      </c>
      <c r="AC417" s="1326"/>
      <c r="AD417" s="1326"/>
      <c r="AE417" s="1328"/>
      <c r="AF417" s="2665"/>
      <c r="AG417" s="2666"/>
      <c r="AH417" s="2666"/>
      <c r="AI417" s="8647"/>
      <c r="AJ417" s="2666"/>
      <c r="AK417" s="2666"/>
      <c r="AL417" s="2131"/>
      <c r="AM417" s="1968"/>
      <c r="AN417" s="1968"/>
      <c r="AO417" s="1968"/>
      <c r="AP417" s="1968"/>
      <c r="AQ417" s="1968"/>
      <c r="AR417" s="1968"/>
      <c r="AS417" s="1968"/>
      <c r="AT417" s="1968"/>
      <c r="AU417" s="1968"/>
      <c r="AV417" s="1968"/>
      <c r="AW417" s="1968"/>
      <c r="AX417" s="1968"/>
      <c r="AY417" s="1968"/>
      <c r="AZ417" s="1968"/>
      <c r="BA417" s="1968"/>
      <c r="BB417" s="1968"/>
      <c r="BC417" s="1968"/>
      <c r="BD417" s="1968"/>
      <c r="BE417" s="1968"/>
      <c r="BF417" s="1968"/>
      <c r="BG417" s="7235"/>
    </row>
    <row customHeight="1" ht="11.25">
      <c r="A418" s="1312" t="s">
        <v>1069</v>
      </c>
      <c r="B418" s="1312"/>
      <c r="C418" s="1312"/>
      <c r="D418" s="1306"/>
      <c r="E418" s="1316"/>
      <c r="F418" s="1974"/>
      <c r="G418" s="1975"/>
      <c r="H418" s="2674" t="s">
        <v>1259</v>
      </c>
      <c r="I418" s="2675"/>
      <c r="J418" s="8650"/>
      <c r="K418" s="2676"/>
      <c r="L418" s="2266"/>
      <c r="M418" s="2267"/>
      <c r="N418" s="1321"/>
      <c r="O418" s="1322"/>
      <c r="P418" s="1314" t="s">
        <v>1108</v>
      </c>
      <c r="Q418" s="1322"/>
      <c r="R418" s="1322"/>
      <c r="S418" s="1322"/>
      <c r="T418" s="1322"/>
      <c r="U418" s="1322"/>
      <c r="V418" s="1322"/>
      <c r="W418" s="1322"/>
      <c r="X418" s="1322"/>
      <c r="Y418" s="1322"/>
      <c r="Z418" s="1322"/>
      <c r="AA418" s="1322"/>
      <c r="AB418" s="1322"/>
      <c r="AC418" s="1322"/>
      <c r="AD418" s="1322"/>
      <c r="AE418" s="1329"/>
      <c r="AF418" s="2665"/>
      <c r="AG418" s="2666"/>
      <c r="AH418" s="2666"/>
      <c r="AI418" s="8647"/>
      <c r="AJ418" s="2666"/>
      <c r="AK418" s="2666"/>
      <c r="AL418" s="2131"/>
      <c r="AM418" s="1968"/>
      <c r="AN418" s="1968"/>
      <c r="AO418" s="1968"/>
      <c r="AP418" s="1968"/>
      <c r="AQ418" s="1968"/>
      <c r="AR418" s="1968"/>
      <c r="AS418" s="1968"/>
      <c r="AT418" s="1968"/>
      <c r="AU418" s="1968"/>
      <c r="AV418" s="1968"/>
      <c r="AW418" s="1968"/>
      <c r="AX418" s="1968"/>
      <c r="AY418" s="1968"/>
      <c r="AZ418" s="1968"/>
      <c r="BA418" s="1968"/>
      <c r="BB418" s="1968"/>
      <c r="BC418" s="1968"/>
      <c r="BD418" s="1968"/>
      <c r="BE418" s="1968"/>
      <c r="BF418" s="1968"/>
      <c r="BG418" s="7235"/>
    </row>
    <row customHeight="1" ht="11.25">
      <c r="A419" s="1312" t="s">
        <v>1069</v>
      </c>
      <c r="B419" s="1312" t="s">
        <v>22</v>
      </c>
      <c r="C419" s="1312"/>
      <c r="D419" s="1306"/>
      <c r="E419" s="1316"/>
      <c r="F419" s="1974"/>
      <c r="G419" s="7143" t="s">
        <v>106</v>
      </c>
      <c r="H419" s="2674" t="s">
        <v>1263</v>
      </c>
      <c r="I419" s="2675" t="s">
        <v>1101</v>
      </c>
      <c r="J419" s="8650" t="s">
        <v>22</v>
      </c>
      <c r="K419" s="2676" t="s">
        <v>1264</v>
      </c>
      <c r="L419" s="2266" t="s">
        <v>19</v>
      </c>
      <c r="M419" s="2267"/>
      <c r="N419" s="2129"/>
      <c r="O419" s="1323" t="s">
        <v>398</v>
      </c>
      <c r="P419" s="1324"/>
      <c r="Q419" s="1324"/>
      <c r="R419" s="1324"/>
      <c r="S419" s="1324"/>
      <c r="T419" s="1324"/>
      <c r="U419" s="1324"/>
      <c r="V419" s="1324"/>
      <c r="W419" s="1324"/>
      <c r="X419" s="1324"/>
      <c r="Y419" s="1324"/>
      <c r="Z419" s="1324"/>
      <c r="AA419" s="1324"/>
      <c r="AB419" s="1324"/>
      <c r="AC419" s="1324"/>
      <c r="AD419" s="1324"/>
      <c r="AE419" s="1324"/>
      <c r="AF419" s="2665">
        <v>2025</v>
      </c>
      <c r="AG419" s="2666" t="s">
        <v>1103</v>
      </c>
      <c r="AH419" s="2666" t="s">
        <v>1159</v>
      </c>
      <c r="AI419" s="8647"/>
      <c r="AJ419" s="2666" t="s">
        <v>1105</v>
      </c>
      <c r="AK419" s="2666" t="s">
        <v>1105</v>
      </c>
      <c r="AL419" s="2131"/>
      <c r="AM419" s="1968"/>
      <c r="AN419" s="1968"/>
      <c r="AO419" s="1968"/>
      <c r="AP419" s="1968"/>
      <c r="AQ419" s="1968"/>
      <c r="AR419" s="1968"/>
      <c r="AS419" s="1968"/>
      <c r="AT419" s="1968"/>
      <c r="AU419" s="1968"/>
      <c r="AV419" s="1968"/>
      <c r="AW419" s="1968"/>
      <c r="AX419" s="1968"/>
      <c r="AY419" s="1968"/>
      <c r="AZ419" s="1968"/>
      <c r="BA419" s="1968"/>
      <c r="BB419" s="1968"/>
      <c r="BC419" s="1968"/>
      <c r="BD419" s="1968"/>
      <c r="BE419" s="1968"/>
      <c r="BF419" s="1968"/>
      <c r="BG419" s="7235"/>
    </row>
    <row customHeight="1" ht="11.25">
      <c r="A420" s="1312" t="s">
        <v>1069</v>
      </c>
      <c r="B420" s="1312"/>
      <c r="C420" s="1312"/>
      <c r="D420" s="1306"/>
      <c r="E420" s="1316"/>
      <c r="F420" s="1974"/>
      <c r="G420" s="1975"/>
      <c r="H420" s="2674" t="s">
        <v>1261</v>
      </c>
      <c r="I420" s="2675"/>
      <c r="J420" s="8650"/>
      <c r="K420" s="2676"/>
      <c r="L420" s="2266"/>
      <c r="M420" s="2267"/>
      <c r="N420" s="2667"/>
      <c r="O420" s="2668">
        <v>1</v>
      </c>
      <c r="P420" s="2669" t="s">
        <v>63</v>
      </c>
      <c r="Q420" s="8645" t="s">
        <v>1176</v>
      </c>
      <c r="R420" s="8646" t="s">
        <v>1177</v>
      </c>
      <c r="S420" s="8646" t="s">
        <v>113</v>
      </c>
      <c r="T420" s="8646" t="s">
        <v>113</v>
      </c>
      <c r="U420" s="8646" t="s">
        <v>114</v>
      </c>
      <c r="V420" s="8646" t="s">
        <v>1115</v>
      </c>
      <c r="W420" s="8646" t="s">
        <v>1116</v>
      </c>
      <c r="X420" s="8646" t="s">
        <v>1178</v>
      </c>
      <c r="Y420" s="8646" t="s">
        <v>1178</v>
      </c>
      <c r="Z420" s="1321"/>
      <c r="AA420" s="1322"/>
      <c r="AB420" s="1322"/>
      <c r="AC420" s="1326"/>
      <c r="AD420" s="1326"/>
      <c r="AE420" s="1327"/>
      <c r="AF420" s="2665"/>
      <c r="AG420" s="2666"/>
      <c r="AH420" s="2666"/>
      <c r="AI420" s="8647"/>
      <c r="AJ420" s="2666"/>
      <c r="AK420" s="2666"/>
      <c r="AL420" s="2131"/>
      <c r="AM420" s="1968"/>
      <c r="AN420" s="1968"/>
      <c r="AO420" s="1968"/>
      <c r="AP420" s="1968"/>
      <c r="AQ420" s="1968"/>
      <c r="AR420" s="1968"/>
      <c r="AS420" s="1968"/>
      <c r="AT420" s="1968"/>
      <c r="AU420" s="1968"/>
      <c r="AV420" s="1968"/>
      <c r="AW420" s="1968"/>
      <c r="AX420" s="1968"/>
      <c r="AY420" s="1968"/>
      <c r="AZ420" s="1968"/>
      <c r="BA420" s="1968"/>
      <c r="BB420" s="1968"/>
      <c r="BC420" s="1968"/>
      <c r="BD420" s="1968"/>
      <c r="BE420" s="1968"/>
      <c r="BF420" s="1968"/>
      <c r="BG420" s="7235"/>
    </row>
    <row customHeight="1" ht="11.25">
      <c r="A421" s="1312" t="s">
        <v>1069</v>
      </c>
      <c r="B421" s="1312"/>
      <c r="C421" s="1312"/>
      <c r="D421" s="1306"/>
      <c r="E421" s="1316"/>
      <c r="F421" s="1974"/>
      <c r="G421" s="1975"/>
      <c r="H421" s="2674" t="s">
        <v>1261</v>
      </c>
      <c r="I421" s="2675"/>
      <c r="J421" s="8650"/>
      <c r="K421" s="2676"/>
      <c r="L421" s="2266"/>
      <c r="M421" s="2267"/>
      <c r="N421" s="2667"/>
      <c r="O421" s="2668"/>
      <c r="P421" s="2670"/>
      <c r="Q421" s="8645"/>
      <c r="R421" s="2672"/>
      <c r="S421" s="2673"/>
      <c r="T421" s="2672"/>
      <c r="U421" s="2672"/>
      <c r="V421" s="2672"/>
      <c r="W421" s="2672"/>
      <c r="X421" s="2672"/>
      <c r="Y421" s="2672"/>
      <c r="Z421" s="1973"/>
      <c r="AA421" s="1939">
        <v>1</v>
      </c>
      <c r="AB421" s="1325" t="s">
        <v>1131</v>
      </c>
      <c r="AC421" s="1315">
        <v>5200</v>
      </c>
      <c r="AD421" s="1325" t="str">
        <f>AB421</f>
        <v>      Прочие амортизационные отчисления</v>
      </c>
      <c r="AE421" s="1315">
        <v>4102.20484166667</v>
      </c>
      <c r="AF421" s="2665"/>
      <c r="AG421" s="2666"/>
      <c r="AH421" s="2666"/>
      <c r="AI421" s="8647"/>
      <c r="AJ421" s="2666"/>
      <c r="AK421" s="2666"/>
      <c r="AL421" s="2131"/>
      <c r="AM421" s="1968"/>
      <c r="AN421" s="1968"/>
      <c r="AO421" s="1968"/>
      <c r="AP421" s="1968"/>
      <c r="AQ421" s="1968"/>
      <c r="AR421" s="1968"/>
      <c r="AS421" s="1968"/>
      <c r="AT421" s="1968"/>
      <c r="AU421" s="1968"/>
      <c r="AV421" s="1968"/>
      <c r="AW421" s="1968"/>
      <c r="AX421" s="1968"/>
      <c r="AY421" s="1968"/>
      <c r="AZ421" s="1968"/>
      <c r="BA421" s="1968"/>
      <c r="BB421" s="1968"/>
      <c r="BC421" s="1968"/>
      <c r="BD421" s="1968"/>
      <c r="BE421" s="1968"/>
      <c r="BF421" s="1968"/>
      <c r="BG421" s="7235"/>
    </row>
    <row customHeight="1" ht="11.25">
      <c r="A422" s="1312" t="s">
        <v>1069</v>
      </c>
      <c r="B422" s="1312"/>
      <c r="C422" s="1312"/>
      <c r="D422" s="1306"/>
      <c r="E422" s="1316"/>
      <c r="F422" s="1974"/>
      <c r="G422" s="1975"/>
      <c r="H422" s="2674" t="s">
        <v>1261</v>
      </c>
      <c r="I422" s="2675"/>
      <c r="J422" s="8650"/>
      <c r="K422" s="2676"/>
      <c r="L422" s="2266"/>
      <c r="M422" s="2267"/>
      <c r="N422" s="2667"/>
      <c r="O422" s="2668"/>
      <c r="P422" s="2671"/>
      <c r="Q422" s="8645"/>
      <c r="R422" s="2672"/>
      <c r="S422" s="2673"/>
      <c r="T422" s="2672"/>
      <c r="U422" s="2672"/>
      <c r="V422" s="2672"/>
      <c r="W422" s="2672"/>
      <c r="X422" s="2672"/>
      <c r="Y422" s="2672"/>
      <c r="Z422" s="1321"/>
      <c r="AA422" s="1322"/>
      <c r="AB422" s="1387" t="s">
        <v>1107</v>
      </c>
      <c r="AC422" s="1326"/>
      <c r="AD422" s="1326"/>
      <c r="AE422" s="1328"/>
      <c r="AF422" s="2665"/>
      <c r="AG422" s="2666"/>
      <c r="AH422" s="2666"/>
      <c r="AI422" s="8647"/>
      <c r="AJ422" s="2666"/>
      <c r="AK422" s="2666"/>
      <c r="AL422" s="2131"/>
      <c r="AM422" s="1968"/>
      <c r="AN422" s="1968"/>
      <c r="AO422" s="1968"/>
      <c r="AP422" s="1968"/>
      <c r="AQ422" s="1968"/>
      <c r="AR422" s="1968"/>
      <c r="AS422" s="1968"/>
      <c r="AT422" s="1968"/>
      <c r="AU422" s="1968"/>
      <c r="AV422" s="1968"/>
      <c r="AW422" s="1968"/>
      <c r="AX422" s="1968"/>
      <c r="AY422" s="1968"/>
      <c r="AZ422" s="1968"/>
      <c r="BA422" s="1968"/>
      <c r="BB422" s="1968"/>
      <c r="BC422" s="1968"/>
      <c r="BD422" s="1968"/>
      <c r="BE422" s="1968"/>
      <c r="BF422" s="1968"/>
      <c r="BG422" s="7235"/>
    </row>
    <row customHeight="1" ht="11.25">
      <c r="A423" s="1312" t="s">
        <v>1069</v>
      </c>
      <c r="B423" s="1312"/>
      <c r="C423" s="1312"/>
      <c r="D423" s="1306"/>
      <c r="E423" s="1316"/>
      <c r="F423" s="1974"/>
      <c r="G423" s="1975"/>
      <c r="H423" s="2674" t="s">
        <v>1261</v>
      </c>
      <c r="I423" s="2675"/>
      <c r="J423" s="8650"/>
      <c r="K423" s="2676"/>
      <c r="L423" s="2266"/>
      <c r="M423" s="2267"/>
      <c r="N423" s="1321"/>
      <c r="O423" s="1322"/>
      <c r="P423" s="1314" t="s">
        <v>1108</v>
      </c>
      <c r="Q423" s="1322"/>
      <c r="R423" s="1322"/>
      <c r="S423" s="1322"/>
      <c r="T423" s="1322"/>
      <c r="U423" s="1322"/>
      <c r="V423" s="1322"/>
      <c r="W423" s="1322"/>
      <c r="X423" s="1322"/>
      <c r="Y423" s="1322"/>
      <c r="Z423" s="1322"/>
      <c r="AA423" s="1322"/>
      <c r="AB423" s="1322"/>
      <c r="AC423" s="1322"/>
      <c r="AD423" s="1322"/>
      <c r="AE423" s="1329"/>
      <c r="AF423" s="2665"/>
      <c r="AG423" s="2666"/>
      <c r="AH423" s="2666"/>
      <c r="AI423" s="8647"/>
      <c r="AJ423" s="2666"/>
      <c r="AK423" s="2666"/>
      <c r="AL423" s="2131"/>
      <c r="AM423" s="1968"/>
      <c r="AN423" s="1968"/>
      <c r="AO423" s="1968"/>
      <c r="AP423" s="1968"/>
      <c r="AQ423" s="1968"/>
      <c r="AR423" s="1968"/>
      <c r="AS423" s="1968"/>
      <c r="AT423" s="1968"/>
      <c r="AU423" s="1968"/>
      <c r="AV423" s="1968"/>
      <c r="AW423" s="1968"/>
      <c r="AX423" s="1968"/>
      <c r="AY423" s="1968"/>
      <c r="AZ423" s="1968"/>
      <c r="BA423" s="1968"/>
      <c r="BB423" s="1968"/>
      <c r="BC423" s="1968"/>
      <c r="BD423" s="1968"/>
      <c r="BE423" s="1968"/>
      <c r="BF423" s="1968"/>
      <c r="BG423" s="7235"/>
    </row>
    <row customHeight="1" ht="11.25">
      <c r="A424" s="1312" t="s">
        <v>1069</v>
      </c>
      <c r="B424" s="1312" t="s">
        <v>22</v>
      </c>
      <c r="C424" s="1312"/>
      <c r="D424" s="1306"/>
      <c r="E424" s="1316"/>
      <c r="F424" s="1974"/>
      <c r="G424" s="7143" t="s">
        <v>106</v>
      </c>
      <c r="H424" s="2674" t="s">
        <v>1265</v>
      </c>
      <c r="I424" s="2675" t="s">
        <v>1101</v>
      </c>
      <c r="J424" s="8650" t="s">
        <v>22</v>
      </c>
      <c r="K424" s="2676" t="s">
        <v>1266</v>
      </c>
      <c r="L424" s="2266" t="s">
        <v>19</v>
      </c>
      <c r="M424" s="2267"/>
      <c r="N424" s="2129"/>
      <c r="O424" s="1323" t="s">
        <v>398</v>
      </c>
      <c r="P424" s="1324"/>
      <c r="Q424" s="1324"/>
      <c r="R424" s="1324"/>
      <c r="S424" s="1324"/>
      <c r="T424" s="1324"/>
      <c r="U424" s="1324"/>
      <c r="V424" s="1324"/>
      <c r="W424" s="1324"/>
      <c r="X424" s="1324"/>
      <c r="Y424" s="1324"/>
      <c r="Z424" s="1324"/>
      <c r="AA424" s="1324"/>
      <c r="AB424" s="1324"/>
      <c r="AC424" s="1324"/>
      <c r="AD424" s="1324"/>
      <c r="AE424" s="1324"/>
      <c r="AF424" s="2665">
        <v>2024</v>
      </c>
      <c r="AG424" s="2666" t="s">
        <v>1103</v>
      </c>
      <c r="AH424" s="2666" t="s">
        <v>1154</v>
      </c>
      <c r="AI424" s="8647"/>
      <c r="AJ424" s="2666" t="s">
        <v>1152</v>
      </c>
      <c r="AK424" s="2666" t="s">
        <v>1152</v>
      </c>
      <c r="AL424" s="2131"/>
      <c r="AM424" s="1968"/>
      <c r="AN424" s="1968"/>
      <c r="AO424" s="1968"/>
      <c r="AP424" s="1968"/>
      <c r="AQ424" s="1968"/>
      <c r="AR424" s="1968"/>
      <c r="AS424" s="1968"/>
      <c r="AT424" s="1968"/>
      <c r="AU424" s="1968"/>
      <c r="AV424" s="1968"/>
      <c r="AW424" s="1968"/>
      <c r="AX424" s="1968"/>
      <c r="AY424" s="1968"/>
      <c r="AZ424" s="1968"/>
      <c r="BA424" s="1968"/>
      <c r="BB424" s="1968"/>
      <c r="BC424" s="1968"/>
      <c r="BD424" s="1968"/>
      <c r="BE424" s="1968"/>
      <c r="BF424" s="1968"/>
      <c r="BG424" s="7235"/>
    </row>
    <row customHeight="1" ht="11.25">
      <c r="A425" s="1312" t="s">
        <v>1069</v>
      </c>
      <c r="B425" s="1312"/>
      <c r="C425" s="1312"/>
      <c r="D425" s="1306"/>
      <c r="E425" s="1316"/>
      <c r="F425" s="1974"/>
      <c r="G425" s="1975"/>
      <c r="H425" s="2674" t="s">
        <v>1263</v>
      </c>
      <c r="I425" s="2675"/>
      <c r="J425" s="8650"/>
      <c r="K425" s="2676"/>
      <c r="L425" s="2266"/>
      <c r="M425" s="2267"/>
      <c r="N425" s="2667"/>
      <c r="O425" s="2668">
        <v>1</v>
      </c>
      <c r="P425" s="2669" t="s">
        <v>63</v>
      </c>
      <c r="Q425" s="8645" t="s">
        <v>1176</v>
      </c>
      <c r="R425" s="8646" t="s">
        <v>1177</v>
      </c>
      <c r="S425" s="8646" t="s">
        <v>113</v>
      </c>
      <c r="T425" s="8646" t="s">
        <v>113</v>
      </c>
      <c r="U425" s="8646" t="s">
        <v>114</v>
      </c>
      <c r="V425" s="8646" t="s">
        <v>1115</v>
      </c>
      <c r="W425" s="8646" t="s">
        <v>1116</v>
      </c>
      <c r="X425" s="8646" t="s">
        <v>1178</v>
      </c>
      <c r="Y425" s="8646" t="s">
        <v>1178</v>
      </c>
      <c r="Z425" s="1321"/>
      <c r="AA425" s="1322"/>
      <c r="AB425" s="1322"/>
      <c r="AC425" s="1326"/>
      <c r="AD425" s="1326"/>
      <c r="AE425" s="1327"/>
      <c r="AF425" s="2665"/>
      <c r="AG425" s="2666"/>
      <c r="AH425" s="2666"/>
      <c r="AI425" s="8647"/>
      <c r="AJ425" s="2666"/>
      <c r="AK425" s="2666"/>
      <c r="AL425" s="2131"/>
      <c r="AM425" s="1968"/>
      <c r="AN425" s="1968"/>
      <c r="AO425" s="1968"/>
      <c r="AP425" s="1968"/>
      <c r="AQ425" s="1968"/>
      <c r="AR425" s="1968"/>
      <c r="AS425" s="1968"/>
      <c r="AT425" s="1968"/>
      <c r="AU425" s="1968"/>
      <c r="AV425" s="1968"/>
      <c r="AW425" s="1968"/>
      <c r="AX425" s="1968"/>
      <c r="AY425" s="1968"/>
      <c r="AZ425" s="1968"/>
      <c r="BA425" s="1968"/>
      <c r="BB425" s="1968"/>
      <c r="BC425" s="1968"/>
      <c r="BD425" s="1968"/>
      <c r="BE425" s="1968"/>
      <c r="BF425" s="1968"/>
      <c r="BG425" s="7235"/>
    </row>
    <row customHeight="1" ht="11.25">
      <c r="A426" s="1312" t="s">
        <v>1069</v>
      </c>
      <c r="B426" s="1312"/>
      <c r="C426" s="1312"/>
      <c r="D426" s="1306"/>
      <c r="E426" s="1316"/>
      <c r="F426" s="1974"/>
      <c r="G426" s="1975"/>
      <c r="H426" s="2674" t="s">
        <v>1263</v>
      </c>
      <c r="I426" s="2675"/>
      <c r="J426" s="8650"/>
      <c r="K426" s="2676"/>
      <c r="L426" s="2266"/>
      <c r="M426" s="2267"/>
      <c r="N426" s="2667"/>
      <c r="O426" s="2668"/>
      <c r="P426" s="2670"/>
      <c r="Q426" s="8645"/>
      <c r="R426" s="2672"/>
      <c r="S426" s="2673"/>
      <c r="T426" s="2672"/>
      <c r="U426" s="2672"/>
      <c r="V426" s="2672"/>
      <c r="W426" s="2672"/>
      <c r="X426" s="2672"/>
      <c r="Y426" s="2672"/>
      <c r="Z426" s="1973"/>
      <c r="AA426" s="1939">
        <v>1</v>
      </c>
      <c r="AB426" s="1325" t="s">
        <v>1131</v>
      </c>
      <c r="AC426" s="1315">
        <v>15900</v>
      </c>
      <c r="AD426" s="1325" t="str">
        <f>AB426</f>
        <v>      Прочие амортизационные отчисления</v>
      </c>
      <c r="AE426" s="1315">
        <v>536.625</v>
      </c>
      <c r="AF426" s="2665"/>
      <c r="AG426" s="2666"/>
      <c r="AH426" s="2666"/>
      <c r="AI426" s="8647"/>
      <c r="AJ426" s="2666"/>
      <c r="AK426" s="2666"/>
      <c r="AL426" s="2131"/>
      <c r="AM426" s="1968"/>
      <c r="AN426" s="1968"/>
      <c r="AO426" s="1968"/>
      <c r="AP426" s="1968"/>
      <c r="AQ426" s="1968"/>
      <c r="AR426" s="1968"/>
      <c r="AS426" s="1968"/>
      <c r="AT426" s="1968"/>
      <c r="AU426" s="1968"/>
      <c r="AV426" s="1968"/>
      <c r="AW426" s="1968"/>
      <c r="AX426" s="1968"/>
      <c r="AY426" s="1968"/>
      <c r="AZ426" s="1968"/>
      <c r="BA426" s="1968"/>
      <c r="BB426" s="1968"/>
      <c r="BC426" s="1968"/>
      <c r="BD426" s="1968"/>
      <c r="BE426" s="1968"/>
      <c r="BF426" s="1968"/>
      <c r="BG426" s="7235"/>
    </row>
    <row customHeight="1" ht="11.25">
      <c r="A427" s="1312" t="s">
        <v>1069</v>
      </c>
      <c r="B427" s="1312"/>
      <c r="C427" s="1312"/>
      <c r="D427" s="1306"/>
      <c r="E427" s="1316"/>
      <c r="F427" s="1974"/>
      <c r="G427" s="1975"/>
      <c r="H427" s="2674" t="s">
        <v>1263</v>
      </c>
      <c r="I427" s="2675"/>
      <c r="J427" s="8650"/>
      <c r="K427" s="2676"/>
      <c r="L427" s="2266"/>
      <c r="M427" s="2267"/>
      <c r="N427" s="2667"/>
      <c r="O427" s="2668"/>
      <c r="P427" s="2671"/>
      <c r="Q427" s="8645"/>
      <c r="R427" s="2672"/>
      <c r="S427" s="2673"/>
      <c r="T427" s="2672"/>
      <c r="U427" s="2672"/>
      <c r="V427" s="2672"/>
      <c r="W427" s="2672"/>
      <c r="X427" s="2672"/>
      <c r="Y427" s="2672"/>
      <c r="Z427" s="1321"/>
      <c r="AA427" s="1322"/>
      <c r="AB427" s="1387" t="s">
        <v>1107</v>
      </c>
      <c r="AC427" s="1326"/>
      <c r="AD427" s="1326"/>
      <c r="AE427" s="1328"/>
      <c r="AF427" s="2665"/>
      <c r="AG427" s="2666"/>
      <c r="AH427" s="2666"/>
      <c r="AI427" s="8647"/>
      <c r="AJ427" s="2666"/>
      <c r="AK427" s="2666"/>
      <c r="AL427" s="2131"/>
      <c r="AM427" s="1968"/>
      <c r="AN427" s="1968"/>
      <c r="AO427" s="1968"/>
      <c r="AP427" s="1968"/>
      <c r="AQ427" s="1968"/>
      <c r="AR427" s="1968"/>
      <c r="AS427" s="1968"/>
      <c r="AT427" s="1968"/>
      <c r="AU427" s="1968"/>
      <c r="AV427" s="1968"/>
      <c r="AW427" s="1968"/>
      <c r="AX427" s="1968"/>
      <c r="AY427" s="1968"/>
      <c r="AZ427" s="1968"/>
      <c r="BA427" s="1968"/>
      <c r="BB427" s="1968"/>
      <c r="BC427" s="1968"/>
      <c r="BD427" s="1968"/>
      <c r="BE427" s="1968"/>
      <c r="BF427" s="1968"/>
      <c r="BG427" s="7235"/>
    </row>
    <row customHeight="1" ht="11.25">
      <c r="A428" s="1312" t="s">
        <v>1069</v>
      </c>
      <c r="B428" s="1312"/>
      <c r="C428" s="1312"/>
      <c r="D428" s="1306"/>
      <c r="E428" s="1316"/>
      <c r="F428" s="1974"/>
      <c r="G428" s="1975"/>
      <c r="H428" s="2674" t="s">
        <v>1263</v>
      </c>
      <c r="I428" s="2675"/>
      <c r="J428" s="8650"/>
      <c r="K428" s="2676"/>
      <c r="L428" s="2266"/>
      <c r="M428" s="2267"/>
      <c r="N428" s="1321"/>
      <c r="O428" s="1322"/>
      <c r="P428" s="1314" t="s">
        <v>1108</v>
      </c>
      <c r="Q428" s="1322"/>
      <c r="R428" s="1322"/>
      <c r="S428" s="1322"/>
      <c r="T428" s="1322"/>
      <c r="U428" s="1322"/>
      <c r="V428" s="1322"/>
      <c r="W428" s="1322"/>
      <c r="X428" s="1322"/>
      <c r="Y428" s="1322"/>
      <c r="Z428" s="1322"/>
      <c r="AA428" s="1322"/>
      <c r="AB428" s="1322"/>
      <c r="AC428" s="1322"/>
      <c r="AD428" s="1322"/>
      <c r="AE428" s="1329"/>
      <c r="AF428" s="2665"/>
      <c r="AG428" s="2666"/>
      <c r="AH428" s="2666"/>
      <c r="AI428" s="8647"/>
      <c r="AJ428" s="2666"/>
      <c r="AK428" s="2666"/>
      <c r="AL428" s="2131"/>
      <c r="AM428" s="1968"/>
      <c r="AN428" s="1968"/>
      <c r="AO428" s="1968"/>
      <c r="AP428" s="1968"/>
      <c r="AQ428" s="1968"/>
      <c r="AR428" s="1968"/>
      <c r="AS428" s="1968"/>
      <c r="AT428" s="1968"/>
      <c r="AU428" s="1968"/>
      <c r="AV428" s="1968"/>
      <c r="AW428" s="1968"/>
      <c r="AX428" s="1968"/>
      <c r="AY428" s="1968"/>
      <c r="AZ428" s="1968"/>
      <c r="BA428" s="1968"/>
      <c r="BB428" s="1968"/>
      <c r="BC428" s="1968"/>
      <c r="BD428" s="1968"/>
      <c r="BE428" s="1968"/>
      <c r="BF428" s="1968"/>
      <c r="BG428" s="7235"/>
    </row>
    <row customHeight="1" ht="11.25">
      <c r="A429" s="1312" t="s">
        <v>1069</v>
      </c>
      <c r="B429" s="1312" t="s">
        <v>22</v>
      </c>
      <c r="C429" s="1312"/>
      <c r="D429" s="1306"/>
      <c r="E429" s="1316"/>
      <c r="F429" s="1974"/>
      <c r="G429" s="7143" t="s">
        <v>106</v>
      </c>
      <c r="H429" s="2674" t="s">
        <v>1267</v>
      </c>
      <c r="I429" s="2675" t="s">
        <v>1268</v>
      </c>
      <c r="J429" s="8650" t="s">
        <v>22</v>
      </c>
      <c r="K429" s="2676" t="s">
        <v>1269</v>
      </c>
      <c r="L429" s="2266" t="s">
        <v>19</v>
      </c>
      <c r="M429" s="2267"/>
      <c r="N429" s="2129"/>
      <c r="O429" s="1323" t="s">
        <v>398</v>
      </c>
      <c r="P429" s="1324"/>
      <c r="Q429" s="1324"/>
      <c r="R429" s="1324"/>
      <c r="S429" s="1324"/>
      <c r="T429" s="1324"/>
      <c r="U429" s="1324"/>
      <c r="V429" s="1324"/>
      <c r="W429" s="1324"/>
      <c r="X429" s="1324"/>
      <c r="Y429" s="1324"/>
      <c r="Z429" s="1324"/>
      <c r="AA429" s="1324"/>
      <c r="AB429" s="1324"/>
      <c r="AC429" s="1324"/>
      <c r="AD429" s="1324"/>
      <c r="AE429" s="1324"/>
      <c r="AF429" s="2665">
        <v>2024</v>
      </c>
      <c r="AG429" s="2666" t="s">
        <v>1103</v>
      </c>
      <c r="AH429" s="2666" t="s">
        <v>1154</v>
      </c>
      <c r="AI429" s="2665">
        <v>2024</v>
      </c>
      <c r="AJ429" s="2666" t="s">
        <v>1103</v>
      </c>
      <c r="AK429" s="2666" t="s">
        <v>1154</v>
      </c>
      <c r="AL429" s="2131"/>
      <c r="AM429" s="1968"/>
      <c r="AN429" s="1968"/>
      <c r="AO429" s="1968"/>
      <c r="AP429" s="1968"/>
      <c r="AQ429" s="1968"/>
      <c r="AR429" s="1968"/>
      <c r="AS429" s="1968"/>
      <c r="AT429" s="1968"/>
      <c r="AU429" s="1968"/>
      <c r="AV429" s="1968"/>
      <c r="AW429" s="1968"/>
      <c r="AX429" s="1968"/>
      <c r="AY429" s="1968"/>
      <c r="AZ429" s="1968"/>
      <c r="BA429" s="1968"/>
      <c r="BB429" s="1968"/>
      <c r="BC429" s="1968"/>
      <c r="BD429" s="1968"/>
      <c r="BE429" s="1968"/>
      <c r="BF429" s="1968"/>
      <c r="BG429" s="7235"/>
    </row>
    <row customHeight="1" ht="11.25">
      <c r="A430" s="1312" t="s">
        <v>1069</v>
      </c>
      <c r="B430" s="1312"/>
      <c r="C430" s="1312"/>
      <c r="D430" s="1306"/>
      <c r="E430" s="1316"/>
      <c r="F430" s="1974"/>
      <c r="G430" s="1975"/>
      <c r="H430" s="2674" t="s">
        <v>1265</v>
      </c>
      <c r="I430" s="2675"/>
      <c r="J430" s="8650"/>
      <c r="K430" s="2676"/>
      <c r="L430" s="2266"/>
      <c r="M430" s="2267"/>
      <c r="N430" s="2667"/>
      <c r="O430" s="2668">
        <v>1</v>
      </c>
      <c r="P430" s="2669" t="s">
        <v>63</v>
      </c>
      <c r="Q430" s="8645" t="s">
        <v>1208</v>
      </c>
      <c r="R430" s="8646" t="s">
        <v>1114</v>
      </c>
      <c r="S430" s="8646" t="s">
        <v>113</v>
      </c>
      <c r="T430" s="8646" t="s">
        <v>113</v>
      </c>
      <c r="U430" s="8646" t="s">
        <v>114</v>
      </c>
      <c r="V430" s="8646" t="s">
        <v>1115</v>
      </c>
      <c r="W430" s="8646" t="s">
        <v>1116</v>
      </c>
      <c r="X430" s="8646" t="s">
        <v>1209</v>
      </c>
      <c r="Y430" s="8646" t="s">
        <v>121</v>
      </c>
      <c r="Z430" s="1321"/>
      <c r="AA430" s="1322"/>
      <c r="AB430" s="1322"/>
      <c r="AC430" s="1326"/>
      <c r="AD430" s="1326"/>
      <c r="AE430" s="1327"/>
      <c r="AF430" s="2665"/>
      <c r="AG430" s="2666"/>
      <c r="AH430" s="2666"/>
      <c r="AI430" s="2665"/>
      <c r="AJ430" s="2666"/>
      <c r="AK430" s="2666"/>
      <c r="AL430" s="2131"/>
      <c r="AM430" s="1968"/>
      <c r="AN430" s="1968"/>
      <c r="AO430" s="1968"/>
      <c r="AP430" s="1968"/>
      <c r="AQ430" s="1968"/>
      <c r="AR430" s="1968"/>
      <c r="AS430" s="1968"/>
      <c r="AT430" s="1968"/>
      <c r="AU430" s="1968"/>
      <c r="AV430" s="1968"/>
      <c r="AW430" s="1968"/>
      <c r="AX430" s="1968"/>
      <c r="AY430" s="1968"/>
      <c r="AZ430" s="1968"/>
      <c r="BA430" s="1968"/>
      <c r="BB430" s="1968"/>
      <c r="BC430" s="1968"/>
      <c r="BD430" s="1968"/>
      <c r="BE430" s="1968"/>
      <c r="BF430" s="1968"/>
      <c r="BG430" s="7235"/>
    </row>
    <row customHeight="1" ht="11.25">
      <c r="A431" s="1312" t="s">
        <v>1069</v>
      </c>
      <c r="B431" s="1312"/>
      <c r="C431" s="1312"/>
      <c r="D431" s="1306"/>
      <c r="E431" s="1316"/>
      <c r="F431" s="1974"/>
      <c r="G431" s="1975"/>
      <c r="H431" s="2674" t="s">
        <v>1265</v>
      </c>
      <c r="I431" s="2675"/>
      <c r="J431" s="8650"/>
      <c r="K431" s="2676"/>
      <c r="L431" s="2266"/>
      <c r="M431" s="2267"/>
      <c r="N431" s="2667"/>
      <c r="O431" s="2668"/>
      <c r="P431" s="2670"/>
      <c r="Q431" s="8645"/>
      <c r="R431" s="2672"/>
      <c r="S431" s="2673"/>
      <c r="T431" s="2672"/>
      <c r="U431" s="2672"/>
      <c r="V431" s="2672"/>
      <c r="W431" s="2672"/>
      <c r="X431" s="2672"/>
      <c r="Y431" s="2672"/>
      <c r="Z431" s="1973"/>
      <c r="AA431" s="1939">
        <v>1</v>
      </c>
      <c r="AB431" s="1325" t="s">
        <v>1131</v>
      </c>
      <c r="AC431" s="1315">
        <v>149.9996</v>
      </c>
      <c r="AD431" s="1325" t="str">
        <f>AB431</f>
        <v>      Прочие амортизационные отчисления</v>
      </c>
      <c r="AE431" s="1315">
        <v>149.9996</v>
      </c>
      <c r="AF431" s="2665"/>
      <c r="AG431" s="2666"/>
      <c r="AH431" s="2666"/>
      <c r="AI431" s="2665"/>
      <c r="AJ431" s="2666"/>
      <c r="AK431" s="2666"/>
      <c r="AL431" s="2131"/>
      <c r="AM431" s="1968"/>
      <c r="AN431" s="1968"/>
      <c r="AO431" s="1968"/>
      <c r="AP431" s="1968"/>
      <c r="AQ431" s="1968"/>
      <c r="AR431" s="1968"/>
      <c r="AS431" s="1968"/>
      <c r="AT431" s="1968"/>
      <c r="AU431" s="1968"/>
      <c r="AV431" s="1968"/>
      <c r="AW431" s="1968"/>
      <c r="AX431" s="1968"/>
      <c r="AY431" s="1968"/>
      <c r="AZ431" s="1968"/>
      <c r="BA431" s="1968"/>
      <c r="BB431" s="1968"/>
      <c r="BC431" s="1968"/>
      <c r="BD431" s="1968"/>
      <c r="BE431" s="1968"/>
      <c r="BF431" s="1968"/>
      <c r="BG431" s="7235"/>
    </row>
    <row customHeight="1" ht="11.25">
      <c r="A432" s="1312" t="s">
        <v>1069</v>
      </c>
      <c r="B432" s="1312"/>
      <c r="C432" s="1312"/>
      <c r="D432" s="1306"/>
      <c r="E432" s="1316"/>
      <c r="F432" s="1974"/>
      <c r="G432" s="1975"/>
      <c r="H432" s="2674" t="s">
        <v>1265</v>
      </c>
      <c r="I432" s="2675"/>
      <c r="J432" s="8650"/>
      <c r="K432" s="2676"/>
      <c r="L432" s="2266"/>
      <c r="M432" s="2267"/>
      <c r="N432" s="2667"/>
      <c r="O432" s="2668"/>
      <c r="P432" s="2671"/>
      <c r="Q432" s="8645"/>
      <c r="R432" s="2672"/>
      <c r="S432" s="2673"/>
      <c r="T432" s="2672"/>
      <c r="U432" s="2672"/>
      <c r="V432" s="2672"/>
      <c r="W432" s="2672"/>
      <c r="X432" s="2672"/>
      <c r="Y432" s="2672"/>
      <c r="Z432" s="1321"/>
      <c r="AA432" s="1322"/>
      <c r="AB432" s="1387" t="s">
        <v>1107</v>
      </c>
      <c r="AC432" s="1326"/>
      <c r="AD432" s="1326"/>
      <c r="AE432" s="1328"/>
      <c r="AF432" s="2665"/>
      <c r="AG432" s="2666"/>
      <c r="AH432" s="2666"/>
      <c r="AI432" s="2665"/>
      <c r="AJ432" s="2666"/>
      <c r="AK432" s="2666"/>
      <c r="AL432" s="2131"/>
      <c r="AM432" s="1968"/>
      <c r="AN432" s="1968"/>
      <c r="AO432" s="1968"/>
      <c r="AP432" s="1968"/>
      <c r="AQ432" s="1968"/>
      <c r="AR432" s="1968"/>
      <c r="AS432" s="1968"/>
      <c r="AT432" s="1968"/>
      <c r="AU432" s="1968"/>
      <c r="AV432" s="1968"/>
      <c r="AW432" s="1968"/>
      <c r="AX432" s="1968"/>
      <c r="AY432" s="1968"/>
      <c r="AZ432" s="1968"/>
      <c r="BA432" s="1968"/>
      <c r="BB432" s="1968"/>
      <c r="BC432" s="1968"/>
      <c r="BD432" s="1968"/>
      <c r="BE432" s="1968"/>
      <c r="BF432" s="1968"/>
      <c r="BG432" s="7235"/>
    </row>
    <row customHeight="1" ht="11.25">
      <c r="A433" s="1312" t="s">
        <v>1069</v>
      </c>
      <c r="B433" s="1312"/>
      <c r="C433" s="1312"/>
      <c r="D433" s="1306"/>
      <c r="E433" s="1316"/>
      <c r="F433" s="1974"/>
      <c r="G433" s="1975"/>
      <c r="H433" s="2674" t="s">
        <v>1265</v>
      </c>
      <c r="I433" s="2675"/>
      <c r="J433" s="8650"/>
      <c r="K433" s="2676"/>
      <c r="L433" s="2266"/>
      <c r="M433" s="2267"/>
      <c r="N433" s="1321"/>
      <c r="O433" s="1322"/>
      <c r="P433" s="1314" t="s">
        <v>1108</v>
      </c>
      <c r="Q433" s="1322"/>
      <c r="R433" s="1322"/>
      <c r="S433" s="1322"/>
      <c r="T433" s="1322"/>
      <c r="U433" s="1322"/>
      <c r="V433" s="1322"/>
      <c r="W433" s="1322"/>
      <c r="X433" s="1322"/>
      <c r="Y433" s="1322"/>
      <c r="Z433" s="1322"/>
      <c r="AA433" s="1322"/>
      <c r="AB433" s="1322"/>
      <c r="AC433" s="1322"/>
      <c r="AD433" s="1322"/>
      <c r="AE433" s="1329"/>
      <c r="AF433" s="2665"/>
      <c r="AG433" s="2666"/>
      <c r="AH433" s="2666"/>
      <c r="AI433" s="2665"/>
      <c r="AJ433" s="2666"/>
      <c r="AK433" s="2666"/>
      <c r="AL433" s="2131"/>
      <c r="AM433" s="1968"/>
      <c r="AN433" s="1968"/>
      <c r="AO433" s="1968"/>
      <c r="AP433" s="1968"/>
      <c r="AQ433" s="1968"/>
      <c r="AR433" s="1968"/>
      <c r="AS433" s="1968"/>
      <c r="AT433" s="1968"/>
      <c r="AU433" s="1968"/>
      <c r="AV433" s="1968"/>
      <c r="AW433" s="1968"/>
      <c r="AX433" s="1968"/>
      <c r="AY433" s="1968"/>
      <c r="AZ433" s="1968"/>
      <c r="BA433" s="1968"/>
      <c r="BB433" s="1968"/>
      <c r="BC433" s="1968"/>
      <c r="BD433" s="1968"/>
      <c r="BE433" s="1968"/>
      <c r="BF433" s="1968"/>
      <c r="BG433" s="7235"/>
    </row>
    <row customHeight="1" ht="11.25">
      <c r="A434" s="1312" t="s">
        <v>1069</v>
      </c>
      <c r="B434" s="1312" t="s">
        <v>22</v>
      </c>
      <c r="C434" s="1312"/>
      <c r="D434" s="1306"/>
      <c r="E434" s="1316"/>
      <c r="F434" s="1974"/>
      <c r="G434" s="7143" t="s">
        <v>106</v>
      </c>
      <c r="H434" s="2674" t="s">
        <v>1270</v>
      </c>
      <c r="I434" s="2675" t="s">
        <v>1268</v>
      </c>
      <c r="J434" s="8650" t="s">
        <v>22</v>
      </c>
      <c r="K434" s="2676" t="s">
        <v>1271</v>
      </c>
      <c r="L434" s="2266" t="s">
        <v>19</v>
      </c>
      <c r="M434" s="2267"/>
      <c r="N434" s="2129"/>
      <c r="O434" s="1323" t="s">
        <v>398</v>
      </c>
      <c r="P434" s="1324"/>
      <c r="Q434" s="1324"/>
      <c r="R434" s="1324"/>
      <c r="S434" s="1324"/>
      <c r="T434" s="1324"/>
      <c r="U434" s="1324"/>
      <c r="V434" s="1324"/>
      <c r="W434" s="1324"/>
      <c r="X434" s="1324"/>
      <c r="Y434" s="1324"/>
      <c r="Z434" s="1324"/>
      <c r="AA434" s="1324"/>
      <c r="AB434" s="1324"/>
      <c r="AC434" s="1324"/>
      <c r="AD434" s="1324"/>
      <c r="AE434" s="1324"/>
      <c r="AF434" s="2665">
        <v>2024</v>
      </c>
      <c r="AG434" s="2666" t="s">
        <v>1103</v>
      </c>
      <c r="AH434" s="2666" t="s">
        <v>1154</v>
      </c>
      <c r="AI434" s="2665">
        <v>2024</v>
      </c>
      <c r="AJ434" s="2666" t="s">
        <v>1103</v>
      </c>
      <c r="AK434" s="2666" t="s">
        <v>1154</v>
      </c>
      <c r="AL434" s="2131"/>
      <c r="AM434" s="1968"/>
      <c r="AN434" s="1968"/>
      <c r="AO434" s="1968"/>
      <c r="AP434" s="1968"/>
      <c r="AQ434" s="1968"/>
      <c r="AR434" s="1968"/>
      <c r="AS434" s="1968"/>
      <c r="AT434" s="1968"/>
      <c r="AU434" s="1968"/>
      <c r="AV434" s="1968"/>
      <c r="AW434" s="1968"/>
      <c r="AX434" s="1968"/>
      <c r="AY434" s="1968"/>
      <c r="AZ434" s="1968"/>
      <c r="BA434" s="1968"/>
      <c r="BB434" s="1968"/>
      <c r="BC434" s="1968"/>
      <c r="BD434" s="1968"/>
      <c r="BE434" s="1968"/>
      <c r="BF434" s="1968"/>
      <c r="BG434" s="7235"/>
    </row>
    <row customHeight="1" ht="11.25">
      <c r="A435" s="1312" t="s">
        <v>1069</v>
      </c>
      <c r="B435" s="1312"/>
      <c r="C435" s="1312"/>
      <c r="D435" s="1306"/>
      <c r="E435" s="1316"/>
      <c r="F435" s="1974"/>
      <c r="G435" s="1975"/>
      <c r="H435" s="2674" t="s">
        <v>1267</v>
      </c>
      <c r="I435" s="2675"/>
      <c r="J435" s="8650"/>
      <c r="K435" s="2676"/>
      <c r="L435" s="2266"/>
      <c r="M435" s="2267"/>
      <c r="N435" s="2667"/>
      <c r="O435" s="2668">
        <v>1</v>
      </c>
      <c r="P435" s="2669" t="s">
        <v>63</v>
      </c>
      <c r="Q435" s="8645" t="s">
        <v>1208</v>
      </c>
      <c r="R435" s="8646" t="s">
        <v>1114</v>
      </c>
      <c r="S435" s="8646" t="s">
        <v>113</v>
      </c>
      <c r="T435" s="8646" t="s">
        <v>113</v>
      </c>
      <c r="U435" s="8646" t="s">
        <v>114</v>
      </c>
      <c r="V435" s="8646" t="s">
        <v>1115</v>
      </c>
      <c r="W435" s="8646" t="s">
        <v>1116</v>
      </c>
      <c r="X435" s="8646" t="s">
        <v>1209</v>
      </c>
      <c r="Y435" s="8646" t="s">
        <v>121</v>
      </c>
      <c r="Z435" s="1321"/>
      <c r="AA435" s="1322"/>
      <c r="AB435" s="1322"/>
      <c r="AC435" s="1326"/>
      <c r="AD435" s="1326"/>
      <c r="AE435" s="1327"/>
      <c r="AF435" s="2665"/>
      <c r="AG435" s="2666"/>
      <c r="AH435" s="2666"/>
      <c r="AI435" s="2665"/>
      <c r="AJ435" s="2666"/>
      <c r="AK435" s="2666"/>
      <c r="AL435" s="2131"/>
      <c r="AM435" s="1968"/>
      <c r="AN435" s="1968"/>
      <c r="AO435" s="1968"/>
      <c r="AP435" s="1968"/>
      <c r="AQ435" s="1968"/>
      <c r="AR435" s="1968"/>
      <c r="AS435" s="1968"/>
      <c r="AT435" s="1968"/>
      <c r="AU435" s="1968"/>
      <c r="AV435" s="1968"/>
      <c r="AW435" s="1968"/>
      <c r="AX435" s="1968"/>
      <c r="AY435" s="1968"/>
      <c r="AZ435" s="1968"/>
      <c r="BA435" s="1968"/>
      <c r="BB435" s="1968"/>
      <c r="BC435" s="1968"/>
      <c r="BD435" s="1968"/>
      <c r="BE435" s="1968"/>
      <c r="BF435" s="1968"/>
      <c r="BG435" s="7235"/>
    </row>
    <row customHeight="1" ht="11.25">
      <c r="A436" s="1312" t="s">
        <v>1069</v>
      </c>
      <c r="B436" s="1312"/>
      <c r="C436" s="1312"/>
      <c r="D436" s="1306"/>
      <c r="E436" s="1316"/>
      <c r="F436" s="1974"/>
      <c r="G436" s="1975"/>
      <c r="H436" s="2674" t="s">
        <v>1267</v>
      </c>
      <c r="I436" s="2675"/>
      <c r="J436" s="8650"/>
      <c r="K436" s="2676"/>
      <c r="L436" s="2266"/>
      <c r="M436" s="2267"/>
      <c r="N436" s="2667"/>
      <c r="O436" s="2668"/>
      <c r="P436" s="2670"/>
      <c r="Q436" s="8645"/>
      <c r="R436" s="2672"/>
      <c r="S436" s="2673"/>
      <c r="T436" s="2672"/>
      <c r="U436" s="2672"/>
      <c r="V436" s="2672"/>
      <c r="W436" s="2672"/>
      <c r="X436" s="2672"/>
      <c r="Y436" s="2672"/>
      <c r="Z436" s="1973"/>
      <c r="AA436" s="1939">
        <v>1</v>
      </c>
      <c r="AB436" s="1325" t="s">
        <v>1131</v>
      </c>
      <c r="AC436" s="1315">
        <v>248.225</v>
      </c>
      <c r="AD436" s="1325" t="str">
        <f>AB436</f>
        <v>      Прочие амортизационные отчисления</v>
      </c>
      <c r="AE436" s="1315">
        <v>248.23</v>
      </c>
      <c r="AF436" s="2665"/>
      <c r="AG436" s="2666"/>
      <c r="AH436" s="2666"/>
      <c r="AI436" s="2665"/>
      <c r="AJ436" s="2666"/>
      <c r="AK436" s="2666"/>
      <c r="AL436" s="2131"/>
      <c r="AM436" s="1968"/>
      <c r="AN436" s="1968"/>
      <c r="AO436" s="1968"/>
      <c r="AP436" s="1968"/>
      <c r="AQ436" s="1968"/>
      <c r="AR436" s="1968"/>
      <c r="AS436" s="1968"/>
      <c r="AT436" s="1968"/>
      <c r="AU436" s="1968"/>
      <c r="AV436" s="1968"/>
      <c r="AW436" s="1968"/>
      <c r="AX436" s="1968"/>
      <c r="AY436" s="1968"/>
      <c r="AZ436" s="1968"/>
      <c r="BA436" s="1968"/>
      <c r="BB436" s="1968"/>
      <c r="BC436" s="1968"/>
      <c r="BD436" s="1968"/>
      <c r="BE436" s="1968"/>
      <c r="BF436" s="1968"/>
      <c r="BG436" s="7235"/>
    </row>
    <row customHeight="1" ht="11.25">
      <c r="A437" s="1312" t="s">
        <v>1069</v>
      </c>
      <c r="B437" s="1312"/>
      <c r="C437" s="1312"/>
      <c r="D437" s="1306"/>
      <c r="E437" s="1316"/>
      <c r="F437" s="1974"/>
      <c r="G437" s="1975"/>
      <c r="H437" s="2674" t="s">
        <v>1267</v>
      </c>
      <c r="I437" s="2675"/>
      <c r="J437" s="8650"/>
      <c r="K437" s="2676"/>
      <c r="L437" s="2266"/>
      <c r="M437" s="2267"/>
      <c r="N437" s="2667"/>
      <c r="O437" s="2668"/>
      <c r="P437" s="2671"/>
      <c r="Q437" s="8645"/>
      <c r="R437" s="2672"/>
      <c r="S437" s="2673"/>
      <c r="T437" s="2672"/>
      <c r="U437" s="2672"/>
      <c r="V437" s="2672"/>
      <c r="W437" s="2672"/>
      <c r="X437" s="2672"/>
      <c r="Y437" s="2672"/>
      <c r="Z437" s="1321"/>
      <c r="AA437" s="1322"/>
      <c r="AB437" s="1387" t="s">
        <v>1107</v>
      </c>
      <c r="AC437" s="1326"/>
      <c r="AD437" s="1326"/>
      <c r="AE437" s="1328"/>
      <c r="AF437" s="2665"/>
      <c r="AG437" s="2666"/>
      <c r="AH437" s="2666"/>
      <c r="AI437" s="2665"/>
      <c r="AJ437" s="2666"/>
      <c r="AK437" s="2666"/>
      <c r="AL437" s="2131"/>
      <c r="AM437" s="1968"/>
      <c r="AN437" s="1968"/>
      <c r="AO437" s="1968"/>
      <c r="AP437" s="1968"/>
      <c r="AQ437" s="1968"/>
      <c r="AR437" s="1968"/>
      <c r="AS437" s="1968"/>
      <c r="AT437" s="1968"/>
      <c r="AU437" s="1968"/>
      <c r="AV437" s="1968"/>
      <c r="AW437" s="1968"/>
      <c r="AX437" s="1968"/>
      <c r="AY437" s="1968"/>
      <c r="AZ437" s="1968"/>
      <c r="BA437" s="1968"/>
      <c r="BB437" s="1968"/>
      <c r="BC437" s="1968"/>
      <c r="BD437" s="1968"/>
      <c r="BE437" s="1968"/>
      <c r="BF437" s="1968"/>
      <c r="BG437" s="7235"/>
    </row>
    <row customHeight="1" ht="11.25">
      <c r="A438" s="1312" t="s">
        <v>1069</v>
      </c>
      <c r="B438" s="1312"/>
      <c r="C438" s="1312"/>
      <c r="D438" s="1306"/>
      <c r="E438" s="1316"/>
      <c r="F438" s="1974"/>
      <c r="G438" s="1975"/>
      <c r="H438" s="2674" t="s">
        <v>1267</v>
      </c>
      <c r="I438" s="2675"/>
      <c r="J438" s="8650"/>
      <c r="K438" s="2676"/>
      <c r="L438" s="2266"/>
      <c r="M438" s="2267"/>
      <c r="N438" s="1321"/>
      <c r="O438" s="1322"/>
      <c r="P438" s="1314" t="s">
        <v>1108</v>
      </c>
      <c r="Q438" s="1322"/>
      <c r="R438" s="1322"/>
      <c r="S438" s="1322"/>
      <c r="T438" s="1322"/>
      <c r="U438" s="1322"/>
      <c r="V438" s="1322"/>
      <c r="W438" s="1322"/>
      <c r="X438" s="1322"/>
      <c r="Y438" s="1322"/>
      <c r="Z438" s="1322"/>
      <c r="AA438" s="1322"/>
      <c r="AB438" s="1322"/>
      <c r="AC438" s="1322"/>
      <c r="AD438" s="1322"/>
      <c r="AE438" s="1329"/>
      <c r="AF438" s="2665"/>
      <c r="AG438" s="2666"/>
      <c r="AH438" s="2666"/>
      <c r="AI438" s="2665"/>
      <c r="AJ438" s="2666"/>
      <c r="AK438" s="2666"/>
      <c r="AL438" s="2131"/>
      <c r="AM438" s="1968"/>
      <c r="AN438" s="1968"/>
      <c r="AO438" s="1968"/>
      <c r="AP438" s="1968"/>
      <c r="AQ438" s="1968"/>
      <c r="AR438" s="1968"/>
      <c r="AS438" s="1968"/>
      <c r="AT438" s="1968"/>
      <c r="AU438" s="1968"/>
      <c r="AV438" s="1968"/>
      <c r="AW438" s="1968"/>
      <c r="AX438" s="1968"/>
      <c r="AY438" s="1968"/>
      <c r="AZ438" s="1968"/>
      <c r="BA438" s="1968"/>
      <c r="BB438" s="1968"/>
      <c r="BC438" s="1968"/>
      <c r="BD438" s="1968"/>
      <c r="BE438" s="1968"/>
      <c r="BF438" s="1968"/>
      <c r="BG438" s="7235"/>
    </row>
    <row customHeight="1" ht="11.25">
      <c r="A439" s="1312" t="s">
        <v>1069</v>
      </c>
      <c r="B439" s="1312" t="s">
        <v>22</v>
      </c>
      <c r="C439" s="1312"/>
      <c r="D439" s="1306"/>
      <c r="E439" s="1316"/>
      <c r="F439" s="1974"/>
      <c r="G439" s="7143" t="s">
        <v>106</v>
      </c>
      <c r="H439" s="2674" t="s">
        <v>1272</v>
      </c>
      <c r="I439" s="2675" t="s">
        <v>1268</v>
      </c>
      <c r="J439" s="8650" t="s">
        <v>22</v>
      </c>
      <c r="K439" s="2676" t="s">
        <v>1273</v>
      </c>
      <c r="L439" s="2266" t="s">
        <v>19</v>
      </c>
      <c r="M439" s="2267"/>
      <c r="N439" s="2129"/>
      <c r="O439" s="1323" t="s">
        <v>398</v>
      </c>
      <c r="P439" s="1324"/>
      <c r="Q439" s="1324"/>
      <c r="R439" s="1324"/>
      <c r="S439" s="1324"/>
      <c r="T439" s="1324"/>
      <c r="U439" s="1324"/>
      <c r="V439" s="1324"/>
      <c r="W439" s="1324"/>
      <c r="X439" s="1324"/>
      <c r="Y439" s="1324"/>
      <c r="Z439" s="1324"/>
      <c r="AA439" s="1324"/>
      <c r="AB439" s="1324"/>
      <c r="AC439" s="1324"/>
      <c r="AD439" s="1324"/>
      <c r="AE439" s="1324"/>
      <c r="AF439" s="2665">
        <v>2024</v>
      </c>
      <c r="AG439" s="2666" t="s">
        <v>1103</v>
      </c>
      <c r="AH439" s="2666" t="s">
        <v>1154</v>
      </c>
      <c r="AI439" s="8647"/>
      <c r="AJ439" s="2666" t="s">
        <v>1152</v>
      </c>
      <c r="AK439" s="2666" t="s">
        <v>1152</v>
      </c>
      <c r="AL439" s="2131"/>
      <c r="AM439" s="1968"/>
      <c r="AN439" s="1968"/>
      <c r="AO439" s="1968"/>
      <c r="AP439" s="1968"/>
      <c r="AQ439" s="1968"/>
      <c r="AR439" s="1968"/>
      <c r="AS439" s="1968"/>
      <c r="AT439" s="1968"/>
      <c r="AU439" s="1968"/>
      <c r="AV439" s="1968"/>
      <c r="AW439" s="1968"/>
      <c r="AX439" s="1968"/>
      <c r="AY439" s="1968"/>
      <c r="AZ439" s="1968"/>
      <c r="BA439" s="1968"/>
      <c r="BB439" s="1968"/>
      <c r="BC439" s="1968"/>
      <c r="BD439" s="1968"/>
      <c r="BE439" s="1968"/>
      <c r="BF439" s="1968"/>
      <c r="BG439" s="7235"/>
    </row>
    <row customHeight="1" ht="11.25">
      <c r="A440" s="1312" t="s">
        <v>1069</v>
      </c>
      <c r="B440" s="1312"/>
      <c r="C440" s="1312"/>
      <c r="D440" s="1306"/>
      <c r="E440" s="1316"/>
      <c r="F440" s="1974"/>
      <c r="G440" s="1975"/>
      <c r="H440" s="2674" t="s">
        <v>1270</v>
      </c>
      <c r="I440" s="2675"/>
      <c r="J440" s="8650"/>
      <c r="K440" s="2676"/>
      <c r="L440" s="2266"/>
      <c r="M440" s="2267"/>
      <c r="N440" s="2667"/>
      <c r="O440" s="2668">
        <v>1</v>
      </c>
      <c r="P440" s="2669" t="s">
        <v>63</v>
      </c>
      <c r="Q440" s="8645" t="s">
        <v>1274</v>
      </c>
      <c r="R440" s="8646" t="s">
        <v>1114</v>
      </c>
      <c r="S440" s="8646" t="s">
        <v>113</v>
      </c>
      <c r="T440" s="8646" t="s">
        <v>113</v>
      </c>
      <c r="U440" s="8646" t="s">
        <v>114</v>
      </c>
      <c r="V440" s="8646" t="s">
        <v>1115</v>
      </c>
      <c r="W440" s="8646" t="s">
        <v>1116</v>
      </c>
      <c r="X440" s="8646" t="s">
        <v>1275</v>
      </c>
      <c r="Y440" s="8646" t="s">
        <v>121</v>
      </c>
      <c r="Z440" s="1321"/>
      <c r="AA440" s="1322"/>
      <c r="AB440" s="1322"/>
      <c r="AC440" s="1326"/>
      <c r="AD440" s="1326"/>
      <c r="AE440" s="1327"/>
      <c r="AF440" s="2665"/>
      <c r="AG440" s="2666"/>
      <c r="AH440" s="2666"/>
      <c r="AI440" s="8647"/>
      <c r="AJ440" s="2666"/>
      <c r="AK440" s="2666"/>
      <c r="AL440" s="2131"/>
      <c r="AM440" s="1968"/>
      <c r="AN440" s="1968"/>
      <c r="AO440" s="1968"/>
      <c r="AP440" s="1968"/>
      <c r="AQ440" s="1968"/>
      <c r="AR440" s="1968"/>
      <c r="AS440" s="1968"/>
      <c r="AT440" s="1968"/>
      <c r="AU440" s="1968"/>
      <c r="AV440" s="1968"/>
      <c r="AW440" s="1968"/>
      <c r="AX440" s="1968"/>
      <c r="AY440" s="1968"/>
      <c r="AZ440" s="1968"/>
      <c r="BA440" s="1968"/>
      <c r="BB440" s="1968"/>
      <c r="BC440" s="1968"/>
      <c r="BD440" s="1968"/>
      <c r="BE440" s="1968"/>
      <c r="BF440" s="1968"/>
      <c r="BG440" s="7235"/>
    </row>
    <row customHeight="1" ht="11.25">
      <c r="A441" s="1312" t="s">
        <v>1069</v>
      </c>
      <c r="B441" s="1312"/>
      <c r="C441" s="1312"/>
      <c r="D441" s="1306"/>
      <c r="E441" s="1316"/>
      <c r="F441" s="1974"/>
      <c r="G441" s="1975"/>
      <c r="H441" s="2674" t="s">
        <v>1270</v>
      </c>
      <c r="I441" s="2675"/>
      <c r="J441" s="8650"/>
      <c r="K441" s="2676"/>
      <c r="L441" s="2266"/>
      <c r="M441" s="2267"/>
      <c r="N441" s="2667"/>
      <c r="O441" s="2668"/>
      <c r="P441" s="2670"/>
      <c r="Q441" s="8645"/>
      <c r="R441" s="2672"/>
      <c r="S441" s="2673"/>
      <c r="T441" s="2672"/>
      <c r="U441" s="2672"/>
      <c r="V441" s="2672"/>
      <c r="W441" s="2672"/>
      <c r="X441" s="2672"/>
      <c r="Y441" s="2672"/>
      <c r="Z441" s="1973"/>
      <c r="AA441" s="1939">
        <v>1</v>
      </c>
      <c r="AB441" s="1325" t="s">
        <v>1131</v>
      </c>
      <c r="AC441" s="1315">
        <v>2944</v>
      </c>
      <c r="AD441" s="1325" t="str">
        <f>AB441</f>
        <v>      Прочие амортизационные отчисления</v>
      </c>
      <c r="AE441" s="1315">
        <v>395.2025</v>
      </c>
      <c r="AF441" s="2665"/>
      <c r="AG441" s="2666"/>
      <c r="AH441" s="2666"/>
      <c r="AI441" s="8647"/>
      <c r="AJ441" s="2666"/>
      <c r="AK441" s="2666"/>
      <c r="AL441" s="2131"/>
      <c r="AM441" s="1968"/>
      <c r="AN441" s="1968"/>
      <c r="AO441" s="1968"/>
      <c r="AP441" s="1968"/>
      <c r="AQ441" s="1968"/>
      <c r="AR441" s="1968"/>
      <c r="AS441" s="1968"/>
      <c r="AT441" s="1968"/>
      <c r="AU441" s="1968"/>
      <c r="AV441" s="1968"/>
      <c r="AW441" s="1968"/>
      <c r="AX441" s="1968"/>
      <c r="AY441" s="1968"/>
      <c r="AZ441" s="1968"/>
      <c r="BA441" s="1968"/>
      <c r="BB441" s="1968"/>
      <c r="BC441" s="1968"/>
      <c r="BD441" s="1968"/>
      <c r="BE441" s="1968"/>
      <c r="BF441" s="1968"/>
      <c r="BG441" s="7235"/>
    </row>
    <row customHeight="1" ht="11.25">
      <c r="A442" s="1312" t="s">
        <v>1069</v>
      </c>
      <c r="B442" s="1312"/>
      <c r="C442" s="1312"/>
      <c r="D442" s="1306"/>
      <c r="E442" s="1316"/>
      <c r="F442" s="1974"/>
      <c r="G442" s="1975"/>
      <c r="H442" s="2674" t="s">
        <v>1270</v>
      </c>
      <c r="I442" s="2675"/>
      <c r="J442" s="8650"/>
      <c r="K442" s="2676"/>
      <c r="L442" s="2266"/>
      <c r="M442" s="2267"/>
      <c r="N442" s="2667"/>
      <c r="O442" s="2668"/>
      <c r="P442" s="2671"/>
      <c r="Q442" s="8645"/>
      <c r="R442" s="2672"/>
      <c r="S442" s="2673"/>
      <c r="T442" s="2672"/>
      <c r="U442" s="2672"/>
      <c r="V442" s="2672"/>
      <c r="W442" s="2672"/>
      <c r="X442" s="2672"/>
      <c r="Y442" s="2672"/>
      <c r="Z442" s="1321"/>
      <c r="AA442" s="1322"/>
      <c r="AB442" s="1387" t="s">
        <v>1107</v>
      </c>
      <c r="AC442" s="1326"/>
      <c r="AD442" s="1326"/>
      <c r="AE442" s="1328"/>
      <c r="AF442" s="2665"/>
      <c r="AG442" s="2666"/>
      <c r="AH442" s="2666"/>
      <c r="AI442" s="8647"/>
      <c r="AJ442" s="2666"/>
      <c r="AK442" s="2666"/>
      <c r="AL442" s="2131"/>
      <c r="AM442" s="1968"/>
      <c r="AN442" s="1968"/>
      <c r="AO442" s="1968"/>
      <c r="AP442" s="1968"/>
      <c r="AQ442" s="1968"/>
      <c r="AR442" s="1968"/>
      <c r="AS442" s="1968"/>
      <c r="AT442" s="1968"/>
      <c r="AU442" s="1968"/>
      <c r="AV442" s="1968"/>
      <c r="AW442" s="1968"/>
      <c r="AX442" s="1968"/>
      <c r="AY442" s="1968"/>
      <c r="AZ442" s="1968"/>
      <c r="BA442" s="1968"/>
      <c r="BB442" s="1968"/>
      <c r="BC442" s="1968"/>
      <c r="BD442" s="1968"/>
      <c r="BE442" s="1968"/>
      <c r="BF442" s="1968"/>
      <c r="BG442" s="7235"/>
    </row>
    <row customHeight="1" ht="11.25">
      <c r="A443" s="1312" t="s">
        <v>1069</v>
      </c>
      <c r="B443" s="1312"/>
      <c r="C443" s="1312"/>
      <c r="D443" s="1306"/>
      <c r="E443" s="1316"/>
      <c r="F443" s="1974"/>
      <c r="G443" s="1975"/>
      <c r="H443" s="2674" t="s">
        <v>1270</v>
      </c>
      <c r="I443" s="2675"/>
      <c r="J443" s="8650"/>
      <c r="K443" s="2676"/>
      <c r="L443" s="2266"/>
      <c r="M443" s="2267"/>
      <c r="N443" s="1321"/>
      <c r="O443" s="1322"/>
      <c r="P443" s="1314" t="s">
        <v>1108</v>
      </c>
      <c r="Q443" s="1322"/>
      <c r="R443" s="1322"/>
      <c r="S443" s="1322"/>
      <c r="T443" s="1322"/>
      <c r="U443" s="1322"/>
      <c r="V443" s="1322"/>
      <c r="W443" s="1322"/>
      <c r="X443" s="1322"/>
      <c r="Y443" s="1322"/>
      <c r="Z443" s="1322"/>
      <c r="AA443" s="1322"/>
      <c r="AB443" s="1322"/>
      <c r="AC443" s="1322"/>
      <c r="AD443" s="1322"/>
      <c r="AE443" s="1329"/>
      <c r="AF443" s="2665"/>
      <c r="AG443" s="2666"/>
      <c r="AH443" s="2666"/>
      <c r="AI443" s="8647"/>
      <c r="AJ443" s="2666"/>
      <c r="AK443" s="2666"/>
      <c r="AL443" s="2131"/>
      <c r="AM443" s="1968"/>
      <c r="AN443" s="1968"/>
      <c r="AO443" s="1968"/>
      <c r="AP443" s="1968"/>
      <c r="AQ443" s="1968"/>
      <c r="AR443" s="1968"/>
      <c r="AS443" s="1968"/>
      <c r="AT443" s="1968"/>
      <c r="AU443" s="1968"/>
      <c r="AV443" s="1968"/>
      <c r="AW443" s="1968"/>
      <c r="AX443" s="1968"/>
      <c r="AY443" s="1968"/>
      <c r="AZ443" s="1968"/>
      <c r="BA443" s="1968"/>
      <c r="BB443" s="1968"/>
      <c r="BC443" s="1968"/>
      <c r="BD443" s="1968"/>
      <c r="BE443" s="1968"/>
      <c r="BF443" s="1968"/>
      <c r="BG443" s="7235"/>
    </row>
    <row customHeight="1" ht="11.25">
      <c r="A444" s="1312" t="s">
        <v>1069</v>
      </c>
      <c r="B444" s="1312" t="s">
        <v>22</v>
      </c>
      <c r="C444" s="1312"/>
      <c r="D444" s="1306"/>
      <c r="E444" s="1316"/>
      <c r="F444" s="1974"/>
      <c r="G444" s="7143" t="s">
        <v>106</v>
      </c>
      <c r="H444" s="2674" t="s">
        <v>1276</v>
      </c>
      <c r="I444" s="2675" t="s">
        <v>1268</v>
      </c>
      <c r="J444" s="8650" t="s">
        <v>22</v>
      </c>
      <c r="K444" s="2676" t="s">
        <v>1277</v>
      </c>
      <c r="L444" s="2266" t="s">
        <v>19</v>
      </c>
      <c r="M444" s="2267"/>
      <c r="N444" s="2129"/>
      <c r="O444" s="1323" t="s">
        <v>398</v>
      </c>
      <c r="P444" s="1324"/>
      <c r="Q444" s="1324"/>
      <c r="R444" s="1324"/>
      <c r="S444" s="1324"/>
      <c r="T444" s="1324"/>
      <c r="U444" s="1324"/>
      <c r="V444" s="1324"/>
      <c r="W444" s="1324"/>
      <c r="X444" s="1324"/>
      <c r="Y444" s="1324"/>
      <c r="Z444" s="1324"/>
      <c r="AA444" s="1324"/>
      <c r="AB444" s="1324"/>
      <c r="AC444" s="1324"/>
      <c r="AD444" s="1324"/>
      <c r="AE444" s="1324"/>
      <c r="AF444" s="2665">
        <v>2024</v>
      </c>
      <c r="AG444" s="2666" t="s">
        <v>1103</v>
      </c>
      <c r="AH444" s="2666" t="s">
        <v>1154</v>
      </c>
      <c r="AI444" s="8647"/>
      <c r="AJ444" s="2666" t="s">
        <v>1152</v>
      </c>
      <c r="AK444" s="2666" t="s">
        <v>1152</v>
      </c>
      <c r="AL444" s="2131"/>
      <c r="AM444" s="1968"/>
      <c r="AN444" s="1968"/>
      <c r="AO444" s="1968"/>
      <c r="AP444" s="1968"/>
      <c r="AQ444" s="1968"/>
      <c r="AR444" s="1968"/>
      <c r="AS444" s="1968"/>
      <c r="AT444" s="1968"/>
      <c r="AU444" s="1968"/>
      <c r="AV444" s="1968"/>
      <c r="AW444" s="1968"/>
      <c r="AX444" s="1968"/>
      <c r="AY444" s="1968"/>
      <c r="AZ444" s="1968"/>
      <c r="BA444" s="1968"/>
      <c r="BB444" s="1968"/>
      <c r="BC444" s="1968"/>
      <c r="BD444" s="1968"/>
      <c r="BE444" s="1968"/>
      <c r="BF444" s="1968"/>
      <c r="BG444" s="7235"/>
    </row>
    <row customHeight="1" ht="11.25">
      <c r="A445" s="1312" t="s">
        <v>1069</v>
      </c>
      <c r="B445" s="1312"/>
      <c r="C445" s="1312"/>
      <c r="D445" s="1306"/>
      <c r="E445" s="1316"/>
      <c r="F445" s="1974"/>
      <c r="G445" s="1975"/>
      <c r="H445" s="2674" t="s">
        <v>1272</v>
      </c>
      <c r="I445" s="2675"/>
      <c r="J445" s="8650"/>
      <c r="K445" s="2676"/>
      <c r="L445" s="2266"/>
      <c r="M445" s="2267"/>
      <c r="N445" s="2667"/>
      <c r="O445" s="2668">
        <v>1</v>
      </c>
      <c r="P445" s="2669" t="s">
        <v>63</v>
      </c>
      <c r="Q445" s="8645" t="s">
        <v>1165</v>
      </c>
      <c r="R445" s="8646" t="s">
        <v>1114</v>
      </c>
      <c r="S445" s="8646" t="s">
        <v>113</v>
      </c>
      <c r="T445" s="8646" t="s">
        <v>113</v>
      </c>
      <c r="U445" s="8646" t="s">
        <v>114</v>
      </c>
      <c r="V445" s="8646" t="s">
        <v>1115</v>
      </c>
      <c r="W445" s="8646" t="s">
        <v>1116</v>
      </c>
      <c r="X445" s="8646" t="s">
        <v>1166</v>
      </c>
      <c r="Y445" s="8646" t="s">
        <v>1167</v>
      </c>
      <c r="Z445" s="1321"/>
      <c r="AA445" s="1322"/>
      <c r="AB445" s="1322"/>
      <c r="AC445" s="1326"/>
      <c r="AD445" s="1326"/>
      <c r="AE445" s="1327"/>
      <c r="AF445" s="2665"/>
      <c r="AG445" s="2666"/>
      <c r="AH445" s="2666"/>
      <c r="AI445" s="8647"/>
      <c r="AJ445" s="2666"/>
      <c r="AK445" s="2666"/>
      <c r="AL445" s="2131"/>
      <c r="AM445" s="1968"/>
      <c r="AN445" s="1968"/>
      <c r="AO445" s="1968"/>
      <c r="AP445" s="1968"/>
      <c r="AQ445" s="1968"/>
      <c r="AR445" s="1968"/>
      <c r="AS445" s="1968"/>
      <c r="AT445" s="1968"/>
      <c r="AU445" s="1968"/>
      <c r="AV445" s="1968"/>
      <c r="AW445" s="1968"/>
      <c r="AX445" s="1968"/>
      <c r="AY445" s="1968"/>
      <c r="AZ445" s="1968"/>
      <c r="BA445" s="1968"/>
      <c r="BB445" s="1968"/>
      <c r="BC445" s="1968"/>
      <c r="BD445" s="1968"/>
      <c r="BE445" s="1968"/>
      <c r="BF445" s="1968"/>
      <c r="BG445" s="7235"/>
    </row>
    <row customHeight="1" ht="11.25">
      <c r="A446" s="1312" t="s">
        <v>1069</v>
      </c>
      <c r="B446" s="1312"/>
      <c r="C446" s="1312"/>
      <c r="D446" s="1306"/>
      <c r="E446" s="1316"/>
      <c r="F446" s="1974"/>
      <c r="G446" s="1975"/>
      <c r="H446" s="2674" t="s">
        <v>1272</v>
      </c>
      <c r="I446" s="2675"/>
      <c r="J446" s="8650"/>
      <c r="K446" s="2676"/>
      <c r="L446" s="2266"/>
      <c r="M446" s="2267"/>
      <c r="N446" s="2667"/>
      <c r="O446" s="2668"/>
      <c r="P446" s="2670"/>
      <c r="Q446" s="8645"/>
      <c r="R446" s="2672"/>
      <c r="S446" s="2673"/>
      <c r="T446" s="2672"/>
      <c r="U446" s="2672"/>
      <c r="V446" s="2672"/>
      <c r="W446" s="2672"/>
      <c r="X446" s="2672"/>
      <c r="Y446" s="2672"/>
      <c r="Z446" s="1973"/>
      <c r="AA446" s="1939">
        <v>1</v>
      </c>
      <c r="AB446" s="1325" t="s">
        <v>1131</v>
      </c>
      <c r="AC446" s="1315">
        <v>2500</v>
      </c>
      <c r="AD446" s="1325" t="str">
        <f>AB446</f>
        <v>      Прочие амортизационные отчисления</v>
      </c>
      <c r="AE446" s="1315">
        <v>0</v>
      </c>
      <c r="AF446" s="2665"/>
      <c r="AG446" s="2666"/>
      <c r="AH446" s="2666"/>
      <c r="AI446" s="8647"/>
      <c r="AJ446" s="2666"/>
      <c r="AK446" s="2666"/>
      <c r="AL446" s="2131"/>
      <c r="AM446" s="1968"/>
      <c r="AN446" s="1968"/>
      <c r="AO446" s="1968"/>
      <c r="AP446" s="1968"/>
      <c r="AQ446" s="1968"/>
      <c r="AR446" s="1968"/>
      <c r="AS446" s="1968"/>
      <c r="AT446" s="1968"/>
      <c r="AU446" s="1968"/>
      <c r="AV446" s="1968"/>
      <c r="AW446" s="1968"/>
      <c r="AX446" s="1968"/>
      <c r="AY446" s="1968"/>
      <c r="AZ446" s="1968"/>
      <c r="BA446" s="1968"/>
      <c r="BB446" s="1968"/>
      <c r="BC446" s="1968"/>
      <c r="BD446" s="1968"/>
      <c r="BE446" s="1968"/>
      <c r="BF446" s="1968"/>
      <c r="BG446" s="7235"/>
    </row>
    <row customHeight="1" ht="11.25">
      <c r="A447" s="1312" t="s">
        <v>1069</v>
      </c>
      <c r="B447" s="1312"/>
      <c r="C447" s="1312"/>
      <c r="D447" s="1306"/>
      <c r="E447" s="1316"/>
      <c r="F447" s="1974"/>
      <c r="G447" s="1975"/>
      <c r="H447" s="2674" t="s">
        <v>1272</v>
      </c>
      <c r="I447" s="2675"/>
      <c r="J447" s="8650"/>
      <c r="K447" s="2676"/>
      <c r="L447" s="2266"/>
      <c r="M447" s="2267"/>
      <c r="N447" s="2667"/>
      <c r="O447" s="2668"/>
      <c r="P447" s="2671"/>
      <c r="Q447" s="8645"/>
      <c r="R447" s="2672"/>
      <c r="S447" s="2673"/>
      <c r="T447" s="2672"/>
      <c r="U447" s="2672"/>
      <c r="V447" s="2672"/>
      <c r="W447" s="2672"/>
      <c r="X447" s="2672"/>
      <c r="Y447" s="2672"/>
      <c r="Z447" s="1321"/>
      <c r="AA447" s="1322"/>
      <c r="AB447" s="1387" t="s">
        <v>1107</v>
      </c>
      <c r="AC447" s="1326"/>
      <c r="AD447" s="1326"/>
      <c r="AE447" s="1328"/>
      <c r="AF447" s="2665"/>
      <c r="AG447" s="2666"/>
      <c r="AH447" s="2666"/>
      <c r="AI447" s="8647"/>
      <c r="AJ447" s="2666"/>
      <c r="AK447" s="2666"/>
      <c r="AL447" s="2131"/>
      <c r="AM447" s="1968"/>
      <c r="AN447" s="1968"/>
      <c r="AO447" s="1968"/>
      <c r="AP447" s="1968"/>
      <c r="AQ447" s="1968"/>
      <c r="AR447" s="1968"/>
      <c r="AS447" s="1968"/>
      <c r="AT447" s="1968"/>
      <c r="AU447" s="1968"/>
      <c r="AV447" s="1968"/>
      <c r="AW447" s="1968"/>
      <c r="AX447" s="1968"/>
      <c r="AY447" s="1968"/>
      <c r="AZ447" s="1968"/>
      <c r="BA447" s="1968"/>
      <c r="BB447" s="1968"/>
      <c r="BC447" s="1968"/>
      <c r="BD447" s="1968"/>
      <c r="BE447" s="1968"/>
      <c r="BF447" s="1968"/>
      <c r="BG447" s="7235"/>
    </row>
    <row customHeight="1" ht="11.25">
      <c r="A448" s="1312" t="s">
        <v>1069</v>
      </c>
      <c r="B448" s="1312"/>
      <c r="C448" s="1312"/>
      <c r="D448" s="1306"/>
      <c r="E448" s="1316"/>
      <c r="F448" s="1974"/>
      <c r="G448" s="1975"/>
      <c r="H448" s="2674" t="s">
        <v>1272</v>
      </c>
      <c r="I448" s="2675"/>
      <c r="J448" s="8650"/>
      <c r="K448" s="2676"/>
      <c r="L448" s="2266"/>
      <c r="M448" s="2267"/>
      <c r="N448" s="1321"/>
      <c r="O448" s="1322"/>
      <c r="P448" s="1314" t="s">
        <v>1108</v>
      </c>
      <c r="Q448" s="1322"/>
      <c r="R448" s="1322"/>
      <c r="S448" s="1322"/>
      <c r="T448" s="1322"/>
      <c r="U448" s="1322"/>
      <c r="V448" s="1322"/>
      <c r="W448" s="1322"/>
      <c r="X448" s="1322"/>
      <c r="Y448" s="1322"/>
      <c r="Z448" s="1322"/>
      <c r="AA448" s="1322"/>
      <c r="AB448" s="1322"/>
      <c r="AC448" s="1322"/>
      <c r="AD448" s="1322"/>
      <c r="AE448" s="1329"/>
      <c r="AF448" s="2665"/>
      <c r="AG448" s="2666"/>
      <c r="AH448" s="2666"/>
      <c r="AI448" s="8647"/>
      <c r="AJ448" s="2666"/>
      <c r="AK448" s="2666"/>
      <c r="AL448" s="2131"/>
      <c r="AM448" s="1968"/>
      <c r="AN448" s="1968"/>
      <c r="AO448" s="1968"/>
      <c r="AP448" s="1968"/>
      <c r="AQ448" s="1968"/>
      <c r="AR448" s="1968"/>
      <c r="AS448" s="1968"/>
      <c r="AT448" s="1968"/>
      <c r="AU448" s="1968"/>
      <c r="AV448" s="1968"/>
      <c r="AW448" s="1968"/>
      <c r="AX448" s="1968"/>
      <c r="AY448" s="1968"/>
      <c r="AZ448" s="1968"/>
      <c r="BA448" s="1968"/>
      <c r="BB448" s="1968"/>
      <c r="BC448" s="1968"/>
      <c r="BD448" s="1968"/>
      <c r="BE448" s="1968"/>
      <c r="BF448" s="1968"/>
      <c r="BG448" s="7235"/>
    </row>
    <row customHeight="1" ht="12">
      <c r="A449" s="1312" t="s">
        <v>1069</v>
      </c>
      <c r="B449" s="1312"/>
      <c r="C449" s="1312"/>
      <c r="D449" s="1306"/>
      <c r="E449" s="1316"/>
      <c r="F449" s="2696"/>
      <c r="G449" s="1336"/>
      <c r="H449" s="1336"/>
      <c r="I449" s="2694" t="s">
        <v>1100</v>
      </c>
      <c r="J449" s="2694"/>
      <c r="K449" s="2694"/>
      <c r="L449" s="1319"/>
      <c r="M449" s="1319"/>
      <c r="N449" s="1320"/>
      <c r="O449" s="1320"/>
      <c r="P449" s="1320"/>
      <c r="Q449" s="1320"/>
      <c r="R449" s="1320"/>
      <c r="S449" s="1320"/>
      <c r="T449" s="1320"/>
      <c r="U449" s="1320"/>
      <c r="V449" s="1320"/>
      <c r="W449" s="1320"/>
      <c r="X449" s="1320"/>
      <c r="Y449" s="1320"/>
      <c r="Z449" s="1320"/>
      <c r="AA449" s="1320"/>
      <c r="AB449" s="1320"/>
      <c r="AC449" s="1320"/>
      <c r="AD449" s="1320"/>
      <c r="AE449" s="1320"/>
      <c r="AF449" s="1320"/>
      <c r="AG449" s="1319"/>
      <c r="AH449" s="1319"/>
      <c r="AI449" s="1320"/>
      <c r="AJ449" s="1319"/>
      <c r="AK449" s="1320"/>
      <c r="AL449" s="2131"/>
      <c r="AM449" s="1968"/>
      <c r="AN449" s="1968"/>
      <c r="AO449" s="1968"/>
      <c r="AP449" s="1968"/>
      <c r="AQ449" s="1968"/>
      <c r="AR449" s="1968"/>
      <c r="AS449" s="1968"/>
      <c r="AT449" s="1968"/>
      <c r="AU449" s="1968"/>
      <c r="AV449" s="1968"/>
      <c r="AW449" s="1968"/>
      <c r="AX449" s="1968"/>
      <c r="AY449" s="1968"/>
      <c r="AZ449" s="1968"/>
      <c r="BA449" s="1968"/>
      <c r="BB449" s="1968"/>
      <c r="BC449" s="1968"/>
      <c r="BD449" s="1968"/>
      <c r="BE449" s="1968"/>
      <c r="BF449" s="1968"/>
      <c r="BG449" s="7235"/>
    </row>
    <row customHeight="1" ht="0.75">
      <c r="A450" s="1312" t="s">
        <v>1069</v>
      </c>
      <c r="B450" s="1312"/>
      <c r="C450" s="1312"/>
      <c r="D450" s="1306"/>
      <c r="E450" s="1316"/>
      <c r="F450" s="2695">
        <v>2025</v>
      </c>
      <c r="G450" s="2674"/>
      <c r="H450" s="2699" t="s">
        <v>398</v>
      </c>
      <c r="I450" s="2700"/>
      <c r="J450" s="2701"/>
      <c r="K450" s="2701"/>
      <c r="L450" s="2693"/>
      <c r="M450" s="2427"/>
      <c r="N450" s="2179"/>
      <c r="O450" s="2178"/>
      <c r="P450" s="2179"/>
      <c r="Q450" s="2179"/>
      <c r="R450" s="2179"/>
      <c r="S450" s="2179"/>
      <c r="T450" s="2179"/>
      <c r="U450" s="2179"/>
      <c r="V450" s="2179"/>
      <c r="W450" s="2179"/>
      <c r="X450" s="2179"/>
      <c r="Y450" s="2179"/>
      <c r="Z450" s="2179"/>
      <c r="AA450" s="2179"/>
      <c r="AB450" s="2179"/>
      <c r="AC450" s="2179"/>
      <c r="AD450" s="2179"/>
      <c r="AE450" s="2179"/>
      <c r="AF450" s="2697"/>
      <c r="AG450" s="2693"/>
      <c r="AH450" s="2693"/>
      <c r="AI450" s="2697"/>
      <c r="AJ450" s="2693"/>
      <c r="AK450" s="2693"/>
      <c r="AL450" s="2131"/>
      <c r="AM450" s="1968"/>
      <c r="AN450" s="1968"/>
      <c r="AO450" s="1968"/>
      <c r="AP450" s="1968"/>
      <c r="AQ450" s="1968"/>
      <c r="AR450" s="1968"/>
      <c r="AS450" s="1968"/>
      <c r="AT450" s="1968"/>
      <c r="AU450" s="1968"/>
      <c r="AV450" s="1968"/>
      <c r="AW450" s="1968"/>
      <c r="AX450" s="1968"/>
      <c r="AY450" s="1968"/>
      <c r="AZ450" s="1968"/>
      <c r="BA450" s="1968"/>
      <c r="BB450" s="1968"/>
      <c r="BC450" s="1968"/>
      <c r="BD450" s="1968"/>
      <c r="BE450" s="1968"/>
      <c r="BF450" s="1968"/>
      <c r="BG450" s="7235"/>
    </row>
    <row customHeight="1" ht="0.75">
      <c r="A451" s="1312" t="s">
        <v>1069</v>
      </c>
      <c r="B451" s="1312"/>
      <c r="C451" s="1312"/>
      <c r="D451" s="1306"/>
      <c r="E451" s="1316"/>
      <c r="F451" s="2695"/>
      <c r="G451" s="2674"/>
      <c r="H451" s="2699"/>
      <c r="I451" s="2700"/>
      <c r="J451" s="2701"/>
      <c r="K451" s="2701"/>
      <c r="L451" s="2693"/>
      <c r="M451" s="2427"/>
      <c r="N451" s="2702"/>
      <c r="O451" s="2703"/>
      <c r="P451" s="2747"/>
      <c r="Q451" s="2698"/>
      <c r="R451" s="2698"/>
      <c r="S451" s="2698"/>
      <c r="T451" s="2698"/>
      <c r="U451" s="2698"/>
      <c r="V451" s="2698"/>
      <c r="W451" s="2698"/>
      <c r="X451" s="2698"/>
      <c r="Y451" s="2698"/>
      <c r="Z451" s="2180"/>
      <c r="AA451" s="2181"/>
      <c r="AB451" s="2181"/>
      <c r="AC451" s="2182"/>
      <c r="AD451" s="2182"/>
      <c r="AE451" s="2183"/>
      <c r="AF451" s="2697"/>
      <c r="AG451" s="2693"/>
      <c r="AH451" s="2693"/>
      <c r="AI451" s="2697"/>
      <c r="AJ451" s="2693"/>
      <c r="AK451" s="2693"/>
      <c r="AL451" s="2131"/>
      <c r="AM451" s="1968"/>
      <c r="AN451" s="1968"/>
      <c r="AO451" s="1968"/>
      <c r="AP451" s="1968"/>
      <c r="AQ451" s="1968"/>
      <c r="AR451" s="1968"/>
      <c r="AS451" s="1968"/>
      <c r="AT451" s="1968"/>
      <c r="AU451" s="1968"/>
      <c r="AV451" s="1968"/>
      <c r="AW451" s="1968"/>
      <c r="AX451" s="1968"/>
      <c r="AY451" s="1968"/>
      <c r="AZ451" s="1968"/>
      <c r="BA451" s="1968"/>
      <c r="BB451" s="1968"/>
      <c r="BC451" s="1968"/>
      <c r="BD451" s="1968"/>
      <c r="BE451" s="1968"/>
      <c r="BF451" s="1968"/>
      <c r="BG451" s="7235"/>
    </row>
    <row customHeight="1" ht="0.75">
      <c r="A452" s="1312" t="s">
        <v>1069</v>
      </c>
      <c r="B452" s="1312"/>
      <c r="C452" s="1312"/>
      <c r="D452" s="1306"/>
      <c r="E452" s="1316"/>
      <c r="F452" s="2695"/>
      <c r="G452" s="2674"/>
      <c r="H452" s="2699"/>
      <c r="I452" s="2700"/>
      <c r="J452" s="2701"/>
      <c r="K452" s="2701"/>
      <c r="L452" s="2693"/>
      <c r="M452" s="2427"/>
      <c r="N452" s="2702"/>
      <c r="O452" s="2703"/>
      <c r="P452" s="2748"/>
      <c r="Q452" s="2698"/>
      <c r="R452" s="2698"/>
      <c r="S452" s="2698"/>
      <c r="T452" s="2698"/>
      <c r="U452" s="2698"/>
      <c r="V452" s="2698"/>
      <c r="W452" s="2698"/>
      <c r="X452" s="2698"/>
      <c r="Y452" s="2698"/>
      <c r="Z452" s="2184"/>
      <c r="AA452" s="2185"/>
      <c r="AB452" s="2186"/>
      <c r="AC452" s="2187"/>
      <c r="AD452" s="2186"/>
      <c r="AE452" s="2187"/>
      <c r="AF452" s="2697"/>
      <c r="AG452" s="2693"/>
      <c r="AH452" s="2693"/>
      <c r="AI452" s="2697"/>
      <c r="AJ452" s="2693"/>
      <c r="AK452" s="2693"/>
      <c r="AL452" s="2131"/>
      <c r="AM452" s="1968"/>
      <c r="AN452" s="1968"/>
      <c r="AO452" s="1968"/>
      <c r="AP452" s="1968"/>
      <c r="AQ452" s="1968"/>
      <c r="AR452" s="1968"/>
      <c r="AS452" s="1968"/>
      <c r="AT452" s="1968"/>
      <c r="AU452" s="1968"/>
      <c r="AV452" s="1968"/>
      <c r="AW452" s="1968"/>
      <c r="AX452" s="1968"/>
      <c r="AY452" s="1968"/>
      <c r="AZ452" s="1968"/>
      <c r="BA452" s="1968"/>
      <c r="BB452" s="1968"/>
      <c r="BC452" s="1968"/>
      <c r="BD452" s="1968"/>
      <c r="BE452" s="1968"/>
      <c r="BF452" s="1968"/>
      <c r="BG452" s="7235"/>
    </row>
    <row customHeight="1" ht="0.75">
      <c r="A453" s="1312" t="s">
        <v>1069</v>
      </c>
      <c r="B453" s="1312"/>
      <c r="C453" s="1312"/>
      <c r="D453" s="1306"/>
      <c r="E453" s="1316"/>
      <c r="F453" s="2695"/>
      <c r="G453" s="2674"/>
      <c r="H453" s="2699"/>
      <c r="I453" s="2700"/>
      <c r="J453" s="2701"/>
      <c r="K453" s="2701"/>
      <c r="L453" s="2693"/>
      <c r="M453" s="2427"/>
      <c r="N453" s="2702"/>
      <c r="O453" s="2703"/>
      <c r="P453" s="2749"/>
      <c r="Q453" s="2698"/>
      <c r="R453" s="2698"/>
      <c r="S453" s="2698"/>
      <c r="T453" s="2698"/>
      <c r="U453" s="2698"/>
      <c r="V453" s="2698"/>
      <c r="W453" s="2698"/>
      <c r="X453" s="2698"/>
      <c r="Y453" s="2698"/>
      <c r="Z453" s="2180"/>
      <c r="AA453" s="2181"/>
      <c r="AB453" s="2188"/>
      <c r="AC453" s="2182"/>
      <c r="AD453" s="2182"/>
      <c r="AE453" s="2189"/>
      <c r="AF453" s="2697"/>
      <c r="AG453" s="2693"/>
      <c r="AH453" s="2693"/>
      <c r="AI453" s="2697"/>
      <c r="AJ453" s="2693"/>
      <c r="AK453" s="2693"/>
      <c r="AL453" s="2131"/>
      <c r="AM453" s="1968"/>
      <c r="AN453" s="1968"/>
      <c r="AO453" s="1968"/>
      <c r="AP453" s="1968"/>
      <c r="AQ453" s="1968"/>
      <c r="AR453" s="1968"/>
      <c r="AS453" s="1968"/>
      <c r="AT453" s="1968"/>
      <c r="AU453" s="1968"/>
      <c r="AV453" s="1968"/>
      <c r="AW453" s="1968"/>
      <c r="AX453" s="1968"/>
      <c r="AY453" s="1968"/>
      <c r="AZ453" s="1968"/>
      <c r="BA453" s="1968"/>
      <c r="BB453" s="1968"/>
      <c r="BC453" s="1968"/>
      <c r="BD453" s="1968"/>
      <c r="BE453" s="1968"/>
      <c r="BF453" s="1968"/>
      <c r="BG453" s="7235"/>
    </row>
    <row customHeight="1" ht="0.75">
      <c r="A454" s="1312" t="s">
        <v>1069</v>
      </c>
      <c r="B454" s="1312"/>
      <c r="C454" s="1312"/>
      <c r="D454" s="1306"/>
      <c r="E454" s="1316"/>
      <c r="F454" s="2695"/>
      <c r="G454" s="2674"/>
      <c r="H454" s="2699"/>
      <c r="I454" s="2700"/>
      <c r="J454" s="2701"/>
      <c r="K454" s="2701"/>
      <c r="L454" s="2693"/>
      <c r="M454" s="2427"/>
      <c r="N454" s="2181"/>
      <c r="O454" s="2181"/>
      <c r="P454" s="2188"/>
      <c r="Q454" s="2181"/>
      <c r="R454" s="2181"/>
      <c r="S454" s="2181"/>
      <c r="T454" s="2181"/>
      <c r="U454" s="2181"/>
      <c r="V454" s="2181"/>
      <c r="W454" s="2181"/>
      <c r="X454" s="2181"/>
      <c r="Y454" s="2181"/>
      <c r="Z454" s="2181"/>
      <c r="AA454" s="2181"/>
      <c r="AB454" s="2181"/>
      <c r="AC454" s="2181"/>
      <c r="AD454" s="2181"/>
      <c r="AE454" s="2190"/>
      <c r="AF454" s="2697"/>
      <c r="AG454" s="2693"/>
      <c r="AH454" s="2693"/>
      <c r="AI454" s="2697"/>
      <c r="AJ454" s="2693"/>
      <c r="AK454" s="2693"/>
      <c r="AL454" s="2131"/>
      <c r="AM454" s="1968"/>
      <c r="AN454" s="1968"/>
      <c r="AO454" s="1968"/>
      <c r="AP454" s="1968"/>
      <c r="AQ454" s="1968"/>
      <c r="AR454" s="1968"/>
      <c r="AS454" s="1968"/>
      <c r="AT454" s="1968"/>
      <c r="AU454" s="1968"/>
      <c r="AV454" s="1968"/>
      <c r="AW454" s="1968"/>
      <c r="AX454" s="1968"/>
      <c r="AY454" s="1968"/>
      <c r="AZ454" s="1968"/>
      <c r="BA454" s="1968"/>
      <c r="BB454" s="1968"/>
      <c r="BC454" s="1968"/>
      <c r="BD454" s="1968"/>
      <c r="BE454" s="1968"/>
      <c r="BF454" s="1968"/>
      <c r="BG454" s="7235"/>
    </row>
    <row customHeight="1" ht="11.25">
      <c r="A455" s="1312" t="s">
        <v>1069</v>
      </c>
      <c r="B455" s="1312" t="s">
        <v>1168</v>
      </c>
      <c r="C455" s="1312"/>
      <c r="D455" s="1306"/>
      <c r="E455" s="1316"/>
      <c r="F455" s="1974"/>
      <c r="G455" s="7143" t="s">
        <v>106</v>
      </c>
      <c r="H455" s="2674" t="s">
        <v>121</v>
      </c>
      <c r="I455" s="2675" t="s">
        <v>1169</v>
      </c>
      <c r="J455" s="2644" t="s">
        <v>1170</v>
      </c>
      <c r="K455" s="2676" t="s">
        <v>1171</v>
      </c>
      <c r="L455" s="2266" t="s">
        <v>19</v>
      </c>
      <c r="M455" s="2267"/>
      <c r="N455" s="2129"/>
      <c r="O455" s="1323" t="s">
        <v>398</v>
      </c>
      <c r="P455" s="1324"/>
      <c r="Q455" s="1324"/>
      <c r="R455" s="1324"/>
      <c r="S455" s="1324"/>
      <c r="T455" s="1324"/>
      <c r="U455" s="1324"/>
      <c r="V455" s="1324"/>
      <c r="W455" s="1324"/>
      <c r="X455" s="1324"/>
      <c r="Y455" s="1324"/>
      <c r="Z455" s="1324"/>
      <c r="AA455" s="1324"/>
      <c r="AB455" s="1324"/>
      <c r="AC455" s="1324"/>
      <c r="AD455" s="1324"/>
      <c r="AE455" s="1324"/>
      <c r="AF455" s="2665">
        <v>2026</v>
      </c>
      <c r="AG455" s="2666" t="s">
        <v>1103</v>
      </c>
      <c r="AH455" s="2666" t="s">
        <v>1162</v>
      </c>
      <c r="AI455" s="8647"/>
      <c r="AJ455" s="2666" t="s">
        <v>1105</v>
      </c>
      <c r="AK455" s="2666" t="s">
        <v>1105</v>
      </c>
      <c r="AL455" s="2131"/>
      <c r="AM455" s="1968"/>
      <c r="AN455" s="1968"/>
      <c r="AO455" s="1968"/>
      <c r="AP455" s="1968"/>
      <c r="AQ455" s="1968"/>
      <c r="AR455" s="1968"/>
      <c r="AS455" s="1968"/>
      <c r="AT455" s="1968"/>
      <c r="AU455" s="1968"/>
      <c r="AV455" s="1968"/>
      <c r="AW455" s="1968"/>
      <c r="AX455" s="1968"/>
      <c r="AY455" s="1968"/>
      <c r="AZ455" s="1968"/>
      <c r="BA455" s="1968"/>
      <c r="BB455" s="1968"/>
      <c r="BC455" s="1968"/>
      <c r="BD455" s="1968"/>
      <c r="BE455" s="1968"/>
      <c r="BF455" s="1968"/>
      <c r="BG455" s="7235"/>
    </row>
    <row customHeight="1" ht="11.25">
      <c r="A456" s="1312" t="s">
        <v>1069</v>
      </c>
      <c r="B456" s="1312"/>
      <c r="C456" s="1312"/>
      <c r="D456" s="1306"/>
      <c r="E456" s="1316"/>
      <c r="F456" s="1974"/>
      <c r="G456" s="1975"/>
      <c r="H456" s="2674" t="s">
        <v>398</v>
      </c>
      <c r="I456" s="2675"/>
      <c r="J456" s="2644"/>
      <c r="K456" s="2676"/>
      <c r="L456" s="2266"/>
      <c r="M456" s="2267"/>
      <c r="N456" s="2667"/>
      <c r="O456" s="2668">
        <v>1</v>
      </c>
      <c r="P456" s="2669" t="s">
        <v>19</v>
      </c>
      <c r="Q456" s="2672" t="s">
        <v>22</v>
      </c>
      <c r="R456" s="2672" t="s">
        <v>22</v>
      </c>
      <c r="S456" s="2672" t="s">
        <v>22</v>
      </c>
      <c r="T456" s="2672" t="s">
        <v>22</v>
      </c>
      <c r="U456" s="2672" t="s">
        <v>22</v>
      </c>
      <c r="V456" s="2672" t="s">
        <v>22</v>
      </c>
      <c r="W456" s="2672" t="s">
        <v>22</v>
      </c>
      <c r="X456" s="2672" t="s">
        <v>22</v>
      </c>
      <c r="Y456" s="2672"/>
      <c r="Z456" s="1321"/>
      <c r="AA456" s="1322"/>
      <c r="AB456" s="1322"/>
      <c r="AC456" s="1326"/>
      <c r="AD456" s="1326"/>
      <c r="AE456" s="1327"/>
      <c r="AF456" s="2665"/>
      <c r="AG456" s="2666"/>
      <c r="AH456" s="2666"/>
      <c r="AI456" s="8647"/>
      <c r="AJ456" s="2666"/>
      <c r="AK456" s="2666"/>
      <c r="AL456" s="2131"/>
      <c r="AM456" s="1968"/>
      <c r="AN456" s="1968"/>
      <c r="AO456" s="1968"/>
      <c r="AP456" s="1968"/>
      <c r="AQ456" s="1968"/>
      <c r="AR456" s="1968"/>
      <c r="AS456" s="1968"/>
      <c r="AT456" s="1968"/>
      <c r="AU456" s="1968"/>
      <c r="AV456" s="1968"/>
      <c r="AW456" s="1968"/>
      <c r="AX456" s="1968"/>
      <c r="AY456" s="1968"/>
      <c r="AZ456" s="1968"/>
      <c r="BA456" s="1968"/>
      <c r="BB456" s="1968"/>
      <c r="BC456" s="1968"/>
      <c r="BD456" s="1968"/>
      <c r="BE456" s="1968"/>
      <c r="BF456" s="1968"/>
      <c r="BG456" s="7235"/>
    </row>
    <row customHeight="1" ht="11.25">
      <c r="A457" s="1312" t="s">
        <v>1069</v>
      </c>
      <c r="B457" s="1312"/>
      <c r="C457" s="1312"/>
      <c r="D457" s="1306"/>
      <c r="E457" s="1316"/>
      <c r="F457" s="1974"/>
      <c r="G457" s="1975"/>
      <c r="H457" s="2674" t="s">
        <v>398</v>
      </c>
      <c r="I457" s="2675"/>
      <c r="J457" s="2644"/>
      <c r="K457" s="2676"/>
      <c r="L457" s="2266"/>
      <c r="M457" s="2267"/>
      <c r="N457" s="2667"/>
      <c r="O457" s="2668"/>
      <c r="P457" s="2670"/>
      <c r="Q457" s="2672"/>
      <c r="R457" s="2672"/>
      <c r="S457" s="2673"/>
      <c r="T457" s="2672"/>
      <c r="U457" s="2672"/>
      <c r="V457" s="2672"/>
      <c r="W457" s="2672"/>
      <c r="X457" s="2672"/>
      <c r="Y457" s="2672"/>
      <c r="Z457" s="1973"/>
      <c r="AA457" s="1939">
        <v>1</v>
      </c>
      <c r="AB457" s="1325" t="s">
        <v>1172</v>
      </c>
      <c r="AC457" s="1315">
        <v>92022.89</v>
      </c>
      <c r="AD457" s="1325" t="str">
        <f>AB457</f>
        <v>  За счет платы за технологическое присоединение</v>
      </c>
      <c r="AE457" s="1315">
        <v>15071</v>
      </c>
      <c r="AF457" s="2665"/>
      <c r="AG457" s="2666"/>
      <c r="AH457" s="2666"/>
      <c r="AI457" s="8647"/>
      <c r="AJ457" s="2666"/>
      <c r="AK457" s="2666"/>
      <c r="AL457" s="2131"/>
      <c r="AM457" s="1968"/>
      <c r="AN457" s="1968"/>
      <c r="AO457" s="1968"/>
      <c r="AP457" s="1968"/>
      <c r="AQ457" s="1968"/>
      <c r="AR457" s="1968"/>
      <c r="AS457" s="1968"/>
      <c r="AT457" s="1968"/>
      <c r="AU457" s="1968"/>
      <c r="AV457" s="1968"/>
      <c r="AW457" s="1968"/>
      <c r="AX457" s="1968"/>
      <c r="AY457" s="1968"/>
      <c r="AZ457" s="1968"/>
      <c r="BA457" s="1968"/>
      <c r="BB457" s="1968"/>
      <c r="BC457" s="1968"/>
      <c r="BD457" s="1968"/>
      <c r="BE457" s="1968"/>
      <c r="BF457" s="1968"/>
      <c r="BG457" s="7235"/>
    </row>
    <row customHeight="1" ht="11.25">
      <c r="A458" s="1312" t="s">
        <v>1069</v>
      </c>
      <c r="B458" s="1312"/>
      <c r="C458" s="1312"/>
      <c r="D458" s="1306"/>
      <c r="E458" s="1316"/>
      <c r="F458" s="1974"/>
      <c r="G458" s="1975"/>
      <c r="H458" s="2674" t="s">
        <v>398</v>
      </c>
      <c r="I458" s="2675"/>
      <c r="J458" s="2644"/>
      <c r="K458" s="2676"/>
      <c r="L458" s="2266"/>
      <c r="M458" s="2267"/>
      <c r="N458" s="2667"/>
      <c r="O458" s="2668"/>
      <c r="P458" s="2671"/>
      <c r="Q458" s="2672"/>
      <c r="R458" s="2672"/>
      <c r="S458" s="2673"/>
      <c r="T458" s="2672"/>
      <c r="U458" s="2672"/>
      <c r="V458" s="2672"/>
      <c r="W458" s="2672"/>
      <c r="X458" s="2672"/>
      <c r="Y458" s="2672"/>
      <c r="Z458" s="1321"/>
      <c r="AA458" s="1322"/>
      <c r="AB458" s="1387" t="s">
        <v>1107</v>
      </c>
      <c r="AC458" s="1326"/>
      <c r="AD458" s="1326"/>
      <c r="AE458" s="1328"/>
      <c r="AF458" s="2665"/>
      <c r="AG458" s="2666"/>
      <c r="AH458" s="2666"/>
      <c r="AI458" s="8647"/>
      <c r="AJ458" s="2666"/>
      <c r="AK458" s="2666"/>
      <c r="AL458" s="2131"/>
      <c r="AM458" s="1968"/>
      <c r="AN458" s="1968"/>
      <c r="AO458" s="1968"/>
      <c r="AP458" s="1968"/>
      <c r="AQ458" s="1968"/>
      <c r="AR458" s="1968"/>
      <c r="AS458" s="1968"/>
      <c r="AT458" s="1968"/>
      <c r="AU458" s="1968"/>
      <c r="AV458" s="1968"/>
      <c r="AW458" s="1968"/>
      <c r="AX458" s="1968"/>
      <c r="AY458" s="1968"/>
      <c r="AZ458" s="1968"/>
      <c r="BA458" s="1968"/>
      <c r="BB458" s="1968"/>
      <c r="BC458" s="1968"/>
      <c r="BD458" s="1968"/>
      <c r="BE458" s="1968"/>
      <c r="BF458" s="1968"/>
      <c r="BG458" s="7235"/>
    </row>
    <row customHeight="1" ht="11.25">
      <c r="A459" s="1312" t="s">
        <v>1069</v>
      </c>
      <c r="B459" s="1312"/>
      <c r="C459" s="1312"/>
      <c r="D459" s="1306"/>
      <c r="E459" s="1316"/>
      <c r="F459" s="1974"/>
      <c r="G459" s="1975"/>
      <c r="H459" s="2674" t="s">
        <v>398</v>
      </c>
      <c r="I459" s="2675"/>
      <c r="J459" s="2644"/>
      <c r="K459" s="2676"/>
      <c r="L459" s="2266"/>
      <c r="M459" s="2267"/>
      <c r="N459" s="1321"/>
      <c r="O459" s="1322"/>
      <c r="P459" s="1314" t="s">
        <v>1108</v>
      </c>
      <c r="Q459" s="1322"/>
      <c r="R459" s="1322"/>
      <c r="S459" s="1322"/>
      <c r="T459" s="1322"/>
      <c r="U459" s="1322"/>
      <c r="V459" s="1322"/>
      <c r="W459" s="1322"/>
      <c r="X459" s="1322"/>
      <c r="Y459" s="1322"/>
      <c r="Z459" s="1322"/>
      <c r="AA459" s="1322"/>
      <c r="AB459" s="1322"/>
      <c r="AC459" s="1322"/>
      <c r="AD459" s="1322"/>
      <c r="AE459" s="1329"/>
      <c r="AF459" s="2665"/>
      <c r="AG459" s="2666"/>
      <c r="AH459" s="2666"/>
      <c r="AI459" s="8647"/>
      <c r="AJ459" s="2666"/>
      <c r="AK459" s="2666"/>
      <c r="AL459" s="2131"/>
      <c r="AM459" s="1968"/>
      <c r="AN459" s="1968"/>
      <c r="AO459" s="1968"/>
      <c r="AP459" s="1968"/>
      <c r="AQ459" s="1968"/>
      <c r="AR459" s="1968"/>
      <c r="AS459" s="1968"/>
      <c r="AT459" s="1968"/>
      <c r="AU459" s="1968"/>
      <c r="AV459" s="1968"/>
      <c r="AW459" s="1968"/>
      <c r="AX459" s="1968"/>
      <c r="AY459" s="1968"/>
      <c r="AZ459" s="1968"/>
      <c r="BA459" s="1968"/>
      <c r="BB459" s="1968"/>
      <c r="BC459" s="1968"/>
      <c r="BD459" s="1968"/>
      <c r="BE459" s="1968"/>
      <c r="BF459" s="1968"/>
      <c r="BG459" s="7235"/>
    </row>
    <row customHeight="1" ht="11.25">
      <c r="A460" s="1312" t="s">
        <v>1069</v>
      </c>
      <c r="B460" s="1312" t="s">
        <v>1168</v>
      </c>
      <c r="C460" s="1312"/>
      <c r="D460" s="1306"/>
      <c r="E460" s="1316"/>
      <c r="F460" s="1974"/>
      <c r="G460" s="7143" t="s">
        <v>106</v>
      </c>
      <c r="H460" s="2674" t="s">
        <v>105</v>
      </c>
      <c r="I460" s="2675" t="s">
        <v>1169</v>
      </c>
      <c r="J460" s="2644" t="s">
        <v>1170</v>
      </c>
      <c r="K460" s="2676" t="s">
        <v>1278</v>
      </c>
      <c r="L460" s="2266" t="s">
        <v>19</v>
      </c>
      <c r="M460" s="2267"/>
      <c r="N460" s="2129"/>
      <c r="O460" s="1323" t="s">
        <v>398</v>
      </c>
      <c r="P460" s="1324"/>
      <c r="Q460" s="1324"/>
      <c r="R460" s="1324"/>
      <c r="S460" s="1324"/>
      <c r="T460" s="1324"/>
      <c r="U460" s="1324"/>
      <c r="V460" s="1324"/>
      <c r="W460" s="1324"/>
      <c r="X460" s="1324"/>
      <c r="Y460" s="1324"/>
      <c r="Z460" s="1324"/>
      <c r="AA460" s="1324"/>
      <c r="AB460" s="1324"/>
      <c r="AC460" s="1324"/>
      <c r="AD460" s="1324"/>
      <c r="AE460" s="1324"/>
      <c r="AF460" s="2665">
        <v>2025</v>
      </c>
      <c r="AG460" s="2666" t="s">
        <v>1103</v>
      </c>
      <c r="AH460" s="2666" t="s">
        <v>1159</v>
      </c>
      <c r="AI460" s="8647"/>
      <c r="AJ460" s="2666" t="s">
        <v>1105</v>
      </c>
      <c r="AK460" s="2666" t="s">
        <v>1105</v>
      </c>
      <c r="AL460" s="2131"/>
      <c r="AM460" s="1968"/>
      <c r="AN460" s="1968"/>
      <c r="AO460" s="1968"/>
      <c r="AP460" s="1968"/>
      <c r="AQ460" s="1968"/>
      <c r="AR460" s="1968"/>
      <c r="AS460" s="1968"/>
      <c r="AT460" s="1968"/>
      <c r="AU460" s="1968"/>
      <c r="AV460" s="1968"/>
      <c r="AW460" s="1968"/>
      <c r="AX460" s="1968"/>
      <c r="AY460" s="1968"/>
      <c r="AZ460" s="1968"/>
      <c r="BA460" s="1968"/>
      <c r="BB460" s="1968"/>
      <c r="BC460" s="1968"/>
      <c r="BD460" s="1968"/>
      <c r="BE460" s="1968"/>
      <c r="BF460" s="1968"/>
      <c r="BG460" s="7235"/>
    </row>
    <row customHeight="1" ht="11.25">
      <c r="A461" s="1312" t="s">
        <v>1069</v>
      </c>
      <c r="B461" s="1312"/>
      <c r="C461" s="1312"/>
      <c r="D461" s="1306"/>
      <c r="E461" s="1316"/>
      <c r="F461" s="1974"/>
      <c r="G461" s="1975"/>
      <c r="H461" s="2674" t="s">
        <v>121</v>
      </c>
      <c r="I461" s="2675"/>
      <c r="J461" s="2644"/>
      <c r="K461" s="2676"/>
      <c r="L461" s="2266"/>
      <c r="M461" s="2267"/>
      <c r="N461" s="2667"/>
      <c r="O461" s="2668">
        <v>1</v>
      </c>
      <c r="P461" s="2669" t="s">
        <v>19</v>
      </c>
      <c r="Q461" s="2672" t="s">
        <v>22</v>
      </c>
      <c r="R461" s="2672" t="s">
        <v>22</v>
      </c>
      <c r="S461" s="2672" t="s">
        <v>22</v>
      </c>
      <c r="T461" s="2672" t="s">
        <v>22</v>
      </c>
      <c r="U461" s="2672" t="s">
        <v>22</v>
      </c>
      <c r="V461" s="2672" t="s">
        <v>22</v>
      </c>
      <c r="W461" s="2672" t="s">
        <v>22</v>
      </c>
      <c r="X461" s="2672" t="s">
        <v>22</v>
      </c>
      <c r="Y461" s="2672"/>
      <c r="Z461" s="1321"/>
      <c r="AA461" s="1322"/>
      <c r="AB461" s="1322"/>
      <c r="AC461" s="1326"/>
      <c r="AD461" s="1326"/>
      <c r="AE461" s="1327"/>
      <c r="AF461" s="2665"/>
      <c r="AG461" s="2666"/>
      <c r="AH461" s="2666"/>
      <c r="AI461" s="8647"/>
      <c r="AJ461" s="2666"/>
      <c r="AK461" s="2666"/>
      <c r="AL461" s="2131"/>
      <c r="AM461" s="1968"/>
      <c r="AN461" s="1968"/>
      <c r="AO461" s="1968"/>
      <c r="AP461" s="1968"/>
      <c r="AQ461" s="1968"/>
      <c r="AR461" s="1968"/>
      <c r="AS461" s="1968"/>
      <c r="AT461" s="1968"/>
      <c r="AU461" s="1968"/>
      <c r="AV461" s="1968"/>
      <c r="AW461" s="1968"/>
      <c r="AX461" s="1968"/>
      <c r="AY461" s="1968"/>
      <c r="AZ461" s="1968"/>
      <c r="BA461" s="1968"/>
      <c r="BB461" s="1968"/>
      <c r="BC461" s="1968"/>
      <c r="BD461" s="1968"/>
      <c r="BE461" s="1968"/>
      <c r="BF461" s="1968"/>
      <c r="BG461" s="7235"/>
    </row>
    <row customHeight="1" ht="11.25">
      <c r="A462" s="1312" t="s">
        <v>1069</v>
      </c>
      <c r="B462" s="1312"/>
      <c r="C462" s="1312"/>
      <c r="D462" s="1306"/>
      <c r="E462" s="1316"/>
      <c r="F462" s="1974"/>
      <c r="G462" s="1975"/>
      <c r="H462" s="2674" t="s">
        <v>121</v>
      </c>
      <c r="I462" s="2675"/>
      <c r="J462" s="2644"/>
      <c r="K462" s="2676"/>
      <c r="L462" s="2266"/>
      <c r="M462" s="2267"/>
      <c r="N462" s="2667"/>
      <c r="O462" s="2668"/>
      <c r="P462" s="2670"/>
      <c r="Q462" s="2672"/>
      <c r="R462" s="2672"/>
      <c r="S462" s="2673"/>
      <c r="T462" s="2672"/>
      <c r="U462" s="2672"/>
      <c r="V462" s="2672"/>
      <c r="W462" s="2672"/>
      <c r="X462" s="2672"/>
      <c r="Y462" s="2672"/>
      <c r="Z462" s="1973"/>
      <c r="AA462" s="1939">
        <v>1</v>
      </c>
      <c r="AB462" s="1325" t="s">
        <v>1172</v>
      </c>
      <c r="AC462" s="1315">
        <v>1969.68</v>
      </c>
      <c r="AD462" s="1325" t="str">
        <f>AB462</f>
        <v>  За счет платы за технологическое присоединение</v>
      </c>
      <c r="AE462" s="1315">
        <v>0</v>
      </c>
      <c r="AF462" s="2665"/>
      <c r="AG462" s="2666"/>
      <c r="AH462" s="2666"/>
      <c r="AI462" s="8647"/>
      <c r="AJ462" s="2666"/>
      <c r="AK462" s="2666"/>
      <c r="AL462" s="2131"/>
      <c r="AM462" s="1968"/>
      <c r="AN462" s="1968"/>
      <c r="AO462" s="1968"/>
      <c r="AP462" s="1968"/>
      <c r="AQ462" s="1968"/>
      <c r="AR462" s="1968"/>
      <c r="AS462" s="1968"/>
      <c r="AT462" s="1968"/>
      <c r="AU462" s="1968"/>
      <c r="AV462" s="1968"/>
      <c r="AW462" s="1968"/>
      <c r="AX462" s="1968"/>
      <c r="AY462" s="1968"/>
      <c r="AZ462" s="1968"/>
      <c r="BA462" s="1968"/>
      <c r="BB462" s="1968"/>
      <c r="BC462" s="1968"/>
      <c r="BD462" s="1968"/>
      <c r="BE462" s="1968"/>
      <c r="BF462" s="1968"/>
      <c r="BG462" s="7235"/>
    </row>
    <row customHeight="1" ht="11.25">
      <c r="A463" s="1312" t="s">
        <v>1069</v>
      </c>
      <c r="B463" s="1312"/>
      <c r="C463" s="1312"/>
      <c r="D463" s="1306"/>
      <c r="E463" s="1316"/>
      <c r="F463" s="1974"/>
      <c r="G463" s="1975"/>
      <c r="H463" s="2674" t="s">
        <v>121</v>
      </c>
      <c r="I463" s="2675"/>
      <c r="J463" s="2644"/>
      <c r="K463" s="2676"/>
      <c r="L463" s="2266"/>
      <c r="M463" s="2267"/>
      <c r="N463" s="2667"/>
      <c r="O463" s="2668"/>
      <c r="P463" s="2671"/>
      <c r="Q463" s="2672"/>
      <c r="R463" s="2672"/>
      <c r="S463" s="2673"/>
      <c r="T463" s="2672"/>
      <c r="U463" s="2672"/>
      <c r="V463" s="2672"/>
      <c r="W463" s="2672"/>
      <c r="X463" s="2672"/>
      <c r="Y463" s="2672"/>
      <c r="Z463" s="1321"/>
      <c r="AA463" s="1322"/>
      <c r="AB463" s="1387" t="s">
        <v>1107</v>
      </c>
      <c r="AC463" s="1326"/>
      <c r="AD463" s="1326"/>
      <c r="AE463" s="1328"/>
      <c r="AF463" s="2665"/>
      <c r="AG463" s="2666"/>
      <c r="AH463" s="2666"/>
      <c r="AI463" s="8647"/>
      <c r="AJ463" s="2666"/>
      <c r="AK463" s="2666"/>
      <c r="AL463" s="2131"/>
      <c r="AM463" s="1968"/>
      <c r="AN463" s="1968"/>
      <c r="AO463" s="1968"/>
      <c r="AP463" s="1968"/>
      <c r="AQ463" s="1968"/>
      <c r="AR463" s="1968"/>
      <c r="AS463" s="1968"/>
      <c r="AT463" s="1968"/>
      <c r="AU463" s="1968"/>
      <c r="AV463" s="1968"/>
      <c r="AW463" s="1968"/>
      <c r="AX463" s="1968"/>
      <c r="AY463" s="1968"/>
      <c r="AZ463" s="1968"/>
      <c r="BA463" s="1968"/>
      <c r="BB463" s="1968"/>
      <c r="BC463" s="1968"/>
      <c r="BD463" s="1968"/>
      <c r="BE463" s="1968"/>
      <c r="BF463" s="1968"/>
      <c r="BG463" s="7235"/>
    </row>
    <row customHeight="1" ht="11.25">
      <c r="A464" s="1312" t="s">
        <v>1069</v>
      </c>
      <c r="B464" s="1312"/>
      <c r="C464" s="1312"/>
      <c r="D464" s="1306"/>
      <c r="E464" s="1316"/>
      <c r="F464" s="1974"/>
      <c r="G464" s="1975"/>
      <c r="H464" s="2674" t="s">
        <v>121</v>
      </c>
      <c r="I464" s="2675"/>
      <c r="J464" s="2644"/>
      <c r="K464" s="2676"/>
      <c r="L464" s="2266"/>
      <c r="M464" s="2267"/>
      <c r="N464" s="1321"/>
      <c r="O464" s="1322"/>
      <c r="P464" s="1314" t="s">
        <v>1108</v>
      </c>
      <c r="Q464" s="1322"/>
      <c r="R464" s="1322"/>
      <c r="S464" s="1322"/>
      <c r="T464" s="1322"/>
      <c r="U464" s="1322"/>
      <c r="V464" s="1322"/>
      <c r="W464" s="1322"/>
      <c r="X464" s="1322"/>
      <c r="Y464" s="1322"/>
      <c r="Z464" s="1322"/>
      <c r="AA464" s="1322"/>
      <c r="AB464" s="1322"/>
      <c r="AC464" s="1322"/>
      <c r="AD464" s="1322"/>
      <c r="AE464" s="1329"/>
      <c r="AF464" s="2665"/>
      <c r="AG464" s="2666"/>
      <c r="AH464" s="2666"/>
      <c r="AI464" s="8647"/>
      <c r="AJ464" s="2666"/>
      <c r="AK464" s="2666"/>
      <c r="AL464" s="2131"/>
      <c r="AM464" s="1968"/>
      <c r="AN464" s="1968"/>
      <c r="AO464" s="1968"/>
      <c r="AP464" s="1968"/>
      <c r="AQ464" s="1968"/>
      <c r="AR464" s="1968"/>
      <c r="AS464" s="1968"/>
      <c r="AT464" s="1968"/>
      <c r="AU464" s="1968"/>
      <c r="AV464" s="1968"/>
      <c r="AW464" s="1968"/>
      <c r="AX464" s="1968"/>
      <c r="AY464" s="1968"/>
      <c r="AZ464" s="1968"/>
      <c r="BA464" s="1968"/>
      <c r="BB464" s="1968"/>
      <c r="BC464" s="1968"/>
      <c r="BD464" s="1968"/>
      <c r="BE464" s="1968"/>
      <c r="BF464" s="1968"/>
      <c r="BG464" s="7235"/>
    </row>
    <row customHeight="1" ht="11.25">
      <c r="A465" s="1312" t="s">
        <v>1069</v>
      </c>
      <c r="B465" s="1312" t="s">
        <v>1168</v>
      </c>
      <c r="C465" s="1312"/>
      <c r="D465" s="1306"/>
      <c r="E465" s="1316"/>
      <c r="F465" s="1974"/>
      <c r="G465" s="7143" t="s">
        <v>106</v>
      </c>
      <c r="H465" s="2674" t="s">
        <v>91</v>
      </c>
      <c r="I465" s="2675" t="s">
        <v>1169</v>
      </c>
      <c r="J465" s="2644" t="s">
        <v>1174</v>
      </c>
      <c r="K465" s="2676" t="s">
        <v>1279</v>
      </c>
      <c r="L465" s="2266" t="s">
        <v>19</v>
      </c>
      <c r="M465" s="2267"/>
      <c r="N465" s="2129"/>
      <c r="O465" s="1323" t="s">
        <v>398</v>
      </c>
      <c r="P465" s="1324"/>
      <c r="Q465" s="1324"/>
      <c r="R465" s="1324"/>
      <c r="S465" s="1324"/>
      <c r="T465" s="1324"/>
      <c r="U465" s="1324"/>
      <c r="V465" s="1324"/>
      <c r="W465" s="1324"/>
      <c r="X465" s="1324"/>
      <c r="Y465" s="1324"/>
      <c r="Z465" s="1324"/>
      <c r="AA465" s="1324"/>
      <c r="AB465" s="1324"/>
      <c r="AC465" s="1324"/>
      <c r="AD465" s="1324"/>
      <c r="AE465" s="1324"/>
      <c r="AF465" s="2665">
        <v>2026</v>
      </c>
      <c r="AG465" s="2666" t="s">
        <v>1103</v>
      </c>
      <c r="AH465" s="2666" t="s">
        <v>1162</v>
      </c>
      <c r="AI465" s="8677">
        <v>2025</v>
      </c>
      <c r="AJ465" s="2666" t="s">
        <v>1103</v>
      </c>
      <c r="AK465" s="2666" t="s">
        <v>1159</v>
      </c>
      <c r="AL465" s="2131"/>
      <c r="AM465" s="1968"/>
      <c r="AN465" s="1968"/>
      <c r="AO465" s="1968"/>
      <c r="AP465" s="1968"/>
      <c r="AQ465" s="1968"/>
      <c r="AR465" s="1968"/>
      <c r="AS465" s="1968"/>
      <c r="AT465" s="1968"/>
      <c r="AU465" s="1968"/>
      <c r="AV465" s="1968"/>
      <c r="AW465" s="1968"/>
      <c r="AX465" s="1968"/>
      <c r="AY465" s="1968"/>
      <c r="AZ465" s="1968"/>
      <c r="BA465" s="1968"/>
      <c r="BB465" s="1968"/>
      <c r="BC465" s="1968"/>
      <c r="BD465" s="1968"/>
      <c r="BE465" s="1968"/>
      <c r="BF465" s="1968"/>
      <c r="BG465" s="7235"/>
    </row>
    <row customHeight="1" ht="11.25">
      <c r="A466" s="1312" t="s">
        <v>1069</v>
      </c>
      <c r="B466" s="1312"/>
      <c r="C466" s="1312"/>
      <c r="D466" s="1306"/>
      <c r="E466" s="1316"/>
      <c r="F466" s="1974"/>
      <c r="G466" s="1975"/>
      <c r="H466" s="2674" t="s">
        <v>105</v>
      </c>
      <c r="I466" s="2675"/>
      <c r="J466" s="2644"/>
      <c r="K466" s="2676"/>
      <c r="L466" s="2266"/>
      <c r="M466" s="2267"/>
      <c r="N466" s="2667"/>
      <c r="O466" s="2668">
        <v>1</v>
      </c>
      <c r="P466" s="2669" t="s">
        <v>63</v>
      </c>
      <c r="Q466" s="8645" t="s">
        <v>1176</v>
      </c>
      <c r="R466" s="8646" t="s">
        <v>1177</v>
      </c>
      <c r="S466" s="8646" t="s">
        <v>113</v>
      </c>
      <c r="T466" s="8646" t="s">
        <v>113</v>
      </c>
      <c r="U466" s="8646" t="s">
        <v>114</v>
      </c>
      <c r="V466" s="8646" t="s">
        <v>1115</v>
      </c>
      <c r="W466" s="8646" t="s">
        <v>1116</v>
      </c>
      <c r="X466" s="8646" t="s">
        <v>1178</v>
      </c>
      <c r="Y466" s="8646" t="s">
        <v>1178</v>
      </c>
      <c r="Z466" s="1321"/>
      <c r="AA466" s="1322"/>
      <c r="AB466" s="1322"/>
      <c r="AC466" s="1326"/>
      <c r="AD466" s="1326"/>
      <c r="AE466" s="1327"/>
      <c r="AF466" s="2665"/>
      <c r="AG466" s="2666"/>
      <c r="AH466" s="2666"/>
      <c r="AI466" s="8677"/>
      <c r="AJ466" s="2666"/>
      <c r="AK466" s="2666"/>
      <c r="AL466" s="2131"/>
      <c r="AM466" s="1968"/>
      <c r="AN466" s="1968"/>
      <c r="AO466" s="1968"/>
      <c r="AP466" s="1968"/>
      <c r="AQ466" s="1968"/>
      <c r="AR466" s="1968"/>
      <c r="AS466" s="1968"/>
      <c r="AT466" s="1968"/>
      <c r="AU466" s="1968"/>
      <c r="AV466" s="1968"/>
      <c r="AW466" s="1968"/>
      <c r="AX466" s="1968"/>
      <c r="AY466" s="1968"/>
      <c r="AZ466" s="1968"/>
      <c r="BA466" s="1968"/>
      <c r="BB466" s="1968"/>
      <c r="BC466" s="1968"/>
      <c r="BD466" s="1968"/>
      <c r="BE466" s="1968"/>
      <c r="BF466" s="1968"/>
      <c r="BG466" s="7235"/>
    </row>
    <row customHeight="1" ht="11.25">
      <c r="A467" s="1312" t="s">
        <v>1069</v>
      </c>
      <c r="B467" s="1312"/>
      <c r="C467" s="1312"/>
      <c r="D467" s="1306"/>
      <c r="E467" s="1316"/>
      <c r="F467" s="1974"/>
      <c r="G467" s="1975"/>
      <c r="H467" s="2674" t="s">
        <v>105</v>
      </c>
      <c r="I467" s="2675"/>
      <c r="J467" s="2644"/>
      <c r="K467" s="2676"/>
      <c r="L467" s="2266"/>
      <c r="M467" s="2267"/>
      <c r="N467" s="2667"/>
      <c r="O467" s="2668"/>
      <c r="P467" s="2670"/>
      <c r="Q467" s="8645"/>
      <c r="R467" s="2672"/>
      <c r="S467" s="2673"/>
      <c r="T467" s="2672"/>
      <c r="U467" s="2672"/>
      <c r="V467" s="2672"/>
      <c r="W467" s="2672"/>
      <c r="X467" s="2672"/>
      <c r="Y467" s="2672"/>
      <c r="Z467" s="1973"/>
      <c r="AA467" s="1939">
        <v>1</v>
      </c>
      <c r="AB467" s="1325" t="s">
        <v>1172</v>
      </c>
      <c r="AC467" s="1315">
        <v>45539.09</v>
      </c>
      <c r="AD467" s="1325" t="str">
        <f>AB467</f>
        <v>  За счет платы за технологическое присоединение</v>
      </c>
      <c r="AE467" s="1315">
        <v>42420</v>
      </c>
      <c r="AF467" s="2665"/>
      <c r="AG467" s="2666"/>
      <c r="AH467" s="2666"/>
      <c r="AI467" s="8677"/>
      <c r="AJ467" s="2666"/>
      <c r="AK467" s="2666"/>
      <c r="AL467" s="2131"/>
      <c r="AM467" s="1968"/>
      <c r="AN467" s="1968"/>
      <c r="AO467" s="1968"/>
      <c r="AP467" s="1968"/>
      <c r="AQ467" s="1968"/>
      <c r="AR467" s="1968"/>
      <c r="AS467" s="1968"/>
      <c r="AT467" s="1968"/>
      <c r="AU467" s="1968"/>
      <c r="AV467" s="1968"/>
      <c r="AW467" s="1968"/>
      <c r="AX467" s="1968"/>
      <c r="AY467" s="1968"/>
      <c r="AZ467" s="1968"/>
      <c r="BA467" s="1968"/>
      <c r="BB467" s="1968"/>
      <c r="BC467" s="1968"/>
      <c r="BD467" s="1968"/>
      <c r="BE467" s="1968"/>
      <c r="BF467" s="1968"/>
      <c r="BG467" s="7235"/>
    </row>
    <row customHeight="1" ht="11.25">
      <c r="A468" s="1312" t="s">
        <v>1069</v>
      </c>
      <c r="B468" s="1312"/>
      <c r="C468" s="1312"/>
      <c r="D468" s="1306"/>
      <c r="E468" s="1316"/>
      <c r="F468" s="1974"/>
      <c r="G468" s="1975"/>
      <c r="H468" s="2674" t="s">
        <v>105</v>
      </c>
      <c r="I468" s="2675"/>
      <c r="J468" s="2644"/>
      <c r="K468" s="2676"/>
      <c r="L468" s="2266"/>
      <c r="M468" s="2267"/>
      <c r="N468" s="2667"/>
      <c r="O468" s="2668"/>
      <c r="P468" s="2671"/>
      <c r="Q468" s="8645"/>
      <c r="R468" s="2672"/>
      <c r="S468" s="2673"/>
      <c r="T468" s="2672"/>
      <c r="U468" s="2672"/>
      <c r="V468" s="2672"/>
      <c r="W468" s="2672"/>
      <c r="X468" s="2672"/>
      <c r="Y468" s="2672"/>
      <c r="Z468" s="1321"/>
      <c r="AA468" s="1322"/>
      <c r="AB468" s="1387" t="s">
        <v>1107</v>
      </c>
      <c r="AC468" s="1326"/>
      <c r="AD468" s="1326"/>
      <c r="AE468" s="1328"/>
      <c r="AF468" s="2665"/>
      <c r="AG468" s="2666"/>
      <c r="AH468" s="2666"/>
      <c r="AI468" s="8677"/>
      <c r="AJ468" s="2666"/>
      <c r="AK468" s="2666"/>
      <c r="AL468" s="2131"/>
      <c r="AM468" s="1968"/>
      <c r="AN468" s="1968"/>
      <c r="AO468" s="1968"/>
      <c r="AP468" s="1968"/>
      <c r="AQ468" s="1968"/>
      <c r="AR468" s="1968"/>
      <c r="AS468" s="1968"/>
      <c r="AT468" s="1968"/>
      <c r="AU468" s="1968"/>
      <c r="AV468" s="1968"/>
      <c r="AW468" s="1968"/>
      <c r="AX468" s="1968"/>
      <c r="AY468" s="1968"/>
      <c r="AZ468" s="1968"/>
      <c r="BA468" s="1968"/>
      <c r="BB468" s="1968"/>
      <c r="BC468" s="1968"/>
      <c r="BD468" s="1968"/>
      <c r="BE468" s="1968"/>
      <c r="BF468" s="1968"/>
      <c r="BG468" s="7235"/>
    </row>
    <row customHeight="1" ht="11.25">
      <c r="A469" s="1312" t="s">
        <v>1069</v>
      </c>
      <c r="B469" s="1312"/>
      <c r="C469" s="1312"/>
      <c r="D469" s="1306"/>
      <c r="E469" s="1316"/>
      <c r="F469" s="1974"/>
      <c r="G469" s="1975"/>
      <c r="H469" s="2674" t="s">
        <v>105</v>
      </c>
      <c r="I469" s="2675"/>
      <c r="J469" s="2644"/>
      <c r="K469" s="2676"/>
      <c r="L469" s="2266"/>
      <c r="M469" s="2267"/>
      <c r="N469" s="1321"/>
      <c r="O469" s="1322"/>
      <c r="P469" s="1314" t="s">
        <v>1108</v>
      </c>
      <c r="Q469" s="1322"/>
      <c r="R469" s="1322"/>
      <c r="S469" s="1322"/>
      <c r="T469" s="1322"/>
      <c r="U469" s="1322"/>
      <c r="V469" s="1322"/>
      <c r="W469" s="1322"/>
      <c r="X469" s="1322"/>
      <c r="Y469" s="1322"/>
      <c r="Z469" s="1322"/>
      <c r="AA469" s="1322"/>
      <c r="AB469" s="1322"/>
      <c r="AC469" s="1322"/>
      <c r="AD469" s="1322"/>
      <c r="AE469" s="1329"/>
      <c r="AF469" s="2665"/>
      <c r="AG469" s="2666"/>
      <c r="AH469" s="2666"/>
      <c r="AI469" s="8677"/>
      <c r="AJ469" s="2666"/>
      <c r="AK469" s="2666"/>
      <c r="AL469" s="2131"/>
      <c r="AM469" s="1968"/>
      <c r="AN469" s="1968"/>
      <c r="AO469" s="1968"/>
      <c r="AP469" s="1968"/>
      <c r="AQ469" s="1968"/>
      <c r="AR469" s="1968"/>
      <c r="AS469" s="1968"/>
      <c r="AT469" s="1968"/>
      <c r="AU469" s="1968"/>
      <c r="AV469" s="1968"/>
      <c r="AW469" s="1968"/>
      <c r="AX469" s="1968"/>
      <c r="AY469" s="1968"/>
      <c r="AZ469" s="1968"/>
      <c r="BA469" s="1968"/>
      <c r="BB469" s="1968"/>
      <c r="BC469" s="1968"/>
      <c r="BD469" s="1968"/>
      <c r="BE469" s="1968"/>
      <c r="BF469" s="1968"/>
      <c r="BG469" s="7235"/>
    </row>
    <row customHeight="1" ht="11.25">
      <c r="A470" s="1312" t="s">
        <v>1069</v>
      </c>
      <c r="B470" s="1312" t="s">
        <v>1168</v>
      </c>
      <c r="C470" s="1312"/>
      <c r="D470" s="1306"/>
      <c r="E470" s="1316"/>
      <c r="F470" s="1974"/>
      <c r="G470" s="7143" t="s">
        <v>106</v>
      </c>
      <c r="H470" s="2674" t="s">
        <v>92</v>
      </c>
      <c r="I470" s="2675" t="s">
        <v>1169</v>
      </c>
      <c r="J470" s="2644" t="s">
        <v>1174</v>
      </c>
      <c r="K470" s="2676" t="s">
        <v>1280</v>
      </c>
      <c r="L470" s="2266" t="s">
        <v>19</v>
      </c>
      <c r="M470" s="2267"/>
      <c r="N470" s="2129"/>
      <c r="O470" s="1323" t="s">
        <v>398</v>
      </c>
      <c r="P470" s="1324"/>
      <c r="Q470" s="1324"/>
      <c r="R470" s="1324"/>
      <c r="S470" s="1324"/>
      <c r="T470" s="1324"/>
      <c r="U470" s="1324"/>
      <c r="V470" s="1324"/>
      <c r="W470" s="1324"/>
      <c r="X470" s="1324"/>
      <c r="Y470" s="1324"/>
      <c r="Z470" s="1324"/>
      <c r="AA470" s="1324"/>
      <c r="AB470" s="1324"/>
      <c r="AC470" s="1324"/>
      <c r="AD470" s="1324"/>
      <c r="AE470" s="1324"/>
      <c r="AF470" s="2665">
        <v>2025</v>
      </c>
      <c r="AG470" s="2666" t="s">
        <v>1103</v>
      </c>
      <c r="AH470" s="2666" t="s">
        <v>1159</v>
      </c>
      <c r="AI470" s="8647"/>
      <c r="AJ470" s="2666" t="s">
        <v>1105</v>
      </c>
      <c r="AK470" s="2666" t="s">
        <v>1105</v>
      </c>
      <c r="AL470" s="2131"/>
      <c r="AM470" s="1968"/>
      <c r="AN470" s="1968"/>
      <c r="AO470" s="1968"/>
      <c r="AP470" s="1968"/>
      <c r="AQ470" s="1968"/>
      <c r="AR470" s="1968"/>
      <c r="AS470" s="1968"/>
      <c r="AT470" s="1968"/>
      <c r="AU470" s="1968"/>
      <c r="AV470" s="1968"/>
      <c r="AW470" s="1968"/>
      <c r="AX470" s="1968"/>
      <c r="AY470" s="1968"/>
      <c r="AZ470" s="1968"/>
      <c r="BA470" s="1968"/>
      <c r="BB470" s="1968"/>
      <c r="BC470" s="1968"/>
      <c r="BD470" s="1968"/>
      <c r="BE470" s="1968"/>
      <c r="BF470" s="1968"/>
      <c r="BG470" s="7235"/>
    </row>
    <row customHeight="1" ht="11.25">
      <c r="A471" s="1312" t="s">
        <v>1069</v>
      </c>
      <c r="B471" s="1312"/>
      <c r="C471" s="1312"/>
      <c r="D471" s="1306"/>
      <c r="E471" s="1316"/>
      <c r="F471" s="1974"/>
      <c r="G471" s="1975"/>
      <c r="H471" s="2674" t="s">
        <v>91</v>
      </c>
      <c r="I471" s="2675"/>
      <c r="J471" s="2644"/>
      <c r="K471" s="2676"/>
      <c r="L471" s="2266"/>
      <c r="M471" s="2267"/>
      <c r="N471" s="2667"/>
      <c r="O471" s="2668">
        <v>1</v>
      </c>
      <c r="P471" s="2669" t="s">
        <v>63</v>
      </c>
      <c r="Q471" s="8645" t="s">
        <v>1176</v>
      </c>
      <c r="R471" s="8646" t="s">
        <v>1177</v>
      </c>
      <c r="S471" s="8646" t="s">
        <v>113</v>
      </c>
      <c r="T471" s="8646" t="s">
        <v>113</v>
      </c>
      <c r="U471" s="8646" t="s">
        <v>114</v>
      </c>
      <c r="V471" s="8646" t="s">
        <v>1115</v>
      </c>
      <c r="W471" s="8646" t="s">
        <v>1116</v>
      </c>
      <c r="X471" s="8646" t="s">
        <v>1178</v>
      </c>
      <c r="Y471" s="8646" t="s">
        <v>1178</v>
      </c>
      <c r="Z471" s="1321"/>
      <c r="AA471" s="1322"/>
      <c r="AB471" s="1322"/>
      <c r="AC471" s="1326"/>
      <c r="AD471" s="1326"/>
      <c r="AE471" s="1327"/>
      <c r="AF471" s="2665"/>
      <c r="AG471" s="2666"/>
      <c r="AH471" s="2666"/>
      <c r="AI471" s="8647"/>
      <c r="AJ471" s="2666"/>
      <c r="AK471" s="2666"/>
      <c r="AL471" s="2131"/>
      <c r="AM471" s="1968"/>
      <c r="AN471" s="1968"/>
      <c r="AO471" s="1968"/>
      <c r="AP471" s="1968"/>
      <c r="AQ471" s="1968"/>
      <c r="AR471" s="1968"/>
      <c r="AS471" s="1968"/>
      <c r="AT471" s="1968"/>
      <c r="AU471" s="1968"/>
      <c r="AV471" s="1968"/>
      <c r="AW471" s="1968"/>
      <c r="AX471" s="1968"/>
      <c r="AY471" s="1968"/>
      <c r="AZ471" s="1968"/>
      <c r="BA471" s="1968"/>
      <c r="BB471" s="1968"/>
      <c r="BC471" s="1968"/>
      <c r="BD471" s="1968"/>
      <c r="BE471" s="1968"/>
      <c r="BF471" s="1968"/>
      <c r="BG471" s="7235"/>
    </row>
    <row customHeight="1" ht="11.25">
      <c r="A472" s="1312" t="s">
        <v>1069</v>
      </c>
      <c r="B472" s="1312"/>
      <c r="C472" s="1312"/>
      <c r="D472" s="1306"/>
      <c r="E472" s="1316"/>
      <c r="F472" s="1974"/>
      <c r="G472" s="1975"/>
      <c r="H472" s="2674" t="s">
        <v>91</v>
      </c>
      <c r="I472" s="2675"/>
      <c r="J472" s="2644"/>
      <c r="K472" s="2676"/>
      <c r="L472" s="2266"/>
      <c r="M472" s="2267"/>
      <c r="N472" s="2667"/>
      <c r="O472" s="2668"/>
      <c r="P472" s="2670"/>
      <c r="Q472" s="8645"/>
      <c r="R472" s="2672"/>
      <c r="S472" s="2673"/>
      <c r="T472" s="2672"/>
      <c r="U472" s="2672"/>
      <c r="V472" s="2672"/>
      <c r="W472" s="2672"/>
      <c r="X472" s="2672"/>
      <c r="Y472" s="2672"/>
      <c r="Z472" s="1973"/>
      <c r="AA472" s="1939">
        <v>1</v>
      </c>
      <c r="AB472" s="1325" t="s">
        <v>1172</v>
      </c>
      <c r="AC472" s="1315">
        <v>8141.45</v>
      </c>
      <c r="AD472" s="1325" t="str">
        <f>AB472</f>
        <v>  За счет платы за технологическое присоединение</v>
      </c>
      <c r="AE472" s="1315">
        <v>0</v>
      </c>
      <c r="AF472" s="2665"/>
      <c r="AG472" s="2666"/>
      <c r="AH472" s="2666"/>
      <c r="AI472" s="8647"/>
      <c r="AJ472" s="2666"/>
      <c r="AK472" s="2666"/>
      <c r="AL472" s="2131"/>
      <c r="AM472" s="1968"/>
      <c r="AN472" s="1968"/>
      <c r="AO472" s="1968"/>
      <c r="AP472" s="1968"/>
      <c r="AQ472" s="1968"/>
      <c r="AR472" s="1968"/>
      <c r="AS472" s="1968"/>
      <c r="AT472" s="1968"/>
      <c r="AU472" s="1968"/>
      <c r="AV472" s="1968"/>
      <c r="AW472" s="1968"/>
      <c r="AX472" s="1968"/>
      <c r="AY472" s="1968"/>
      <c r="AZ472" s="1968"/>
      <c r="BA472" s="1968"/>
      <c r="BB472" s="1968"/>
      <c r="BC472" s="1968"/>
      <c r="BD472" s="1968"/>
      <c r="BE472" s="1968"/>
      <c r="BF472" s="1968"/>
      <c r="BG472" s="7235"/>
    </row>
    <row customHeight="1" ht="11.25">
      <c r="A473" s="1312" t="s">
        <v>1069</v>
      </c>
      <c r="B473" s="1312"/>
      <c r="C473" s="1312"/>
      <c r="D473" s="1306"/>
      <c r="E473" s="1316"/>
      <c r="F473" s="1974"/>
      <c r="G473" s="1975"/>
      <c r="H473" s="2674" t="s">
        <v>91</v>
      </c>
      <c r="I473" s="2675"/>
      <c r="J473" s="2644"/>
      <c r="K473" s="2676"/>
      <c r="L473" s="2266"/>
      <c r="M473" s="2267"/>
      <c r="N473" s="2667"/>
      <c r="O473" s="2668"/>
      <c r="P473" s="2671"/>
      <c r="Q473" s="8645"/>
      <c r="R473" s="2672"/>
      <c r="S473" s="2673"/>
      <c r="T473" s="2672"/>
      <c r="U473" s="2672"/>
      <c r="V473" s="2672"/>
      <c r="W473" s="2672"/>
      <c r="X473" s="2672"/>
      <c r="Y473" s="2672"/>
      <c r="Z473" s="1321"/>
      <c r="AA473" s="1322"/>
      <c r="AB473" s="1387" t="s">
        <v>1107</v>
      </c>
      <c r="AC473" s="1326"/>
      <c r="AD473" s="1326"/>
      <c r="AE473" s="1328"/>
      <c r="AF473" s="2665"/>
      <c r="AG473" s="2666"/>
      <c r="AH473" s="2666"/>
      <c r="AI473" s="8647"/>
      <c r="AJ473" s="2666"/>
      <c r="AK473" s="2666"/>
      <c r="AL473" s="2131"/>
      <c r="AM473" s="1968"/>
      <c r="AN473" s="1968"/>
      <c r="AO473" s="1968"/>
      <c r="AP473" s="1968"/>
      <c r="AQ473" s="1968"/>
      <c r="AR473" s="1968"/>
      <c r="AS473" s="1968"/>
      <c r="AT473" s="1968"/>
      <c r="AU473" s="1968"/>
      <c r="AV473" s="1968"/>
      <c r="AW473" s="1968"/>
      <c r="AX473" s="1968"/>
      <c r="AY473" s="1968"/>
      <c r="AZ473" s="1968"/>
      <c r="BA473" s="1968"/>
      <c r="BB473" s="1968"/>
      <c r="BC473" s="1968"/>
      <c r="BD473" s="1968"/>
      <c r="BE473" s="1968"/>
      <c r="BF473" s="1968"/>
      <c r="BG473" s="7235"/>
    </row>
    <row customHeight="1" ht="11.25">
      <c r="A474" s="1312" t="s">
        <v>1069</v>
      </c>
      <c r="B474" s="1312"/>
      <c r="C474" s="1312"/>
      <c r="D474" s="1306"/>
      <c r="E474" s="1316"/>
      <c r="F474" s="1974"/>
      <c r="G474" s="1975"/>
      <c r="H474" s="2674" t="s">
        <v>91</v>
      </c>
      <c r="I474" s="2675"/>
      <c r="J474" s="2644"/>
      <c r="K474" s="2676"/>
      <c r="L474" s="2266"/>
      <c r="M474" s="2267"/>
      <c r="N474" s="1321"/>
      <c r="O474" s="1322"/>
      <c r="P474" s="1314" t="s">
        <v>1108</v>
      </c>
      <c r="Q474" s="1322"/>
      <c r="R474" s="1322"/>
      <c r="S474" s="1322"/>
      <c r="T474" s="1322"/>
      <c r="U474" s="1322"/>
      <c r="V474" s="1322"/>
      <c r="W474" s="1322"/>
      <c r="X474" s="1322"/>
      <c r="Y474" s="1322"/>
      <c r="Z474" s="1322"/>
      <c r="AA474" s="1322"/>
      <c r="AB474" s="1322"/>
      <c r="AC474" s="1322"/>
      <c r="AD474" s="1322"/>
      <c r="AE474" s="1329"/>
      <c r="AF474" s="2665"/>
      <c r="AG474" s="2666"/>
      <c r="AH474" s="2666"/>
      <c r="AI474" s="8647"/>
      <c r="AJ474" s="2666"/>
      <c r="AK474" s="2666"/>
      <c r="AL474" s="2131"/>
      <c r="AM474" s="1968"/>
      <c r="AN474" s="1968"/>
      <c r="AO474" s="1968"/>
      <c r="AP474" s="1968"/>
      <c r="AQ474" s="1968"/>
      <c r="AR474" s="1968"/>
      <c r="AS474" s="1968"/>
      <c r="AT474" s="1968"/>
      <c r="AU474" s="1968"/>
      <c r="AV474" s="1968"/>
      <c r="AW474" s="1968"/>
      <c r="AX474" s="1968"/>
      <c r="AY474" s="1968"/>
      <c r="AZ474" s="1968"/>
      <c r="BA474" s="1968"/>
      <c r="BB474" s="1968"/>
      <c r="BC474" s="1968"/>
      <c r="BD474" s="1968"/>
      <c r="BE474" s="1968"/>
      <c r="BF474" s="1968"/>
      <c r="BG474" s="7235"/>
    </row>
    <row customHeight="1" ht="11.25">
      <c r="A475" s="1312" t="s">
        <v>1069</v>
      </c>
      <c r="B475" s="1312" t="s">
        <v>1168</v>
      </c>
      <c r="C475" s="1312"/>
      <c r="D475" s="1306"/>
      <c r="E475" s="1316"/>
      <c r="F475" s="1974"/>
      <c r="G475" s="7143" t="s">
        <v>106</v>
      </c>
      <c r="H475" s="2674" t="s">
        <v>122</v>
      </c>
      <c r="I475" s="2675" t="s">
        <v>1169</v>
      </c>
      <c r="J475" s="2644" t="s">
        <v>1174</v>
      </c>
      <c r="K475" s="2676" t="s">
        <v>1181</v>
      </c>
      <c r="L475" s="2266" t="s">
        <v>19</v>
      </c>
      <c r="M475" s="2267"/>
      <c r="N475" s="2129"/>
      <c r="O475" s="1323" t="s">
        <v>398</v>
      </c>
      <c r="P475" s="1324"/>
      <c r="Q475" s="1324"/>
      <c r="R475" s="1324"/>
      <c r="S475" s="1324"/>
      <c r="T475" s="1324"/>
      <c r="U475" s="1324"/>
      <c r="V475" s="1324"/>
      <c r="W475" s="1324"/>
      <c r="X475" s="1324"/>
      <c r="Y475" s="1324"/>
      <c r="Z475" s="1324"/>
      <c r="AA475" s="1324"/>
      <c r="AB475" s="1324"/>
      <c r="AC475" s="1324"/>
      <c r="AD475" s="1324"/>
      <c r="AE475" s="1324"/>
      <c r="AF475" s="2665">
        <v>2025</v>
      </c>
      <c r="AG475" s="2666" t="s">
        <v>1103</v>
      </c>
      <c r="AH475" s="2666" t="s">
        <v>1159</v>
      </c>
      <c r="AI475" s="8677">
        <v>2025</v>
      </c>
      <c r="AJ475" s="2666" t="s">
        <v>1103</v>
      </c>
      <c r="AK475" s="2666" t="s">
        <v>1159</v>
      </c>
      <c r="AL475" s="2131"/>
      <c r="AM475" s="1968"/>
      <c r="AN475" s="1968"/>
      <c r="AO475" s="1968"/>
      <c r="AP475" s="1968"/>
      <c r="AQ475" s="1968"/>
      <c r="AR475" s="1968"/>
      <c r="AS475" s="1968"/>
      <c r="AT475" s="1968"/>
      <c r="AU475" s="1968"/>
      <c r="AV475" s="1968"/>
      <c r="AW475" s="1968"/>
      <c r="AX475" s="1968"/>
      <c r="AY475" s="1968"/>
      <c r="AZ475" s="1968"/>
      <c r="BA475" s="1968"/>
      <c r="BB475" s="1968"/>
      <c r="BC475" s="1968"/>
      <c r="BD475" s="1968"/>
      <c r="BE475" s="1968"/>
      <c r="BF475" s="1968"/>
      <c r="BG475" s="7235"/>
    </row>
    <row customHeight="1" ht="11.25">
      <c r="A476" s="1312" t="s">
        <v>1069</v>
      </c>
      <c r="B476" s="1312"/>
      <c r="C476" s="1312"/>
      <c r="D476" s="1306"/>
      <c r="E476" s="1316"/>
      <c r="F476" s="1974"/>
      <c r="G476" s="1975"/>
      <c r="H476" s="2674" t="s">
        <v>92</v>
      </c>
      <c r="I476" s="2675"/>
      <c r="J476" s="2644"/>
      <c r="K476" s="2676"/>
      <c r="L476" s="2266"/>
      <c r="M476" s="2267"/>
      <c r="N476" s="2667"/>
      <c r="O476" s="2668">
        <v>1</v>
      </c>
      <c r="P476" s="2669" t="s">
        <v>63</v>
      </c>
      <c r="Q476" s="8645" t="s">
        <v>1176</v>
      </c>
      <c r="R476" s="8646" t="s">
        <v>1177</v>
      </c>
      <c r="S476" s="8646" t="s">
        <v>113</v>
      </c>
      <c r="T476" s="8646" t="s">
        <v>113</v>
      </c>
      <c r="U476" s="8646" t="s">
        <v>114</v>
      </c>
      <c r="V476" s="8646" t="s">
        <v>1115</v>
      </c>
      <c r="W476" s="8646" t="s">
        <v>1116</v>
      </c>
      <c r="X476" s="8646" t="s">
        <v>1178</v>
      </c>
      <c r="Y476" s="8646" t="s">
        <v>1178</v>
      </c>
      <c r="Z476" s="1321"/>
      <c r="AA476" s="1322"/>
      <c r="AB476" s="1322"/>
      <c r="AC476" s="1326"/>
      <c r="AD476" s="1326"/>
      <c r="AE476" s="1327"/>
      <c r="AF476" s="2665"/>
      <c r="AG476" s="2666"/>
      <c r="AH476" s="2666"/>
      <c r="AI476" s="8677"/>
      <c r="AJ476" s="2666"/>
      <c r="AK476" s="2666"/>
      <c r="AL476" s="2131"/>
      <c r="AM476" s="1968"/>
      <c r="AN476" s="1968"/>
      <c r="AO476" s="1968"/>
      <c r="AP476" s="1968"/>
      <c r="AQ476" s="1968"/>
      <c r="AR476" s="1968"/>
      <c r="AS476" s="1968"/>
      <c r="AT476" s="1968"/>
      <c r="AU476" s="1968"/>
      <c r="AV476" s="1968"/>
      <c r="AW476" s="1968"/>
      <c r="AX476" s="1968"/>
      <c r="AY476" s="1968"/>
      <c r="AZ476" s="1968"/>
      <c r="BA476" s="1968"/>
      <c r="BB476" s="1968"/>
      <c r="BC476" s="1968"/>
      <c r="BD476" s="1968"/>
      <c r="BE476" s="1968"/>
      <c r="BF476" s="1968"/>
      <c r="BG476" s="7235"/>
    </row>
    <row customHeight="1" ht="11.25">
      <c r="A477" s="1312" t="s">
        <v>1069</v>
      </c>
      <c r="B477" s="1312"/>
      <c r="C477" s="1312"/>
      <c r="D477" s="1306"/>
      <c r="E477" s="1316"/>
      <c r="F477" s="1974"/>
      <c r="G477" s="1975"/>
      <c r="H477" s="2674" t="s">
        <v>92</v>
      </c>
      <c r="I477" s="2675"/>
      <c r="J477" s="2644"/>
      <c r="K477" s="2676"/>
      <c r="L477" s="2266"/>
      <c r="M477" s="2267"/>
      <c r="N477" s="2667"/>
      <c r="O477" s="2668"/>
      <c r="P477" s="2670"/>
      <c r="Q477" s="8645"/>
      <c r="R477" s="2672"/>
      <c r="S477" s="2673"/>
      <c r="T477" s="2672"/>
      <c r="U477" s="2672"/>
      <c r="V477" s="2672"/>
      <c r="W477" s="2672"/>
      <c r="X477" s="2672"/>
      <c r="Y477" s="2672"/>
      <c r="Z477" s="1973"/>
      <c r="AA477" s="1939">
        <v>1</v>
      </c>
      <c r="AB477" s="1325" t="s">
        <v>1172</v>
      </c>
      <c r="AC477" s="1315">
        <v>15736.56</v>
      </c>
      <c r="AD477" s="1325" t="str">
        <f>AB477</f>
        <v>  За счет платы за технологическое присоединение</v>
      </c>
      <c r="AE477" s="1315">
        <v>3792</v>
      </c>
      <c r="AF477" s="2665"/>
      <c r="AG477" s="2666"/>
      <c r="AH477" s="2666"/>
      <c r="AI477" s="8677"/>
      <c r="AJ477" s="2666"/>
      <c r="AK477" s="2666"/>
      <c r="AL477" s="2131"/>
      <c r="AM477" s="1968"/>
      <c r="AN477" s="1968"/>
      <c r="AO477" s="1968"/>
      <c r="AP477" s="1968"/>
      <c r="AQ477" s="1968"/>
      <c r="AR477" s="1968"/>
      <c r="AS477" s="1968"/>
      <c r="AT477" s="1968"/>
      <c r="AU477" s="1968"/>
      <c r="AV477" s="1968"/>
      <c r="AW477" s="1968"/>
      <c r="AX477" s="1968"/>
      <c r="AY477" s="1968"/>
      <c r="AZ477" s="1968"/>
      <c r="BA477" s="1968"/>
      <c r="BB477" s="1968"/>
      <c r="BC477" s="1968"/>
      <c r="BD477" s="1968"/>
      <c r="BE477" s="1968"/>
      <c r="BF477" s="1968"/>
      <c r="BG477" s="7235"/>
    </row>
    <row customHeight="1" ht="11.25">
      <c r="A478" s="1312" t="s">
        <v>1069</v>
      </c>
      <c r="B478" s="1312"/>
      <c r="C478" s="1312"/>
      <c r="D478" s="1306"/>
      <c r="E478" s="1316"/>
      <c r="F478" s="1974"/>
      <c r="G478" s="1975"/>
      <c r="H478" s="2674" t="s">
        <v>92</v>
      </c>
      <c r="I478" s="2675"/>
      <c r="J478" s="2644"/>
      <c r="K478" s="2676"/>
      <c r="L478" s="2266"/>
      <c r="M478" s="2267"/>
      <c r="N478" s="2667"/>
      <c r="O478" s="2668"/>
      <c r="P478" s="2671"/>
      <c r="Q478" s="8645"/>
      <c r="R478" s="2672"/>
      <c r="S478" s="2673"/>
      <c r="T478" s="2672"/>
      <c r="U478" s="2672"/>
      <c r="V478" s="2672"/>
      <c r="W478" s="2672"/>
      <c r="X478" s="2672"/>
      <c r="Y478" s="2672"/>
      <c r="Z478" s="1321"/>
      <c r="AA478" s="1322"/>
      <c r="AB478" s="1387" t="s">
        <v>1107</v>
      </c>
      <c r="AC478" s="1326"/>
      <c r="AD478" s="1326"/>
      <c r="AE478" s="1328"/>
      <c r="AF478" s="2665"/>
      <c r="AG478" s="2666"/>
      <c r="AH478" s="2666"/>
      <c r="AI478" s="8677"/>
      <c r="AJ478" s="2666"/>
      <c r="AK478" s="2666"/>
      <c r="AL478" s="2131"/>
      <c r="AM478" s="1968"/>
      <c r="AN478" s="1968"/>
      <c r="AO478" s="1968"/>
      <c r="AP478" s="1968"/>
      <c r="AQ478" s="1968"/>
      <c r="AR478" s="1968"/>
      <c r="AS478" s="1968"/>
      <c r="AT478" s="1968"/>
      <c r="AU478" s="1968"/>
      <c r="AV478" s="1968"/>
      <c r="AW478" s="1968"/>
      <c r="AX478" s="1968"/>
      <c r="AY478" s="1968"/>
      <c r="AZ478" s="1968"/>
      <c r="BA478" s="1968"/>
      <c r="BB478" s="1968"/>
      <c r="BC478" s="1968"/>
      <c r="BD478" s="1968"/>
      <c r="BE478" s="1968"/>
      <c r="BF478" s="1968"/>
      <c r="BG478" s="7235"/>
    </row>
    <row customHeight="1" ht="11.25">
      <c r="A479" s="1312" t="s">
        <v>1069</v>
      </c>
      <c r="B479" s="1312"/>
      <c r="C479" s="1312"/>
      <c r="D479" s="1306"/>
      <c r="E479" s="1316"/>
      <c r="F479" s="1974"/>
      <c r="G479" s="1975"/>
      <c r="H479" s="2674" t="s">
        <v>92</v>
      </c>
      <c r="I479" s="2675"/>
      <c r="J479" s="2644"/>
      <c r="K479" s="2676"/>
      <c r="L479" s="2266"/>
      <c r="M479" s="2267"/>
      <c r="N479" s="1321"/>
      <c r="O479" s="1322"/>
      <c r="P479" s="1314" t="s">
        <v>1108</v>
      </c>
      <c r="Q479" s="1322"/>
      <c r="R479" s="1322"/>
      <c r="S479" s="1322"/>
      <c r="T479" s="1322"/>
      <c r="U479" s="1322"/>
      <c r="V479" s="1322"/>
      <c r="W479" s="1322"/>
      <c r="X479" s="1322"/>
      <c r="Y479" s="1322"/>
      <c r="Z479" s="1322"/>
      <c r="AA479" s="1322"/>
      <c r="AB479" s="1322"/>
      <c r="AC479" s="1322"/>
      <c r="AD479" s="1322"/>
      <c r="AE479" s="1329"/>
      <c r="AF479" s="2665"/>
      <c r="AG479" s="2666"/>
      <c r="AH479" s="2666"/>
      <c r="AI479" s="8677"/>
      <c r="AJ479" s="2666"/>
      <c r="AK479" s="2666"/>
      <c r="AL479" s="2131"/>
      <c r="AM479" s="1968"/>
      <c r="AN479" s="1968"/>
      <c r="AO479" s="1968"/>
      <c r="AP479" s="1968"/>
      <c r="AQ479" s="1968"/>
      <c r="AR479" s="1968"/>
      <c r="AS479" s="1968"/>
      <c r="AT479" s="1968"/>
      <c r="AU479" s="1968"/>
      <c r="AV479" s="1968"/>
      <c r="AW479" s="1968"/>
      <c r="AX479" s="1968"/>
      <c r="AY479" s="1968"/>
      <c r="AZ479" s="1968"/>
      <c r="BA479" s="1968"/>
      <c r="BB479" s="1968"/>
      <c r="BC479" s="1968"/>
      <c r="BD479" s="1968"/>
      <c r="BE479" s="1968"/>
      <c r="BF479" s="1968"/>
      <c r="BG479" s="7235"/>
    </row>
    <row customHeight="1" ht="11.25">
      <c r="A480" s="1312" t="s">
        <v>1069</v>
      </c>
      <c r="B480" s="1312" t="s">
        <v>1168</v>
      </c>
      <c r="C480" s="1312"/>
      <c r="D480" s="1306"/>
      <c r="E480" s="1316"/>
      <c r="F480" s="1974"/>
      <c r="G480" s="7143" t="s">
        <v>106</v>
      </c>
      <c r="H480" s="2674" t="s">
        <v>93</v>
      </c>
      <c r="I480" s="2675" t="s">
        <v>1169</v>
      </c>
      <c r="J480" s="2644" t="s">
        <v>1174</v>
      </c>
      <c r="K480" s="2676" t="s">
        <v>1281</v>
      </c>
      <c r="L480" s="2266" t="s">
        <v>19</v>
      </c>
      <c r="M480" s="2267"/>
      <c r="N480" s="2129"/>
      <c r="O480" s="1323" t="s">
        <v>398</v>
      </c>
      <c r="P480" s="1324"/>
      <c r="Q480" s="1324"/>
      <c r="R480" s="1324"/>
      <c r="S480" s="1324"/>
      <c r="T480" s="1324"/>
      <c r="U480" s="1324"/>
      <c r="V480" s="1324"/>
      <c r="W480" s="1324"/>
      <c r="X480" s="1324"/>
      <c r="Y480" s="1324"/>
      <c r="Z480" s="1324"/>
      <c r="AA480" s="1324"/>
      <c r="AB480" s="1324"/>
      <c r="AC480" s="1324"/>
      <c r="AD480" s="1324"/>
      <c r="AE480" s="1324"/>
      <c r="AF480" s="2665">
        <v>2025</v>
      </c>
      <c r="AG480" s="2666" t="s">
        <v>1103</v>
      </c>
      <c r="AH480" s="2666" t="s">
        <v>1159</v>
      </c>
      <c r="AI480" s="8647"/>
      <c r="AJ480" s="2666" t="s">
        <v>1105</v>
      </c>
      <c r="AK480" s="2666" t="s">
        <v>1105</v>
      </c>
      <c r="AL480" s="2131"/>
      <c r="AM480" s="1968"/>
      <c r="AN480" s="1968"/>
      <c r="AO480" s="1968"/>
      <c r="AP480" s="1968"/>
      <c r="AQ480" s="1968"/>
      <c r="AR480" s="1968"/>
      <c r="AS480" s="1968"/>
      <c r="AT480" s="1968"/>
      <c r="AU480" s="1968"/>
      <c r="AV480" s="1968"/>
      <c r="AW480" s="1968"/>
      <c r="AX480" s="1968"/>
      <c r="AY480" s="1968"/>
      <c r="AZ480" s="1968"/>
      <c r="BA480" s="1968"/>
      <c r="BB480" s="1968"/>
      <c r="BC480" s="1968"/>
      <c r="BD480" s="1968"/>
      <c r="BE480" s="1968"/>
      <c r="BF480" s="1968"/>
      <c r="BG480" s="7235"/>
    </row>
    <row customHeight="1" ht="11.25">
      <c r="A481" s="1312" t="s">
        <v>1069</v>
      </c>
      <c r="B481" s="1312"/>
      <c r="C481" s="1312"/>
      <c r="D481" s="1306"/>
      <c r="E481" s="1316"/>
      <c r="F481" s="1974"/>
      <c r="G481" s="1975"/>
      <c r="H481" s="2674" t="s">
        <v>122</v>
      </c>
      <c r="I481" s="2675"/>
      <c r="J481" s="2644"/>
      <c r="K481" s="2676"/>
      <c r="L481" s="2266"/>
      <c r="M481" s="2267"/>
      <c r="N481" s="2667"/>
      <c r="O481" s="2668">
        <v>1</v>
      </c>
      <c r="P481" s="2669" t="s">
        <v>63</v>
      </c>
      <c r="Q481" s="8645" t="s">
        <v>1176</v>
      </c>
      <c r="R481" s="8646" t="s">
        <v>1177</v>
      </c>
      <c r="S481" s="8646" t="s">
        <v>113</v>
      </c>
      <c r="T481" s="8646" t="s">
        <v>113</v>
      </c>
      <c r="U481" s="8646" t="s">
        <v>114</v>
      </c>
      <c r="V481" s="8646" t="s">
        <v>1115</v>
      </c>
      <c r="W481" s="8646" t="s">
        <v>1116</v>
      </c>
      <c r="X481" s="8646" t="s">
        <v>1178</v>
      </c>
      <c r="Y481" s="8646" t="s">
        <v>1178</v>
      </c>
      <c r="Z481" s="1321"/>
      <c r="AA481" s="1322"/>
      <c r="AB481" s="1322"/>
      <c r="AC481" s="1326"/>
      <c r="AD481" s="1326"/>
      <c r="AE481" s="1327"/>
      <c r="AF481" s="2665"/>
      <c r="AG481" s="2666"/>
      <c r="AH481" s="2666"/>
      <c r="AI481" s="8647"/>
      <c r="AJ481" s="2666"/>
      <c r="AK481" s="2666"/>
      <c r="AL481" s="2131"/>
      <c r="AM481" s="1968"/>
      <c r="AN481" s="1968"/>
      <c r="AO481" s="1968"/>
      <c r="AP481" s="1968"/>
      <c r="AQ481" s="1968"/>
      <c r="AR481" s="1968"/>
      <c r="AS481" s="1968"/>
      <c r="AT481" s="1968"/>
      <c r="AU481" s="1968"/>
      <c r="AV481" s="1968"/>
      <c r="AW481" s="1968"/>
      <c r="AX481" s="1968"/>
      <c r="AY481" s="1968"/>
      <c r="AZ481" s="1968"/>
      <c r="BA481" s="1968"/>
      <c r="BB481" s="1968"/>
      <c r="BC481" s="1968"/>
      <c r="BD481" s="1968"/>
      <c r="BE481" s="1968"/>
      <c r="BF481" s="1968"/>
      <c r="BG481" s="7235"/>
    </row>
    <row customHeight="1" ht="11.25">
      <c r="A482" s="1312" t="s">
        <v>1069</v>
      </c>
      <c r="B482" s="1312"/>
      <c r="C482" s="1312"/>
      <c r="D482" s="1306"/>
      <c r="E482" s="1316"/>
      <c r="F482" s="1974"/>
      <c r="G482" s="1975"/>
      <c r="H482" s="2674" t="s">
        <v>122</v>
      </c>
      <c r="I482" s="2675"/>
      <c r="J482" s="2644"/>
      <c r="K482" s="2676"/>
      <c r="L482" s="2266"/>
      <c r="M482" s="2267"/>
      <c r="N482" s="2667"/>
      <c r="O482" s="2668"/>
      <c r="P482" s="2670"/>
      <c r="Q482" s="8645"/>
      <c r="R482" s="2672"/>
      <c r="S482" s="2673"/>
      <c r="T482" s="2672"/>
      <c r="U482" s="2672"/>
      <c r="V482" s="2672"/>
      <c r="W482" s="2672"/>
      <c r="X482" s="2672"/>
      <c r="Y482" s="2672"/>
      <c r="Z482" s="1973"/>
      <c r="AA482" s="1939">
        <v>1</v>
      </c>
      <c r="AB482" s="1325" t="s">
        <v>1172</v>
      </c>
      <c r="AC482" s="1315">
        <v>13345.74</v>
      </c>
      <c r="AD482" s="1325" t="str">
        <f>AB482</f>
        <v>  За счет платы за технологическое присоединение</v>
      </c>
      <c r="AE482" s="1315">
        <v>0</v>
      </c>
      <c r="AF482" s="2665"/>
      <c r="AG482" s="2666"/>
      <c r="AH482" s="2666"/>
      <c r="AI482" s="8647"/>
      <c r="AJ482" s="2666"/>
      <c r="AK482" s="2666"/>
      <c r="AL482" s="2131"/>
      <c r="AM482" s="1968"/>
      <c r="AN482" s="1968"/>
      <c r="AO482" s="1968"/>
      <c r="AP482" s="1968"/>
      <c r="AQ482" s="1968"/>
      <c r="AR482" s="1968"/>
      <c r="AS482" s="1968"/>
      <c r="AT482" s="1968"/>
      <c r="AU482" s="1968"/>
      <c r="AV482" s="1968"/>
      <c r="AW482" s="1968"/>
      <c r="AX482" s="1968"/>
      <c r="AY482" s="1968"/>
      <c r="AZ482" s="1968"/>
      <c r="BA482" s="1968"/>
      <c r="BB482" s="1968"/>
      <c r="BC482" s="1968"/>
      <c r="BD482" s="1968"/>
      <c r="BE482" s="1968"/>
      <c r="BF482" s="1968"/>
      <c r="BG482" s="7235"/>
    </row>
    <row customHeight="1" ht="11.25">
      <c r="A483" s="1312" t="s">
        <v>1069</v>
      </c>
      <c r="B483" s="1312"/>
      <c r="C483" s="1312"/>
      <c r="D483" s="1306"/>
      <c r="E483" s="1316"/>
      <c r="F483" s="1974"/>
      <c r="G483" s="1975"/>
      <c r="H483" s="2674" t="s">
        <v>122</v>
      </c>
      <c r="I483" s="2675"/>
      <c r="J483" s="2644"/>
      <c r="K483" s="2676"/>
      <c r="L483" s="2266"/>
      <c r="M483" s="2267"/>
      <c r="N483" s="2667"/>
      <c r="O483" s="2668"/>
      <c r="P483" s="2671"/>
      <c r="Q483" s="8645"/>
      <c r="R483" s="2672"/>
      <c r="S483" s="2673"/>
      <c r="T483" s="2672"/>
      <c r="U483" s="2672"/>
      <c r="V483" s="2672"/>
      <c r="W483" s="2672"/>
      <c r="X483" s="2672"/>
      <c r="Y483" s="2672"/>
      <c r="Z483" s="1321"/>
      <c r="AA483" s="1322"/>
      <c r="AB483" s="1387" t="s">
        <v>1107</v>
      </c>
      <c r="AC483" s="1326"/>
      <c r="AD483" s="1326"/>
      <c r="AE483" s="1328"/>
      <c r="AF483" s="2665"/>
      <c r="AG483" s="2666"/>
      <c r="AH483" s="2666"/>
      <c r="AI483" s="8647"/>
      <c r="AJ483" s="2666"/>
      <c r="AK483" s="2666"/>
      <c r="AL483" s="2131"/>
      <c r="AM483" s="1968"/>
      <c r="AN483" s="1968"/>
      <c r="AO483" s="1968"/>
      <c r="AP483" s="1968"/>
      <c r="AQ483" s="1968"/>
      <c r="AR483" s="1968"/>
      <c r="AS483" s="1968"/>
      <c r="AT483" s="1968"/>
      <c r="AU483" s="1968"/>
      <c r="AV483" s="1968"/>
      <c r="AW483" s="1968"/>
      <c r="AX483" s="1968"/>
      <c r="AY483" s="1968"/>
      <c r="AZ483" s="1968"/>
      <c r="BA483" s="1968"/>
      <c r="BB483" s="1968"/>
      <c r="BC483" s="1968"/>
      <c r="BD483" s="1968"/>
      <c r="BE483" s="1968"/>
      <c r="BF483" s="1968"/>
      <c r="BG483" s="7235"/>
    </row>
    <row customHeight="1" ht="13.5">
      <c r="A484" s="1312" t="s">
        <v>1069</v>
      </c>
      <c r="B484" s="1312"/>
      <c r="C484" s="1312"/>
      <c r="D484" s="1306"/>
      <c r="E484" s="1316"/>
      <c r="F484" s="1974"/>
      <c r="G484" s="1975"/>
      <c r="H484" s="2674" t="s">
        <v>122</v>
      </c>
      <c r="I484" s="2675"/>
      <c r="J484" s="2644"/>
      <c r="K484" s="2676"/>
      <c r="L484" s="2266"/>
      <c r="M484" s="2267"/>
      <c r="N484" s="1321"/>
      <c r="O484" s="1322"/>
      <c r="P484" s="1314" t="s">
        <v>1108</v>
      </c>
      <c r="Q484" s="1322"/>
      <c r="R484" s="1322"/>
      <c r="S484" s="1322"/>
      <c r="T484" s="1322"/>
      <c r="U484" s="1322"/>
      <c r="V484" s="1322"/>
      <c r="W484" s="1322"/>
      <c r="X484" s="1322"/>
      <c r="Y484" s="1322"/>
      <c r="Z484" s="1322"/>
      <c r="AA484" s="1322"/>
      <c r="AB484" s="1322"/>
      <c r="AC484" s="1322"/>
      <c r="AD484" s="1322"/>
      <c r="AE484" s="1329"/>
      <c r="AF484" s="2665"/>
      <c r="AG484" s="2666"/>
      <c r="AH484" s="2666"/>
      <c r="AI484" s="8647"/>
      <c r="AJ484" s="2666"/>
      <c r="AK484" s="2666"/>
      <c r="AL484" s="2131"/>
      <c r="AM484" s="1968"/>
      <c r="AN484" s="1968"/>
      <c r="AO484" s="1968"/>
      <c r="AP484" s="1968"/>
      <c r="AQ484" s="1968"/>
      <c r="AR484" s="1968"/>
      <c r="AS484" s="1968"/>
      <c r="AT484" s="1968"/>
      <c r="AU484" s="1968"/>
      <c r="AV484" s="1968"/>
      <c r="AW484" s="1968"/>
      <c r="AX484" s="1968"/>
      <c r="AY484" s="1968"/>
      <c r="AZ484" s="1968"/>
      <c r="BA484" s="1968"/>
      <c r="BB484" s="1968"/>
      <c r="BC484" s="1968"/>
      <c r="BD484" s="1968"/>
      <c r="BE484" s="1968"/>
      <c r="BF484" s="1968"/>
      <c r="BG484" s="7235"/>
    </row>
    <row customHeight="1" ht="11.25">
      <c r="A485" s="6966" t="s">
        <v>1069</v>
      </c>
      <c r="B485" s="1312" t="s">
        <v>1168</v>
      </c>
      <c r="C485" s="1312"/>
      <c r="D485" s="1306"/>
      <c r="E485" s="1316"/>
      <c r="F485" s="1974"/>
      <c r="G485" s="7143" t="s">
        <v>106</v>
      </c>
      <c r="H485" s="2674" t="s">
        <v>94</v>
      </c>
      <c r="I485" s="2675" t="s">
        <v>1169</v>
      </c>
      <c r="J485" s="2644" t="s">
        <v>1174</v>
      </c>
      <c r="K485" s="2676" t="s">
        <v>1180</v>
      </c>
      <c r="L485" s="2266" t="s">
        <v>19</v>
      </c>
      <c r="M485" s="2267"/>
      <c r="N485" s="2129"/>
      <c r="O485" s="1323" t="s">
        <v>398</v>
      </c>
      <c r="P485" s="1324"/>
      <c r="Q485" s="1324"/>
      <c r="R485" s="1324"/>
      <c r="S485" s="1324"/>
      <c r="T485" s="1324"/>
      <c r="U485" s="1324"/>
      <c r="V485" s="1324"/>
      <c r="W485" s="1324"/>
      <c r="X485" s="1324"/>
      <c r="Y485" s="1324"/>
      <c r="Z485" s="1324"/>
      <c r="AA485" s="1324"/>
      <c r="AB485" s="1324"/>
      <c r="AC485" s="1324"/>
      <c r="AD485" s="1324"/>
      <c r="AE485" s="1324"/>
      <c r="AF485" s="2665">
        <v>2025</v>
      </c>
      <c r="AG485" s="2666" t="s">
        <v>1103</v>
      </c>
      <c r="AH485" s="2666" t="s">
        <v>1159</v>
      </c>
      <c r="AI485" s="8677">
        <v>2024</v>
      </c>
      <c r="AJ485" s="2666" t="s">
        <v>1103</v>
      </c>
      <c r="AK485" s="2666" t="s">
        <v>1154</v>
      </c>
      <c r="AL485" s="2131"/>
      <c r="AM485" s="1968"/>
      <c r="AN485" s="1968"/>
      <c r="AO485" s="1968"/>
      <c r="AP485" s="1968"/>
      <c r="AQ485" s="1968"/>
      <c r="AR485" s="1968"/>
      <c r="AS485" s="1968"/>
      <c r="AT485" s="1968"/>
      <c r="AU485" s="1968"/>
      <c r="AV485" s="1968"/>
      <c r="AW485" s="1968"/>
      <c r="AX485" s="1968"/>
      <c r="AY485" s="1968"/>
      <c r="AZ485" s="1968"/>
      <c r="BA485" s="1968"/>
      <c r="BB485" s="1968"/>
      <c r="BC485" s="1968"/>
      <c r="BD485" s="1968"/>
      <c r="BE485" s="1968"/>
      <c r="BF485" s="1968"/>
      <c r="BG485" s="7235"/>
    </row>
    <row customHeight="1" ht="11.25">
      <c r="A486" s="1312" t="s">
        <v>1069</v>
      </c>
      <c r="B486" s="1312"/>
      <c r="C486" s="1312"/>
      <c r="D486" s="1306"/>
      <c r="E486" s="1316"/>
      <c r="F486" s="1974"/>
      <c r="G486" s="1975"/>
      <c r="H486" s="2674" t="s">
        <v>93</v>
      </c>
      <c r="I486" s="2675"/>
      <c r="J486" s="2644"/>
      <c r="K486" s="2676"/>
      <c r="L486" s="2266"/>
      <c r="M486" s="2267"/>
      <c r="N486" s="2667"/>
      <c r="O486" s="2668">
        <v>1</v>
      </c>
      <c r="P486" s="2669" t="s">
        <v>63</v>
      </c>
      <c r="Q486" s="8645" t="s">
        <v>1176</v>
      </c>
      <c r="R486" s="8646" t="s">
        <v>1177</v>
      </c>
      <c r="S486" s="8646" t="s">
        <v>113</v>
      </c>
      <c r="T486" s="8646" t="s">
        <v>113</v>
      </c>
      <c r="U486" s="8646" t="s">
        <v>114</v>
      </c>
      <c r="V486" s="8646" t="s">
        <v>1115</v>
      </c>
      <c r="W486" s="8646" t="s">
        <v>1116</v>
      </c>
      <c r="X486" s="8646" t="s">
        <v>1178</v>
      </c>
      <c r="Y486" s="8646" t="s">
        <v>1178</v>
      </c>
      <c r="Z486" s="1321"/>
      <c r="AA486" s="1322"/>
      <c r="AB486" s="1322"/>
      <c r="AC486" s="1326"/>
      <c r="AD486" s="1326"/>
      <c r="AE486" s="1327"/>
      <c r="AF486" s="2665"/>
      <c r="AG486" s="2666"/>
      <c r="AH486" s="2666"/>
      <c r="AI486" s="8677"/>
      <c r="AJ486" s="2666"/>
      <c r="AK486" s="2666"/>
      <c r="AL486" s="2131"/>
      <c r="AM486" s="1968"/>
      <c r="AN486" s="1968"/>
      <c r="AO486" s="1968"/>
      <c r="AP486" s="1968"/>
      <c r="AQ486" s="1968"/>
      <c r="AR486" s="1968"/>
      <c r="AS486" s="1968"/>
      <c r="AT486" s="1968"/>
      <c r="AU486" s="1968"/>
      <c r="AV486" s="1968"/>
      <c r="AW486" s="1968"/>
      <c r="AX486" s="1968"/>
      <c r="AY486" s="1968"/>
      <c r="AZ486" s="1968"/>
      <c r="BA486" s="1968"/>
      <c r="BB486" s="1968"/>
      <c r="BC486" s="1968"/>
      <c r="BD486" s="1968"/>
      <c r="BE486" s="1968"/>
      <c r="BF486" s="1968"/>
      <c r="BG486" s="7235"/>
    </row>
    <row customHeight="1" ht="11.25">
      <c r="A487" s="1312" t="s">
        <v>1069</v>
      </c>
      <c r="B487" s="1312"/>
      <c r="C487" s="1312"/>
      <c r="D487" s="1306"/>
      <c r="E487" s="1316"/>
      <c r="F487" s="1974"/>
      <c r="G487" s="1975"/>
      <c r="H487" s="2674" t="s">
        <v>93</v>
      </c>
      <c r="I487" s="2675"/>
      <c r="J487" s="2644"/>
      <c r="K487" s="2676"/>
      <c r="L487" s="2266"/>
      <c r="M487" s="2267"/>
      <c r="N487" s="2667"/>
      <c r="O487" s="2668"/>
      <c r="P487" s="2670"/>
      <c r="Q487" s="8645"/>
      <c r="R487" s="2672"/>
      <c r="S487" s="2673"/>
      <c r="T487" s="2672"/>
      <c r="U487" s="2672"/>
      <c r="V487" s="2672"/>
      <c r="W487" s="2672"/>
      <c r="X487" s="2672"/>
      <c r="Y487" s="2672"/>
      <c r="Z487" s="1973"/>
      <c r="AA487" s="1939">
        <v>1</v>
      </c>
      <c r="AB487" s="1325" t="s">
        <v>1172</v>
      </c>
      <c r="AC487" s="1315">
        <v>0</v>
      </c>
      <c r="AD487" s="1325" t="str">
        <f>AB487</f>
        <v>  За счет платы за технологическое присоединение</v>
      </c>
      <c r="AE487" s="1315">
        <v>34</v>
      </c>
      <c r="AF487" s="2665"/>
      <c r="AG487" s="2666"/>
      <c r="AH487" s="2666"/>
      <c r="AI487" s="8677"/>
      <c r="AJ487" s="2666"/>
      <c r="AK487" s="2666"/>
      <c r="AL487" s="2131"/>
      <c r="AM487" s="1968"/>
      <c r="AN487" s="1968"/>
      <c r="AO487" s="1968"/>
      <c r="AP487" s="1968"/>
      <c r="AQ487" s="1968"/>
      <c r="AR487" s="1968"/>
      <c r="AS487" s="1968"/>
      <c r="AT487" s="1968"/>
      <c r="AU487" s="1968"/>
      <c r="AV487" s="1968"/>
      <c r="AW487" s="1968"/>
      <c r="AX487" s="1968"/>
      <c r="AY487" s="1968"/>
      <c r="AZ487" s="1968"/>
      <c r="BA487" s="1968"/>
      <c r="BB487" s="1968"/>
      <c r="BC487" s="1968"/>
      <c r="BD487" s="1968"/>
      <c r="BE487" s="1968"/>
      <c r="BF487" s="1968"/>
      <c r="BG487" s="7235"/>
    </row>
    <row customHeight="1" ht="11.25">
      <c r="A488" s="1312" t="s">
        <v>1069</v>
      </c>
      <c r="B488" s="1312"/>
      <c r="C488" s="1312"/>
      <c r="D488" s="1306"/>
      <c r="E488" s="1316"/>
      <c r="F488" s="1974"/>
      <c r="G488" s="1975"/>
      <c r="H488" s="2674" t="s">
        <v>93</v>
      </c>
      <c r="I488" s="2675"/>
      <c r="J488" s="2644"/>
      <c r="K488" s="2676"/>
      <c r="L488" s="2266"/>
      <c r="M488" s="2267"/>
      <c r="N488" s="2667"/>
      <c r="O488" s="2668"/>
      <c r="P488" s="2671"/>
      <c r="Q488" s="8645"/>
      <c r="R488" s="2672"/>
      <c r="S488" s="2673"/>
      <c r="T488" s="2672"/>
      <c r="U488" s="2672"/>
      <c r="V488" s="2672"/>
      <c r="W488" s="2672"/>
      <c r="X488" s="2672"/>
      <c r="Y488" s="2672"/>
      <c r="Z488" s="1321"/>
      <c r="AA488" s="1322"/>
      <c r="AB488" s="1387" t="s">
        <v>1107</v>
      </c>
      <c r="AC488" s="1326"/>
      <c r="AD488" s="1326"/>
      <c r="AE488" s="1328"/>
      <c r="AF488" s="2665"/>
      <c r="AG488" s="2666"/>
      <c r="AH488" s="2666"/>
      <c r="AI488" s="8677"/>
      <c r="AJ488" s="2666"/>
      <c r="AK488" s="2666"/>
      <c r="AL488" s="2131"/>
      <c r="AM488" s="1968"/>
      <c r="AN488" s="1968"/>
      <c r="AO488" s="1968"/>
      <c r="AP488" s="1968"/>
      <c r="AQ488" s="1968"/>
      <c r="AR488" s="1968"/>
      <c r="AS488" s="1968"/>
      <c r="AT488" s="1968"/>
      <c r="AU488" s="1968"/>
      <c r="AV488" s="1968"/>
      <c r="AW488" s="1968"/>
      <c r="AX488" s="1968"/>
      <c r="AY488" s="1968"/>
      <c r="AZ488" s="1968"/>
      <c r="BA488" s="1968"/>
      <c r="BB488" s="1968"/>
      <c r="BC488" s="1968"/>
      <c r="BD488" s="1968"/>
      <c r="BE488" s="1968"/>
      <c r="BF488" s="1968"/>
      <c r="BG488" s="7235"/>
    </row>
    <row customHeight="1" ht="11.25">
      <c r="A489" s="1312" t="s">
        <v>1069</v>
      </c>
      <c r="B489" s="1312"/>
      <c r="C489" s="1312"/>
      <c r="D489" s="1306"/>
      <c r="E489" s="1316"/>
      <c r="F489" s="1974"/>
      <c r="G489" s="1975"/>
      <c r="H489" s="2674" t="s">
        <v>93</v>
      </c>
      <c r="I489" s="2675"/>
      <c r="J489" s="2644"/>
      <c r="K489" s="2676"/>
      <c r="L489" s="2266"/>
      <c r="M489" s="2267"/>
      <c r="N489" s="1321"/>
      <c r="O489" s="1322"/>
      <c r="P489" s="1314" t="s">
        <v>1108</v>
      </c>
      <c r="Q489" s="1322"/>
      <c r="R489" s="1322"/>
      <c r="S489" s="1322"/>
      <c r="T489" s="1322"/>
      <c r="U489" s="1322"/>
      <c r="V489" s="1322"/>
      <c r="W489" s="1322"/>
      <c r="X489" s="1322"/>
      <c r="Y489" s="1322"/>
      <c r="Z489" s="1322"/>
      <c r="AA489" s="1322"/>
      <c r="AB489" s="1322"/>
      <c r="AC489" s="1322"/>
      <c r="AD489" s="1322"/>
      <c r="AE489" s="1329"/>
      <c r="AF489" s="2665"/>
      <c r="AG489" s="2666"/>
      <c r="AH489" s="2666"/>
      <c r="AI489" s="8677"/>
      <c r="AJ489" s="2666"/>
      <c r="AK489" s="2666"/>
      <c r="AL489" s="2131"/>
      <c r="AM489" s="1968"/>
      <c r="AN489" s="1968"/>
      <c r="AO489" s="1968"/>
      <c r="AP489" s="1968"/>
      <c r="AQ489" s="1968"/>
      <c r="AR489" s="1968"/>
      <c r="AS489" s="1968"/>
      <c r="AT489" s="1968"/>
      <c r="AU489" s="1968"/>
      <c r="AV489" s="1968"/>
      <c r="AW489" s="1968"/>
      <c r="AX489" s="1968"/>
      <c r="AY489" s="1968"/>
      <c r="AZ489" s="1968"/>
      <c r="BA489" s="1968"/>
      <c r="BB489" s="1968"/>
      <c r="BC489" s="1968"/>
      <c r="BD489" s="1968"/>
      <c r="BE489" s="1968"/>
      <c r="BF489" s="1968"/>
      <c r="BG489" s="7235"/>
    </row>
    <row customHeight="1" ht="11.25">
      <c r="A490" s="1312" t="s">
        <v>1069</v>
      </c>
      <c r="B490" s="1312" t="s">
        <v>1168</v>
      </c>
      <c r="C490" s="1312"/>
      <c r="D490" s="1306"/>
      <c r="E490" s="1316"/>
      <c r="F490" s="1974"/>
      <c r="G490" s="7143" t="s">
        <v>106</v>
      </c>
      <c r="H490" s="2674" t="s">
        <v>123</v>
      </c>
      <c r="I490" s="2675" t="s">
        <v>1169</v>
      </c>
      <c r="J490" s="2644" t="s">
        <v>1174</v>
      </c>
      <c r="K490" s="2676" t="s">
        <v>1282</v>
      </c>
      <c r="L490" s="2266" t="s">
        <v>19</v>
      </c>
      <c r="M490" s="2267"/>
      <c r="N490" s="2129"/>
      <c r="O490" s="1323" t="s">
        <v>398</v>
      </c>
      <c r="P490" s="1324"/>
      <c r="Q490" s="1324"/>
      <c r="R490" s="1324"/>
      <c r="S490" s="1324"/>
      <c r="T490" s="1324"/>
      <c r="U490" s="1324"/>
      <c r="V490" s="1324"/>
      <c r="W490" s="1324"/>
      <c r="X490" s="1324"/>
      <c r="Y490" s="1324"/>
      <c r="Z490" s="1324"/>
      <c r="AA490" s="1324"/>
      <c r="AB490" s="1324"/>
      <c r="AC490" s="1324"/>
      <c r="AD490" s="1324"/>
      <c r="AE490" s="1324"/>
      <c r="AF490" s="2665">
        <v>2026</v>
      </c>
      <c r="AG490" s="2666" t="s">
        <v>1103</v>
      </c>
      <c r="AH490" s="2666" t="s">
        <v>1162</v>
      </c>
      <c r="AI490" s="8677">
        <v>2024</v>
      </c>
      <c r="AJ490" s="2666" t="s">
        <v>1103</v>
      </c>
      <c r="AK490" s="2666" t="s">
        <v>1154</v>
      </c>
      <c r="AL490" s="2131"/>
      <c r="AM490" s="1968"/>
      <c r="AN490" s="1968"/>
      <c r="AO490" s="1968"/>
      <c r="AP490" s="1968"/>
      <c r="AQ490" s="1968"/>
      <c r="AR490" s="1968"/>
      <c r="AS490" s="1968"/>
      <c r="AT490" s="1968"/>
      <c r="AU490" s="1968"/>
      <c r="AV490" s="1968"/>
      <c r="AW490" s="1968"/>
      <c r="AX490" s="1968"/>
      <c r="AY490" s="1968"/>
      <c r="AZ490" s="1968"/>
      <c r="BA490" s="1968"/>
      <c r="BB490" s="1968"/>
      <c r="BC490" s="1968"/>
      <c r="BD490" s="1968"/>
      <c r="BE490" s="1968"/>
      <c r="BF490" s="1968"/>
      <c r="BG490" s="7235"/>
    </row>
    <row customHeight="1" ht="11.25">
      <c r="A491" s="1312" t="s">
        <v>1069</v>
      </c>
      <c r="B491" s="1312"/>
      <c r="C491" s="1312"/>
      <c r="D491" s="1306"/>
      <c r="E491" s="1316"/>
      <c r="F491" s="1974"/>
      <c r="G491" s="1975"/>
      <c r="H491" s="2674" t="s">
        <v>94</v>
      </c>
      <c r="I491" s="2675"/>
      <c r="J491" s="2644"/>
      <c r="K491" s="2676"/>
      <c r="L491" s="2266"/>
      <c r="M491" s="2267"/>
      <c r="N491" s="2667"/>
      <c r="O491" s="2668">
        <v>1</v>
      </c>
      <c r="P491" s="2669" t="s">
        <v>63</v>
      </c>
      <c r="Q491" s="8645" t="s">
        <v>1176</v>
      </c>
      <c r="R491" s="8646" t="s">
        <v>1177</v>
      </c>
      <c r="S491" s="8646" t="s">
        <v>113</v>
      </c>
      <c r="T491" s="8646" t="s">
        <v>113</v>
      </c>
      <c r="U491" s="8646" t="s">
        <v>114</v>
      </c>
      <c r="V491" s="8646" t="s">
        <v>1115</v>
      </c>
      <c r="W491" s="8646" t="s">
        <v>1116</v>
      </c>
      <c r="X491" s="8646" t="s">
        <v>1178</v>
      </c>
      <c r="Y491" s="8646" t="s">
        <v>1178</v>
      </c>
      <c r="Z491" s="1321"/>
      <c r="AA491" s="1322"/>
      <c r="AB491" s="1322"/>
      <c r="AC491" s="1326"/>
      <c r="AD491" s="1326"/>
      <c r="AE491" s="1327"/>
      <c r="AF491" s="2665"/>
      <c r="AG491" s="2666"/>
      <c r="AH491" s="2666"/>
      <c r="AI491" s="8677"/>
      <c r="AJ491" s="2666"/>
      <c r="AK491" s="2666"/>
      <c r="AL491" s="2131"/>
      <c r="AM491" s="1968"/>
      <c r="AN491" s="1968"/>
      <c r="AO491" s="1968"/>
      <c r="AP491" s="1968"/>
      <c r="AQ491" s="1968"/>
      <c r="AR491" s="1968"/>
      <c r="AS491" s="1968"/>
      <c r="AT491" s="1968"/>
      <c r="AU491" s="1968"/>
      <c r="AV491" s="1968"/>
      <c r="AW491" s="1968"/>
      <c r="AX491" s="1968"/>
      <c r="AY491" s="1968"/>
      <c r="AZ491" s="1968"/>
      <c r="BA491" s="1968"/>
      <c r="BB491" s="1968"/>
      <c r="BC491" s="1968"/>
      <c r="BD491" s="1968"/>
      <c r="BE491" s="1968"/>
      <c r="BF491" s="1968"/>
      <c r="BG491" s="7235"/>
    </row>
    <row customHeight="1" ht="11.25">
      <c r="A492" s="1312" t="s">
        <v>1069</v>
      </c>
      <c r="B492" s="1312"/>
      <c r="C492" s="1312"/>
      <c r="D492" s="1306"/>
      <c r="E492" s="1316"/>
      <c r="F492" s="1974"/>
      <c r="G492" s="1975"/>
      <c r="H492" s="2674" t="s">
        <v>94</v>
      </c>
      <c r="I492" s="2675"/>
      <c r="J492" s="2644"/>
      <c r="K492" s="2676"/>
      <c r="L492" s="2266"/>
      <c r="M492" s="2267"/>
      <c r="N492" s="2667"/>
      <c r="O492" s="2668"/>
      <c r="P492" s="2670"/>
      <c r="Q492" s="8645"/>
      <c r="R492" s="2672"/>
      <c r="S492" s="2673"/>
      <c r="T492" s="2672"/>
      <c r="U492" s="2672"/>
      <c r="V492" s="2672"/>
      <c r="W492" s="2672"/>
      <c r="X492" s="2672"/>
      <c r="Y492" s="2672"/>
      <c r="Z492" s="1973"/>
      <c r="AA492" s="1939">
        <v>1</v>
      </c>
      <c r="AB492" s="1325" t="s">
        <v>1172</v>
      </c>
      <c r="AC492" s="1315">
        <v>0</v>
      </c>
      <c r="AD492" s="1325" t="str">
        <f>AB492</f>
        <v>  За счет платы за технологическое присоединение</v>
      </c>
      <c r="AE492" s="1315">
        <v>67</v>
      </c>
      <c r="AF492" s="2665"/>
      <c r="AG492" s="2666"/>
      <c r="AH492" s="2666"/>
      <c r="AI492" s="8677"/>
      <c r="AJ492" s="2666"/>
      <c r="AK492" s="2666"/>
      <c r="AL492" s="2131"/>
      <c r="AM492" s="1968"/>
      <c r="AN492" s="1968"/>
      <c r="AO492" s="1968"/>
      <c r="AP492" s="1968"/>
      <c r="AQ492" s="1968"/>
      <c r="AR492" s="1968"/>
      <c r="AS492" s="1968"/>
      <c r="AT492" s="1968"/>
      <c r="AU492" s="1968"/>
      <c r="AV492" s="1968"/>
      <c r="AW492" s="1968"/>
      <c r="AX492" s="1968"/>
      <c r="AY492" s="1968"/>
      <c r="AZ492" s="1968"/>
      <c r="BA492" s="1968"/>
      <c r="BB492" s="1968"/>
      <c r="BC492" s="1968"/>
      <c r="BD492" s="1968"/>
      <c r="BE492" s="1968"/>
      <c r="BF492" s="1968"/>
      <c r="BG492" s="7235"/>
    </row>
    <row customHeight="1" ht="11.25">
      <c r="A493" s="1312" t="s">
        <v>1069</v>
      </c>
      <c r="B493" s="1312"/>
      <c r="C493" s="1312"/>
      <c r="D493" s="1306"/>
      <c r="E493" s="1316"/>
      <c r="F493" s="1974"/>
      <c r="G493" s="1975"/>
      <c r="H493" s="2674" t="s">
        <v>94</v>
      </c>
      <c r="I493" s="2675"/>
      <c r="J493" s="2644"/>
      <c r="K493" s="2676"/>
      <c r="L493" s="2266"/>
      <c r="M493" s="2267"/>
      <c r="N493" s="2667"/>
      <c r="O493" s="2668"/>
      <c r="P493" s="2671"/>
      <c r="Q493" s="8645"/>
      <c r="R493" s="2672"/>
      <c r="S493" s="2673"/>
      <c r="T493" s="2672"/>
      <c r="U493" s="2672"/>
      <c r="V493" s="2672"/>
      <c r="W493" s="2672"/>
      <c r="X493" s="2672"/>
      <c r="Y493" s="2672"/>
      <c r="Z493" s="1321"/>
      <c r="AA493" s="1322"/>
      <c r="AB493" s="1387" t="s">
        <v>1107</v>
      </c>
      <c r="AC493" s="1326"/>
      <c r="AD493" s="1326"/>
      <c r="AE493" s="1328"/>
      <c r="AF493" s="2665"/>
      <c r="AG493" s="2666"/>
      <c r="AH493" s="2666"/>
      <c r="AI493" s="8677"/>
      <c r="AJ493" s="2666"/>
      <c r="AK493" s="2666"/>
      <c r="AL493" s="2131"/>
      <c r="AM493" s="1968"/>
      <c r="AN493" s="1968"/>
      <c r="AO493" s="1968"/>
      <c r="AP493" s="1968"/>
      <c r="AQ493" s="1968"/>
      <c r="AR493" s="1968"/>
      <c r="AS493" s="1968"/>
      <c r="AT493" s="1968"/>
      <c r="AU493" s="1968"/>
      <c r="AV493" s="1968"/>
      <c r="AW493" s="1968"/>
      <c r="AX493" s="1968"/>
      <c r="AY493" s="1968"/>
      <c r="AZ493" s="1968"/>
      <c r="BA493" s="1968"/>
      <c r="BB493" s="1968"/>
      <c r="BC493" s="1968"/>
      <c r="BD493" s="1968"/>
      <c r="BE493" s="1968"/>
      <c r="BF493" s="1968"/>
      <c r="BG493" s="7235"/>
    </row>
    <row customHeight="1" ht="11.25">
      <c r="A494" s="1312" t="s">
        <v>1069</v>
      </c>
      <c r="B494" s="1312"/>
      <c r="C494" s="1312"/>
      <c r="D494" s="1306"/>
      <c r="E494" s="1316"/>
      <c r="F494" s="1974"/>
      <c r="G494" s="1975"/>
      <c r="H494" s="2674" t="s">
        <v>94</v>
      </c>
      <c r="I494" s="2675"/>
      <c r="J494" s="2644"/>
      <c r="K494" s="2676"/>
      <c r="L494" s="2266"/>
      <c r="M494" s="2267"/>
      <c r="N494" s="1321"/>
      <c r="O494" s="1322"/>
      <c r="P494" s="1314" t="s">
        <v>1108</v>
      </c>
      <c r="Q494" s="1322"/>
      <c r="R494" s="1322"/>
      <c r="S494" s="1322"/>
      <c r="T494" s="1322"/>
      <c r="U494" s="1322"/>
      <c r="V494" s="1322"/>
      <c r="W494" s="1322"/>
      <c r="X494" s="1322"/>
      <c r="Y494" s="1322"/>
      <c r="Z494" s="1322"/>
      <c r="AA494" s="1322"/>
      <c r="AB494" s="1322"/>
      <c r="AC494" s="1322"/>
      <c r="AD494" s="1322"/>
      <c r="AE494" s="1329"/>
      <c r="AF494" s="2665"/>
      <c r="AG494" s="2666"/>
      <c r="AH494" s="2666"/>
      <c r="AI494" s="8677"/>
      <c r="AJ494" s="2666"/>
      <c r="AK494" s="2666"/>
      <c r="AL494" s="2131"/>
      <c r="AM494" s="1968"/>
      <c r="AN494" s="1968"/>
      <c r="AO494" s="1968"/>
      <c r="AP494" s="1968"/>
      <c r="AQ494" s="1968"/>
      <c r="AR494" s="1968"/>
      <c r="AS494" s="1968"/>
      <c r="AT494" s="1968"/>
      <c r="AU494" s="1968"/>
      <c r="AV494" s="1968"/>
      <c r="AW494" s="1968"/>
      <c r="AX494" s="1968"/>
      <c r="AY494" s="1968"/>
      <c r="AZ494" s="1968"/>
      <c r="BA494" s="1968"/>
      <c r="BB494" s="1968"/>
      <c r="BC494" s="1968"/>
      <c r="BD494" s="1968"/>
      <c r="BE494" s="1968"/>
      <c r="BF494" s="1968"/>
      <c r="BG494" s="7235"/>
    </row>
    <row customHeight="1" ht="11.25">
      <c r="A495" s="1312" t="s">
        <v>1069</v>
      </c>
      <c r="B495" s="1312" t="s">
        <v>1168</v>
      </c>
      <c r="C495" s="1312"/>
      <c r="D495" s="1306"/>
      <c r="E495" s="1316"/>
      <c r="F495" s="1974"/>
      <c r="G495" s="7143" t="s">
        <v>106</v>
      </c>
      <c r="H495" s="2674" t="s">
        <v>172</v>
      </c>
      <c r="I495" s="2675" t="s">
        <v>1169</v>
      </c>
      <c r="J495" s="2644" t="s">
        <v>1174</v>
      </c>
      <c r="K495" s="2676" t="s">
        <v>1283</v>
      </c>
      <c r="L495" s="2266" t="s">
        <v>19</v>
      </c>
      <c r="M495" s="2267"/>
      <c r="N495" s="2129"/>
      <c r="O495" s="1323" t="s">
        <v>398</v>
      </c>
      <c r="P495" s="1324"/>
      <c r="Q495" s="1324"/>
      <c r="R495" s="1324"/>
      <c r="S495" s="1324"/>
      <c r="T495" s="1324"/>
      <c r="U495" s="1324"/>
      <c r="V495" s="1324"/>
      <c r="W495" s="1324"/>
      <c r="X495" s="1324"/>
      <c r="Y495" s="1324"/>
      <c r="Z495" s="1324"/>
      <c r="AA495" s="1324"/>
      <c r="AB495" s="1324"/>
      <c r="AC495" s="1324"/>
      <c r="AD495" s="1324"/>
      <c r="AE495" s="1324"/>
      <c r="AF495" s="2665">
        <v>2025</v>
      </c>
      <c r="AG495" s="2666" t="s">
        <v>1103</v>
      </c>
      <c r="AH495" s="2666" t="s">
        <v>1159</v>
      </c>
      <c r="AI495" s="8677">
        <v>2025</v>
      </c>
      <c r="AJ495" s="2666" t="s">
        <v>1103</v>
      </c>
      <c r="AK495" s="2666" t="s">
        <v>1159</v>
      </c>
      <c r="AL495" s="2131"/>
      <c r="AM495" s="1968"/>
      <c r="AN495" s="1968"/>
      <c r="AO495" s="1968"/>
      <c r="AP495" s="1968"/>
      <c r="AQ495" s="1968"/>
      <c r="AR495" s="1968"/>
      <c r="AS495" s="1968"/>
      <c r="AT495" s="1968"/>
      <c r="AU495" s="1968"/>
      <c r="AV495" s="1968"/>
      <c r="AW495" s="1968"/>
      <c r="AX495" s="1968"/>
      <c r="AY495" s="1968"/>
      <c r="AZ495" s="1968"/>
      <c r="BA495" s="1968"/>
      <c r="BB495" s="1968"/>
      <c r="BC495" s="1968"/>
      <c r="BD495" s="1968"/>
      <c r="BE495" s="1968"/>
      <c r="BF495" s="1968"/>
      <c r="BG495" s="7235"/>
    </row>
    <row customHeight="1" ht="11.25">
      <c r="A496" s="1312" t="s">
        <v>1069</v>
      </c>
      <c r="B496" s="1312"/>
      <c r="C496" s="1312"/>
      <c r="D496" s="1306"/>
      <c r="E496" s="1316"/>
      <c r="F496" s="1974"/>
      <c r="G496" s="1975"/>
      <c r="H496" s="2674" t="s">
        <v>123</v>
      </c>
      <c r="I496" s="2675"/>
      <c r="J496" s="2644"/>
      <c r="K496" s="2676"/>
      <c r="L496" s="2266"/>
      <c r="M496" s="2267"/>
      <c r="N496" s="2667"/>
      <c r="O496" s="2668">
        <v>1</v>
      </c>
      <c r="P496" s="2669" t="s">
        <v>63</v>
      </c>
      <c r="Q496" s="8645" t="s">
        <v>1176</v>
      </c>
      <c r="R496" s="8646" t="s">
        <v>1177</v>
      </c>
      <c r="S496" s="8646" t="s">
        <v>113</v>
      </c>
      <c r="T496" s="8646" t="s">
        <v>113</v>
      </c>
      <c r="U496" s="8646" t="s">
        <v>114</v>
      </c>
      <c r="V496" s="8646" t="s">
        <v>1115</v>
      </c>
      <c r="W496" s="8646" t="s">
        <v>1116</v>
      </c>
      <c r="X496" s="8646" t="s">
        <v>1178</v>
      </c>
      <c r="Y496" s="8646" t="s">
        <v>1178</v>
      </c>
      <c r="Z496" s="1321"/>
      <c r="AA496" s="1322"/>
      <c r="AB496" s="1322"/>
      <c r="AC496" s="1326"/>
      <c r="AD496" s="1326"/>
      <c r="AE496" s="1327"/>
      <c r="AF496" s="2665"/>
      <c r="AG496" s="2666"/>
      <c r="AH496" s="2666"/>
      <c r="AI496" s="8677"/>
      <c r="AJ496" s="2666"/>
      <c r="AK496" s="2666"/>
      <c r="AL496" s="2131"/>
      <c r="AM496" s="1968"/>
      <c r="AN496" s="1968"/>
      <c r="AO496" s="1968"/>
      <c r="AP496" s="1968"/>
      <c r="AQ496" s="1968"/>
      <c r="AR496" s="1968"/>
      <c r="AS496" s="1968"/>
      <c r="AT496" s="1968"/>
      <c r="AU496" s="1968"/>
      <c r="AV496" s="1968"/>
      <c r="AW496" s="1968"/>
      <c r="AX496" s="1968"/>
      <c r="AY496" s="1968"/>
      <c r="AZ496" s="1968"/>
      <c r="BA496" s="1968"/>
      <c r="BB496" s="1968"/>
      <c r="BC496" s="1968"/>
      <c r="BD496" s="1968"/>
      <c r="BE496" s="1968"/>
      <c r="BF496" s="1968"/>
      <c r="BG496" s="7235"/>
    </row>
    <row customHeight="1" ht="11.25">
      <c r="A497" s="1312" t="s">
        <v>1069</v>
      </c>
      <c r="B497" s="1312"/>
      <c r="C497" s="1312"/>
      <c r="D497" s="1306"/>
      <c r="E497" s="1316"/>
      <c r="F497" s="1974"/>
      <c r="G497" s="1975"/>
      <c r="H497" s="2674" t="s">
        <v>123</v>
      </c>
      <c r="I497" s="2675"/>
      <c r="J497" s="2644"/>
      <c r="K497" s="2676"/>
      <c r="L497" s="2266"/>
      <c r="M497" s="2267"/>
      <c r="N497" s="2667"/>
      <c r="O497" s="2668"/>
      <c r="P497" s="2670"/>
      <c r="Q497" s="8645"/>
      <c r="R497" s="2672"/>
      <c r="S497" s="2673"/>
      <c r="T497" s="2672"/>
      <c r="U497" s="2672"/>
      <c r="V497" s="2672"/>
      <c r="W497" s="2672"/>
      <c r="X497" s="2672"/>
      <c r="Y497" s="2672"/>
      <c r="Z497" s="1973"/>
      <c r="AA497" s="1939">
        <v>1</v>
      </c>
      <c r="AB497" s="1325" t="s">
        <v>1172</v>
      </c>
      <c r="AC497" s="1315">
        <v>0</v>
      </c>
      <c r="AD497" s="1325" t="str">
        <f>AB497</f>
        <v>  За счет платы за технологическое присоединение</v>
      </c>
      <c r="AE497" s="1315">
        <v>3669</v>
      </c>
      <c r="AF497" s="2665"/>
      <c r="AG497" s="2666"/>
      <c r="AH497" s="2666"/>
      <c r="AI497" s="8677"/>
      <c r="AJ497" s="2666"/>
      <c r="AK497" s="2666"/>
      <c r="AL497" s="2131"/>
      <c r="AM497" s="1968"/>
      <c r="AN497" s="1968"/>
      <c r="AO497" s="1968"/>
      <c r="AP497" s="1968"/>
      <c r="AQ497" s="1968"/>
      <c r="AR497" s="1968"/>
      <c r="AS497" s="1968"/>
      <c r="AT497" s="1968"/>
      <c r="AU497" s="1968"/>
      <c r="AV497" s="1968"/>
      <c r="AW497" s="1968"/>
      <c r="AX497" s="1968"/>
      <c r="AY497" s="1968"/>
      <c r="AZ497" s="1968"/>
      <c r="BA497" s="1968"/>
      <c r="BB497" s="1968"/>
      <c r="BC497" s="1968"/>
      <c r="BD497" s="1968"/>
      <c r="BE497" s="1968"/>
      <c r="BF497" s="1968"/>
      <c r="BG497" s="7235"/>
    </row>
    <row customHeight="1" ht="11.25">
      <c r="A498" s="1312" t="s">
        <v>1069</v>
      </c>
      <c r="B498" s="1312"/>
      <c r="C498" s="1312"/>
      <c r="D498" s="1306"/>
      <c r="E498" s="1316"/>
      <c r="F498" s="1974"/>
      <c r="G498" s="1975"/>
      <c r="H498" s="2674" t="s">
        <v>123</v>
      </c>
      <c r="I498" s="2675"/>
      <c r="J498" s="2644"/>
      <c r="K498" s="2676"/>
      <c r="L498" s="2266"/>
      <c r="M498" s="2267"/>
      <c r="N498" s="2667"/>
      <c r="O498" s="2668"/>
      <c r="P498" s="2671"/>
      <c r="Q498" s="8645"/>
      <c r="R498" s="2672"/>
      <c r="S498" s="2673"/>
      <c r="T498" s="2672"/>
      <c r="U498" s="2672"/>
      <c r="V498" s="2672"/>
      <c r="W498" s="2672"/>
      <c r="X498" s="2672"/>
      <c r="Y498" s="2672"/>
      <c r="Z498" s="1321"/>
      <c r="AA498" s="1322"/>
      <c r="AB498" s="1387" t="s">
        <v>1107</v>
      </c>
      <c r="AC498" s="1326"/>
      <c r="AD498" s="1326"/>
      <c r="AE498" s="1328"/>
      <c r="AF498" s="2665"/>
      <c r="AG498" s="2666"/>
      <c r="AH498" s="2666"/>
      <c r="AI498" s="8677"/>
      <c r="AJ498" s="2666"/>
      <c r="AK498" s="2666"/>
      <c r="AL498" s="2131"/>
      <c r="AM498" s="1968"/>
      <c r="AN498" s="1968"/>
      <c r="AO498" s="1968"/>
      <c r="AP498" s="1968"/>
      <c r="AQ498" s="1968"/>
      <c r="AR498" s="1968"/>
      <c r="AS498" s="1968"/>
      <c r="AT498" s="1968"/>
      <c r="AU498" s="1968"/>
      <c r="AV498" s="1968"/>
      <c r="AW498" s="1968"/>
      <c r="AX498" s="1968"/>
      <c r="AY498" s="1968"/>
      <c r="AZ498" s="1968"/>
      <c r="BA498" s="1968"/>
      <c r="BB498" s="1968"/>
      <c r="BC498" s="1968"/>
      <c r="BD498" s="1968"/>
      <c r="BE498" s="1968"/>
      <c r="BF498" s="1968"/>
      <c r="BG498" s="7235"/>
    </row>
    <row customHeight="1" ht="11.25">
      <c r="A499" s="1312" t="s">
        <v>1069</v>
      </c>
      <c r="B499" s="1312"/>
      <c r="C499" s="1312"/>
      <c r="D499" s="1306"/>
      <c r="E499" s="1316"/>
      <c r="F499" s="1974"/>
      <c r="G499" s="1975"/>
      <c r="H499" s="2674" t="s">
        <v>123</v>
      </c>
      <c r="I499" s="2675"/>
      <c r="J499" s="2644"/>
      <c r="K499" s="2676"/>
      <c r="L499" s="2266"/>
      <c r="M499" s="2267"/>
      <c r="N499" s="1321"/>
      <c r="O499" s="1322"/>
      <c r="P499" s="1314" t="s">
        <v>1108</v>
      </c>
      <c r="Q499" s="1322"/>
      <c r="R499" s="1322"/>
      <c r="S499" s="1322"/>
      <c r="T499" s="1322"/>
      <c r="U499" s="1322"/>
      <c r="V499" s="1322"/>
      <c r="W499" s="1322"/>
      <c r="X499" s="1322"/>
      <c r="Y499" s="1322"/>
      <c r="Z499" s="1322"/>
      <c r="AA499" s="1322"/>
      <c r="AB499" s="1322"/>
      <c r="AC499" s="1322"/>
      <c r="AD499" s="1322"/>
      <c r="AE499" s="1329"/>
      <c r="AF499" s="2665"/>
      <c r="AG499" s="2666"/>
      <c r="AH499" s="2666"/>
      <c r="AI499" s="8677"/>
      <c r="AJ499" s="2666"/>
      <c r="AK499" s="2666"/>
      <c r="AL499" s="2131"/>
      <c r="AM499" s="1968"/>
      <c r="AN499" s="1968"/>
      <c r="AO499" s="1968"/>
      <c r="AP499" s="1968"/>
      <c r="AQ499" s="1968"/>
      <c r="AR499" s="1968"/>
      <c r="AS499" s="1968"/>
      <c r="AT499" s="1968"/>
      <c r="AU499" s="1968"/>
      <c r="AV499" s="1968"/>
      <c r="AW499" s="1968"/>
      <c r="AX499" s="1968"/>
      <c r="AY499" s="1968"/>
      <c r="AZ499" s="1968"/>
      <c r="BA499" s="1968"/>
      <c r="BB499" s="1968"/>
      <c r="BC499" s="1968"/>
      <c r="BD499" s="1968"/>
      <c r="BE499" s="1968"/>
      <c r="BF499" s="1968"/>
      <c r="BG499" s="7235"/>
    </row>
    <row customHeight="1" ht="11.25">
      <c r="A500" s="1312" t="s">
        <v>1069</v>
      </c>
      <c r="B500" s="1312" t="s">
        <v>1168</v>
      </c>
      <c r="C500" s="1312"/>
      <c r="D500" s="1306"/>
      <c r="E500" s="1316"/>
      <c r="F500" s="1974"/>
      <c r="G500" s="7143" t="s">
        <v>106</v>
      </c>
      <c r="H500" s="2674" t="s">
        <v>173</v>
      </c>
      <c r="I500" s="2675" t="s">
        <v>1169</v>
      </c>
      <c r="J500" s="2644" t="s">
        <v>1174</v>
      </c>
      <c r="K500" s="2676" t="s">
        <v>1284</v>
      </c>
      <c r="L500" s="2266" t="s">
        <v>19</v>
      </c>
      <c r="M500" s="2267"/>
      <c r="N500" s="2129"/>
      <c r="O500" s="1323" t="s">
        <v>398</v>
      </c>
      <c r="P500" s="1324"/>
      <c r="Q500" s="1324"/>
      <c r="R500" s="1324"/>
      <c r="S500" s="1324"/>
      <c r="T500" s="1324"/>
      <c r="U500" s="1324"/>
      <c r="V500" s="1324"/>
      <c r="W500" s="1324"/>
      <c r="X500" s="1324"/>
      <c r="Y500" s="1324"/>
      <c r="Z500" s="1324"/>
      <c r="AA500" s="1324"/>
      <c r="AB500" s="1324"/>
      <c r="AC500" s="1324"/>
      <c r="AD500" s="1324"/>
      <c r="AE500" s="1324"/>
      <c r="AF500" s="2665">
        <v>2024</v>
      </c>
      <c r="AG500" s="2666" t="s">
        <v>1103</v>
      </c>
      <c r="AH500" s="2666" t="s">
        <v>1159</v>
      </c>
      <c r="AI500" s="8677">
        <v>2024</v>
      </c>
      <c r="AJ500" s="2666" t="s">
        <v>1103</v>
      </c>
      <c r="AK500" s="2666" t="s">
        <v>1154</v>
      </c>
      <c r="AL500" s="2131"/>
      <c r="AM500" s="1968"/>
      <c r="AN500" s="1968"/>
      <c r="AO500" s="1968"/>
      <c r="AP500" s="1968"/>
      <c r="AQ500" s="1968"/>
      <c r="AR500" s="1968"/>
      <c r="AS500" s="1968"/>
      <c r="AT500" s="1968"/>
      <c r="AU500" s="1968"/>
      <c r="AV500" s="1968"/>
      <c r="AW500" s="1968"/>
      <c r="AX500" s="1968"/>
      <c r="AY500" s="1968"/>
      <c r="AZ500" s="1968"/>
      <c r="BA500" s="1968"/>
      <c r="BB500" s="1968"/>
      <c r="BC500" s="1968"/>
      <c r="BD500" s="1968"/>
      <c r="BE500" s="1968"/>
      <c r="BF500" s="1968"/>
      <c r="BG500" s="7235"/>
    </row>
    <row customHeight="1" ht="11.25">
      <c r="A501" s="1312" t="s">
        <v>1069</v>
      </c>
      <c r="B501" s="1312"/>
      <c r="C501" s="1312"/>
      <c r="D501" s="1306"/>
      <c r="E501" s="1316"/>
      <c r="F501" s="1974"/>
      <c r="G501" s="1975"/>
      <c r="H501" s="2674" t="s">
        <v>172</v>
      </c>
      <c r="I501" s="2675"/>
      <c r="J501" s="2644"/>
      <c r="K501" s="2676"/>
      <c r="L501" s="2266"/>
      <c r="M501" s="2267"/>
      <c r="N501" s="2667"/>
      <c r="O501" s="2668">
        <v>1</v>
      </c>
      <c r="P501" s="2669" t="s">
        <v>63</v>
      </c>
      <c r="Q501" s="8645" t="s">
        <v>1176</v>
      </c>
      <c r="R501" s="8646" t="s">
        <v>1177</v>
      </c>
      <c r="S501" s="8646" t="s">
        <v>113</v>
      </c>
      <c r="T501" s="8646" t="s">
        <v>113</v>
      </c>
      <c r="U501" s="8646" t="s">
        <v>114</v>
      </c>
      <c r="V501" s="8646" t="s">
        <v>1115</v>
      </c>
      <c r="W501" s="8646" t="s">
        <v>1116</v>
      </c>
      <c r="X501" s="8646" t="s">
        <v>1178</v>
      </c>
      <c r="Y501" s="8646" t="s">
        <v>1178</v>
      </c>
      <c r="Z501" s="1321"/>
      <c r="AA501" s="1322"/>
      <c r="AB501" s="1322"/>
      <c r="AC501" s="1326"/>
      <c r="AD501" s="1326"/>
      <c r="AE501" s="1327"/>
      <c r="AF501" s="2665"/>
      <c r="AG501" s="2666"/>
      <c r="AH501" s="2666"/>
      <c r="AI501" s="8677"/>
      <c r="AJ501" s="2666"/>
      <c r="AK501" s="2666"/>
      <c r="AL501" s="2131"/>
      <c r="AM501" s="1968"/>
      <c r="AN501" s="1968"/>
      <c r="AO501" s="1968"/>
      <c r="AP501" s="1968"/>
      <c r="AQ501" s="1968"/>
      <c r="AR501" s="1968"/>
      <c r="AS501" s="1968"/>
      <c r="AT501" s="1968"/>
      <c r="AU501" s="1968"/>
      <c r="AV501" s="1968"/>
      <c r="AW501" s="1968"/>
      <c r="AX501" s="1968"/>
      <c r="AY501" s="1968"/>
      <c r="AZ501" s="1968"/>
      <c r="BA501" s="1968"/>
      <c r="BB501" s="1968"/>
      <c r="BC501" s="1968"/>
      <c r="BD501" s="1968"/>
      <c r="BE501" s="1968"/>
      <c r="BF501" s="1968"/>
      <c r="BG501" s="7235"/>
    </row>
    <row customHeight="1" ht="11.25">
      <c r="A502" s="1312" t="s">
        <v>1069</v>
      </c>
      <c r="B502" s="1312"/>
      <c r="C502" s="1312"/>
      <c r="D502" s="1306"/>
      <c r="E502" s="1316"/>
      <c r="F502" s="1974"/>
      <c r="G502" s="1975"/>
      <c r="H502" s="2674" t="s">
        <v>172</v>
      </c>
      <c r="I502" s="2675"/>
      <c r="J502" s="2644"/>
      <c r="K502" s="2676"/>
      <c r="L502" s="2266"/>
      <c r="M502" s="2267"/>
      <c r="N502" s="2667"/>
      <c r="O502" s="2668"/>
      <c r="P502" s="2670"/>
      <c r="Q502" s="8645"/>
      <c r="R502" s="2672"/>
      <c r="S502" s="2673"/>
      <c r="T502" s="2672"/>
      <c r="U502" s="2672"/>
      <c r="V502" s="2672"/>
      <c r="W502" s="2672"/>
      <c r="X502" s="2672"/>
      <c r="Y502" s="2672"/>
      <c r="Z502" s="1973"/>
      <c r="AA502" s="1939">
        <v>1</v>
      </c>
      <c r="AB502" s="1325" t="s">
        <v>1172</v>
      </c>
      <c r="AC502" s="1315">
        <v>0</v>
      </c>
      <c r="AD502" s="1325" t="str">
        <f>AB502</f>
        <v>  За счет платы за технологическое присоединение</v>
      </c>
      <c r="AE502" s="1315">
        <v>970</v>
      </c>
      <c r="AF502" s="2665"/>
      <c r="AG502" s="2666"/>
      <c r="AH502" s="2666"/>
      <c r="AI502" s="8677"/>
      <c r="AJ502" s="2666"/>
      <c r="AK502" s="2666"/>
      <c r="AL502" s="2131"/>
      <c r="AM502" s="1968"/>
      <c r="AN502" s="1968"/>
      <c r="AO502" s="1968"/>
      <c r="AP502" s="1968"/>
      <c r="AQ502" s="1968"/>
      <c r="AR502" s="1968"/>
      <c r="AS502" s="1968"/>
      <c r="AT502" s="1968"/>
      <c r="AU502" s="1968"/>
      <c r="AV502" s="1968"/>
      <c r="AW502" s="1968"/>
      <c r="AX502" s="1968"/>
      <c r="AY502" s="1968"/>
      <c r="AZ502" s="1968"/>
      <c r="BA502" s="1968"/>
      <c r="BB502" s="1968"/>
      <c r="BC502" s="1968"/>
      <c r="BD502" s="1968"/>
      <c r="BE502" s="1968"/>
      <c r="BF502" s="1968"/>
      <c r="BG502" s="7235"/>
    </row>
    <row customHeight="1" ht="11.25">
      <c r="A503" s="1312" t="s">
        <v>1069</v>
      </c>
      <c r="B503" s="1312"/>
      <c r="C503" s="1312"/>
      <c r="D503" s="1306"/>
      <c r="E503" s="1316"/>
      <c r="F503" s="1974"/>
      <c r="G503" s="1975"/>
      <c r="H503" s="2674" t="s">
        <v>172</v>
      </c>
      <c r="I503" s="2675"/>
      <c r="J503" s="2644"/>
      <c r="K503" s="2676"/>
      <c r="L503" s="2266"/>
      <c r="M503" s="2267"/>
      <c r="N503" s="2667"/>
      <c r="O503" s="2668"/>
      <c r="P503" s="2671"/>
      <c r="Q503" s="8645"/>
      <c r="R503" s="2672"/>
      <c r="S503" s="2673"/>
      <c r="T503" s="2672"/>
      <c r="U503" s="2672"/>
      <c r="V503" s="2672"/>
      <c r="W503" s="2672"/>
      <c r="X503" s="2672"/>
      <c r="Y503" s="2672"/>
      <c r="Z503" s="1321"/>
      <c r="AA503" s="1322"/>
      <c r="AB503" s="1387" t="s">
        <v>1107</v>
      </c>
      <c r="AC503" s="1326"/>
      <c r="AD503" s="1326"/>
      <c r="AE503" s="1328"/>
      <c r="AF503" s="2665"/>
      <c r="AG503" s="2666"/>
      <c r="AH503" s="2666"/>
      <c r="AI503" s="8677"/>
      <c r="AJ503" s="2666"/>
      <c r="AK503" s="2666"/>
      <c r="AL503" s="2131"/>
      <c r="AM503" s="1968"/>
      <c r="AN503" s="1968"/>
      <c r="AO503" s="1968"/>
      <c r="AP503" s="1968"/>
      <c r="AQ503" s="1968"/>
      <c r="AR503" s="1968"/>
      <c r="AS503" s="1968"/>
      <c r="AT503" s="1968"/>
      <c r="AU503" s="1968"/>
      <c r="AV503" s="1968"/>
      <c r="AW503" s="1968"/>
      <c r="AX503" s="1968"/>
      <c r="AY503" s="1968"/>
      <c r="AZ503" s="1968"/>
      <c r="BA503" s="1968"/>
      <c r="BB503" s="1968"/>
      <c r="BC503" s="1968"/>
      <c r="BD503" s="1968"/>
      <c r="BE503" s="1968"/>
      <c r="BF503" s="1968"/>
      <c r="BG503" s="7235"/>
    </row>
    <row customHeight="1" ht="11.25">
      <c r="A504" s="1312" t="s">
        <v>1069</v>
      </c>
      <c r="B504" s="1312"/>
      <c r="C504" s="1312"/>
      <c r="D504" s="1306"/>
      <c r="E504" s="1316"/>
      <c r="F504" s="1974"/>
      <c r="G504" s="1975"/>
      <c r="H504" s="2674" t="s">
        <v>172</v>
      </c>
      <c r="I504" s="2675"/>
      <c r="J504" s="2644"/>
      <c r="K504" s="2676"/>
      <c r="L504" s="2266"/>
      <c r="M504" s="2267"/>
      <c r="N504" s="1321"/>
      <c r="O504" s="1322"/>
      <c r="P504" s="1314" t="s">
        <v>1108</v>
      </c>
      <c r="Q504" s="1322"/>
      <c r="R504" s="1322"/>
      <c r="S504" s="1322"/>
      <c r="T504" s="1322"/>
      <c r="U504" s="1322"/>
      <c r="V504" s="1322"/>
      <c r="W504" s="1322"/>
      <c r="X504" s="1322"/>
      <c r="Y504" s="1322"/>
      <c r="Z504" s="1322"/>
      <c r="AA504" s="1322"/>
      <c r="AB504" s="1322"/>
      <c r="AC504" s="1322"/>
      <c r="AD504" s="1322"/>
      <c r="AE504" s="1329"/>
      <c r="AF504" s="2665"/>
      <c r="AG504" s="2666"/>
      <c r="AH504" s="2666"/>
      <c r="AI504" s="8677"/>
      <c r="AJ504" s="2666"/>
      <c r="AK504" s="2666"/>
      <c r="AL504" s="2131"/>
      <c r="AM504" s="1968"/>
      <c r="AN504" s="1968"/>
      <c r="AO504" s="1968"/>
      <c r="AP504" s="1968"/>
      <c r="AQ504" s="1968"/>
      <c r="AR504" s="1968"/>
      <c r="AS504" s="1968"/>
      <c r="AT504" s="1968"/>
      <c r="AU504" s="1968"/>
      <c r="AV504" s="1968"/>
      <c r="AW504" s="1968"/>
      <c r="AX504" s="1968"/>
      <c r="AY504" s="1968"/>
      <c r="AZ504" s="1968"/>
      <c r="BA504" s="1968"/>
      <c r="BB504" s="1968"/>
      <c r="BC504" s="1968"/>
      <c r="BD504" s="1968"/>
      <c r="BE504" s="1968"/>
      <c r="BF504" s="1968"/>
      <c r="BG504" s="7235"/>
    </row>
    <row customHeight="1" ht="11.25">
      <c r="A505" s="1312" t="s">
        <v>1069</v>
      </c>
      <c r="B505" s="1312" t="s">
        <v>1168</v>
      </c>
      <c r="C505" s="1312"/>
      <c r="D505" s="1306"/>
      <c r="E505" s="1316"/>
      <c r="F505" s="1974"/>
      <c r="G505" s="7143" t="s">
        <v>106</v>
      </c>
      <c r="H505" s="2674" t="s">
        <v>174</v>
      </c>
      <c r="I505" s="2675" t="s">
        <v>1169</v>
      </c>
      <c r="J505" s="2644" t="s">
        <v>1174</v>
      </c>
      <c r="K505" s="2676" t="s">
        <v>1285</v>
      </c>
      <c r="L505" s="2266" t="s">
        <v>19</v>
      </c>
      <c r="M505" s="2267"/>
      <c r="N505" s="2129"/>
      <c r="O505" s="1323" t="s">
        <v>398</v>
      </c>
      <c r="P505" s="1324"/>
      <c r="Q505" s="1324"/>
      <c r="R505" s="1324"/>
      <c r="S505" s="1324"/>
      <c r="T505" s="1324"/>
      <c r="U505" s="1324"/>
      <c r="V505" s="1324"/>
      <c r="W505" s="1324"/>
      <c r="X505" s="1324"/>
      <c r="Y505" s="1324"/>
      <c r="Z505" s="1324"/>
      <c r="AA505" s="1324"/>
      <c r="AB505" s="1324"/>
      <c r="AC505" s="1324"/>
      <c r="AD505" s="1324"/>
      <c r="AE505" s="1324"/>
      <c r="AF505" s="2665">
        <v>2024</v>
      </c>
      <c r="AG505" s="2666" t="s">
        <v>1103</v>
      </c>
      <c r="AH505" s="2666" t="s">
        <v>1159</v>
      </c>
      <c r="AI505" s="8677">
        <v>2024</v>
      </c>
      <c r="AJ505" s="2666" t="s">
        <v>1103</v>
      </c>
      <c r="AK505" s="2666" t="s">
        <v>1154</v>
      </c>
      <c r="AL505" s="2131"/>
      <c r="AM505" s="1968"/>
      <c r="AN505" s="1968"/>
      <c r="AO505" s="1968"/>
      <c r="AP505" s="1968"/>
      <c r="AQ505" s="1968"/>
      <c r="AR505" s="1968"/>
      <c r="AS505" s="1968"/>
      <c r="AT505" s="1968"/>
      <c r="AU505" s="1968"/>
      <c r="AV505" s="1968"/>
      <c r="AW505" s="1968"/>
      <c r="AX505" s="1968"/>
      <c r="AY505" s="1968"/>
      <c r="AZ505" s="1968"/>
      <c r="BA505" s="1968"/>
      <c r="BB505" s="1968"/>
      <c r="BC505" s="1968"/>
      <c r="BD505" s="1968"/>
      <c r="BE505" s="1968"/>
      <c r="BF505" s="1968"/>
      <c r="BG505" s="7235"/>
    </row>
    <row customHeight="1" ht="11.25">
      <c r="A506" s="1312" t="s">
        <v>1069</v>
      </c>
      <c r="B506" s="1312"/>
      <c r="C506" s="1312"/>
      <c r="D506" s="1306"/>
      <c r="E506" s="1316"/>
      <c r="F506" s="1974"/>
      <c r="G506" s="1975"/>
      <c r="H506" s="2674" t="s">
        <v>173</v>
      </c>
      <c r="I506" s="2675"/>
      <c r="J506" s="2644"/>
      <c r="K506" s="2676"/>
      <c r="L506" s="2266"/>
      <c r="M506" s="2267"/>
      <c r="N506" s="2667"/>
      <c r="O506" s="2668">
        <v>1</v>
      </c>
      <c r="P506" s="2669" t="s">
        <v>63</v>
      </c>
      <c r="Q506" s="8645" t="s">
        <v>1176</v>
      </c>
      <c r="R506" s="8646" t="s">
        <v>1177</v>
      </c>
      <c r="S506" s="8646" t="s">
        <v>113</v>
      </c>
      <c r="T506" s="8646" t="s">
        <v>113</v>
      </c>
      <c r="U506" s="8646" t="s">
        <v>114</v>
      </c>
      <c r="V506" s="8646" t="s">
        <v>1115</v>
      </c>
      <c r="W506" s="8646" t="s">
        <v>1116</v>
      </c>
      <c r="X506" s="8646" t="s">
        <v>1178</v>
      </c>
      <c r="Y506" s="8646" t="s">
        <v>1178</v>
      </c>
      <c r="Z506" s="1321"/>
      <c r="AA506" s="1322"/>
      <c r="AB506" s="1322"/>
      <c r="AC506" s="1326"/>
      <c r="AD506" s="1326"/>
      <c r="AE506" s="1327"/>
      <c r="AF506" s="2665"/>
      <c r="AG506" s="2666"/>
      <c r="AH506" s="2666"/>
      <c r="AI506" s="8677"/>
      <c r="AJ506" s="2666"/>
      <c r="AK506" s="2666"/>
      <c r="AL506" s="2131"/>
      <c r="AM506" s="1968"/>
      <c r="AN506" s="1968"/>
      <c r="AO506" s="1968"/>
      <c r="AP506" s="1968"/>
      <c r="AQ506" s="1968"/>
      <c r="AR506" s="1968"/>
      <c r="AS506" s="1968"/>
      <c r="AT506" s="1968"/>
      <c r="AU506" s="1968"/>
      <c r="AV506" s="1968"/>
      <c r="AW506" s="1968"/>
      <c r="AX506" s="1968"/>
      <c r="AY506" s="1968"/>
      <c r="AZ506" s="1968"/>
      <c r="BA506" s="1968"/>
      <c r="BB506" s="1968"/>
      <c r="BC506" s="1968"/>
      <c r="BD506" s="1968"/>
      <c r="BE506" s="1968"/>
      <c r="BF506" s="1968"/>
      <c r="BG506" s="7235"/>
    </row>
    <row customHeight="1" ht="11.25">
      <c r="A507" s="1312" t="s">
        <v>1069</v>
      </c>
      <c r="B507" s="1312"/>
      <c r="C507" s="1312"/>
      <c r="D507" s="1306"/>
      <c r="E507" s="1316"/>
      <c r="F507" s="1974"/>
      <c r="G507" s="1975"/>
      <c r="H507" s="2674" t="s">
        <v>173</v>
      </c>
      <c r="I507" s="2675"/>
      <c r="J507" s="2644"/>
      <c r="K507" s="2676"/>
      <c r="L507" s="2266"/>
      <c r="M507" s="2267"/>
      <c r="N507" s="2667"/>
      <c r="O507" s="2668"/>
      <c r="P507" s="2670"/>
      <c r="Q507" s="8645"/>
      <c r="R507" s="2672"/>
      <c r="S507" s="2673"/>
      <c r="T507" s="2672"/>
      <c r="U507" s="2672"/>
      <c r="V507" s="2672"/>
      <c r="W507" s="2672"/>
      <c r="X507" s="2672"/>
      <c r="Y507" s="2672"/>
      <c r="Z507" s="1973"/>
      <c r="AA507" s="1939">
        <v>1</v>
      </c>
      <c r="AB507" s="1325" t="s">
        <v>1172</v>
      </c>
      <c r="AC507" s="1315">
        <v>0</v>
      </c>
      <c r="AD507" s="1325" t="s">
        <v>1172</v>
      </c>
      <c r="AE507" s="1315">
        <v>816</v>
      </c>
      <c r="AF507" s="2665"/>
      <c r="AG507" s="2666"/>
      <c r="AH507" s="2666"/>
      <c r="AI507" s="8677"/>
      <c r="AJ507" s="2666"/>
      <c r="AK507" s="2666"/>
      <c r="AL507" s="2131"/>
      <c r="AM507" s="1968"/>
      <c r="AN507" s="1968"/>
      <c r="AO507" s="1968"/>
      <c r="AP507" s="1968"/>
      <c r="AQ507" s="1968"/>
      <c r="AR507" s="1968"/>
      <c r="AS507" s="1968"/>
      <c r="AT507" s="1968"/>
      <c r="AU507" s="1968"/>
      <c r="AV507" s="1968"/>
      <c r="AW507" s="1968"/>
      <c r="AX507" s="1968"/>
      <c r="AY507" s="1968"/>
      <c r="AZ507" s="1968"/>
      <c r="BA507" s="1968"/>
      <c r="BB507" s="1968"/>
      <c r="BC507" s="1968"/>
      <c r="BD507" s="1968"/>
      <c r="BE507" s="1968"/>
      <c r="BF507" s="1968"/>
      <c r="BG507" s="7235"/>
    </row>
    <row customHeight="1" ht="11.25">
      <c r="A508" s="1312" t="s">
        <v>1069</v>
      </c>
      <c r="B508" s="1312"/>
      <c r="C508" s="1312"/>
      <c r="D508" s="1306"/>
      <c r="E508" s="1316"/>
      <c r="F508" s="1974"/>
      <c r="G508" s="1975"/>
      <c r="H508" s="2674" t="s">
        <v>173</v>
      </c>
      <c r="I508" s="2675"/>
      <c r="J508" s="2644"/>
      <c r="K508" s="2676"/>
      <c r="L508" s="2266"/>
      <c r="M508" s="2267"/>
      <c r="N508" s="2667"/>
      <c r="O508" s="2668"/>
      <c r="P508" s="2671"/>
      <c r="Q508" s="8645"/>
      <c r="R508" s="2672"/>
      <c r="S508" s="2673"/>
      <c r="T508" s="2672"/>
      <c r="U508" s="2672"/>
      <c r="V508" s="2672"/>
      <c r="W508" s="2672"/>
      <c r="X508" s="2672"/>
      <c r="Y508" s="2672"/>
      <c r="Z508" s="1321"/>
      <c r="AA508" s="1322"/>
      <c r="AB508" s="1387" t="s">
        <v>1107</v>
      </c>
      <c r="AC508" s="1326"/>
      <c r="AD508" s="1326"/>
      <c r="AE508" s="1328"/>
      <c r="AF508" s="2665"/>
      <c r="AG508" s="2666"/>
      <c r="AH508" s="2666"/>
      <c r="AI508" s="8677"/>
      <c r="AJ508" s="2666"/>
      <c r="AK508" s="2666"/>
      <c r="AL508" s="2131"/>
      <c r="AM508" s="1968"/>
      <c r="AN508" s="1968"/>
      <c r="AO508" s="1968"/>
      <c r="AP508" s="1968"/>
      <c r="AQ508" s="1968"/>
      <c r="AR508" s="1968"/>
      <c r="AS508" s="1968"/>
      <c r="AT508" s="1968"/>
      <c r="AU508" s="1968"/>
      <c r="AV508" s="1968"/>
      <c r="AW508" s="1968"/>
      <c r="AX508" s="1968"/>
      <c r="AY508" s="1968"/>
      <c r="AZ508" s="1968"/>
      <c r="BA508" s="1968"/>
      <c r="BB508" s="1968"/>
      <c r="BC508" s="1968"/>
      <c r="BD508" s="1968"/>
      <c r="BE508" s="1968"/>
      <c r="BF508" s="1968"/>
      <c r="BG508" s="7235"/>
    </row>
    <row customHeight="1" ht="11.25">
      <c r="A509" s="1312" t="s">
        <v>1069</v>
      </c>
      <c r="B509" s="1312"/>
      <c r="C509" s="1312"/>
      <c r="D509" s="1306"/>
      <c r="E509" s="1316"/>
      <c r="F509" s="1974"/>
      <c r="G509" s="1975"/>
      <c r="H509" s="2674" t="s">
        <v>173</v>
      </c>
      <c r="I509" s="2675"/>
      <c r="J509" s="2644"/>
      <c r="K509" s="2676"/>
      <c r="L509" s="2266"/>
      <c r="M509" s="2267"/>
      <c r="N509" s="1321"/>
      <c r="O509" s="1322"/>
      <c r="P509" s="1314" t="s">
        <v>1108</v>
      </c>
      <c r="Q509" s="1322"/>
      <c r="R509" s="1322"/>
      <c r="S509" s="1322"/>
      <c r="T509" s="1322"/>
      <c r="U509" s="1322"/>
      <c r="V509" s="1322"/>
      <c r="W509" s="1322"/>
      <c r="X509" s="1322"/>
      <c r="Y509" s="1322"/>
      <c r="Z509" s="1322"/>
      <c r="AA509" s="1322"/>
      <c r="AB509" s="1322"/>
      <c r="AC509" s="1322"/>
      <c r="AD509" s="1322"/>
      <c r="AE509" s="1329"/>
      <c r="AF509" s="2665"/>
      <c r="AG509" s="2666"/>
      <c r="AH509" s="2666"/>
      <c r="AI509" s="8677"/>
      <c r="AJ509" s="2666"/>
      <c r="AK509" s="2666"/>
      <c r="AL509" s="2131"/>
      <c r="AM509" s="1968"/>
      <c r="AN509" s="1968"/>
      <c r="AO509" s="1968"/>
      <c r="AP509" s="1968"/>
      <c r="AQ509" s="1968"/>
      <c r="AR509" s="1968"/>
      <c r="AS509" s="1968"/>
      <c r="AT509" s="1968"/>
      <c r="AU509" s="1968"/>
      <c r="AV509" s="1968"/>
      <c r="AW509" s="1968"/>
      <c r="AX509" s="1968"/>
      <c r="AY509" s="1968"/>
      <c r="AZ509" s="1968"/>
      <c r="BA509" s="1968"/>
      <c r="BB509" s="1968"/>
      <c r="BC509" s="1968"/>
      <c r="BD509" s="1968"/>
      <c r="BE509" s="1968"/>
      <c r="BF509" s="1968"/>
      <c r="BG509" s="7235"/>
    </row>
    <row customHeight="1" ht="11.25">
      <c r="A510" s="1312" t="s">
        <v>1069</v>
      </c>
      <c r="B510" s="1312" t="s">
        <v>1168</v>
      </c>
      <c r="C510" s="1312"/>
      <c r="D510" s="1306"/>
      <c r="E510" s="1316"/>
      <c r="F510" s="1974"/>
      <c r="G510" s="7143" t="s">
        <v>106</v>
      </c>
      <c r="H510" s="2674" t="s">
        <v>175</v>
      </c>
      <c r="I510" s="2675" t="s">
        <v>1169</v>
      </c>
      <c r="J510" s="2644" t="s">
        <v>1174</v>
      </c>
      <c r="K510" s="2676" t="s">
        <v>1286</v>
      </c>
      <c r="L510" s="2266" t="s">
        <v>19</v>
      </c>
      <c r="M510" s="2267"/>
      <c r="N510" s="2129"/>
      <c r="O510" s="1323" t="s">
        <v>398</v>
      </c>
      <c r="P510" s="1324"/>
      <c r="Q510" s="1324"/>
      <c r="R510" s="1324"/>
      <c r="S510" s="1324"/>
      <c r="T510" s="1324"/>
      <c r="U510" s="1324"/>
      <c r="V510" s="1324"/>
      <c r="W510" s="1324"/>
      <c r="X510" s="1324"/>
      <c r="Y510" s="1324"/>
      <c r="Z510" s="1324"/>
      <c r="AA510" s="1324"/>
      <c r="AB510" s="1324"/>
      <c r="AC510" s="1324"/>
      <c r="AD510" s="1324"/>
      <c r="AE510" s="1324"/>
      <c r="AF510" s="2665">
        <v>2026</v>
      </c>
      <c r="AG510" s="2666" t="s">
        <v>1103</v>
      </c>
      <c r="AH510" s="2666" t="s">
        <v>1162</v>
      </c>
      <c r="AI510" s="8647"/>
      <c r="AJ510" s="2666" t="s">
        <v>1105</v>
      </c>
      <c r="AK510" s="2666" t="s">
        <v>1105</v>
      </c>
      <c r="AL510" s="2131"/>
      <c r="AM510" s="1968"/>
      <c r="AN510" s="1968"/>
      <c r="AO510" s="1968"/>
      <c r="AP510" s="1968"/>
      <c r="AQ510" s="1968"/>
      <c r="AR510" s="1968"/>
      <c r="AS510" s="1968"/>
      <c r="AT510" s="1968"/>
      <c r="AU510" s="1968"/>
      <c r="AV510" s="1968"/>
      <c r="AW510" s="1968"/>
      <c r="AX510" s="1968"/>
      <c r="AY510" s="1968"/>
      <c r="AZ510" s="1968"/>
      <c r="BA510" s="1968"/>
      <c r="BB510" s="1968"/>
      <c r="BC510" s="1968"/>
      <c r="BD510" s="1968"/>
      <c r="BE510" s="1968"/>
      <c r="BF510" s="1968"/>
      <c r="BG510" s="7235"/>
    </row>
    <row customHeight="1" ht="11.25">
      <c r="A511" s="1312" t="s">
        <v>1069</v>
      </c>
      <c r="B511" s="1312"/>
      <c r="C511" s="1312"/>
      <c r="D511" s="1306"/>
      <c r="E511" s="1316"/>
      <c r="F511" s="1974"/>
      <c r="G511" s="1975"/>
      <c r="H511" s="2674" t="s">
        <v>174</v>
      </c>
      <c r="I511" s="2675"/>
      <c r="J511" s="2644"/>
      <c r="K511" s="2676"/>
      <c r="L511" s="2266"/>
      <c r="M511" s="2267"/>
      <c r="N511" s="2667"/>
      <c r="O511" s="2668">
        <v>1</v>
      </c>
      <c r="P511" s="2669" t="s">
        <v>63</v>
      </c>
      <c r="Q511" s="8645" t="s">
        <v>133</v>
      </c>
      <c r="R511" s="8646" t="s">
        <v>1114</v>
      </c>
      <c r="S511" s="8646" t="s">
        <v>109</v>
      </c>
      <c r="T511" s="8646" t="s">
        <v>109</v>
      </c>
      <c r="U511" s="8646" t="s">
        <v>110</v>
      </c>
      <c r="V511" s="8646" t="s">
        <v>1192</v>
      </c>
      <c r="W511" s="8646" t="s">
        <v>1193</v>
      </c>
      <c r="X511" s="8646" t="s">
        <v>1194</v>
      </c>
      <c r="Y511" s="8646" t="s">
        <v>1195</v>
      </c>
      <c r="Z511" s="1321"/>
      <c r="AA511" s="1322"/>
      <c r="AB511" s="1322"/>
      <c r="AC511" s="1326"/>
      <c r="AD511" s="1326"/>
      <c r="AE511" s="1327"/>
      <c r="AF511" s="2665"/>
      <c r="AG511" s="2666"/>
      <c r="AH511" s="2666"/>
      <c r="AI511" s="8647"/>
      <c r="AJ511" s="2666"/>
      <c r="AK511" s="2666"/>
      <c r="AL511" s="2131"/>
      <c r="AM511" s="1968"/>
      <c r="AN511" s="1968"/>
      <c r="AO511" s="1968"/>
      <c r="AP511" s="1968"/>
      <c r="AQ511" s="1968"/>
      <c r="AR511" s="1968"/>
      <c r="AS511" s="1968"/>
      <c r="AT511" s="1968"/>
      <c r="AU511" s="1968"/>
      <c r="AV511" s="1968"/>
      <c r="AW511" s="1968"/>
      <c r="AX511" s="1968"/>
      <c r="AY511" s="1968"/>
      <c r="AZ511" s="1968"/>
      <c r="BA511" s="1968"/>
      <c r="BB511" s="1968"/>
      <c r="BC511" s="1968"/>
      <c r="BD511" s="1968"/>
      <c r="BE511" s="1968"/>
      <c r="BF511" s="1968"/>
      <c r="BG511" s="7235"/>
    </row>
    <row customHeight="1" ht="11.25">
      <c r="A512" s="1312" t="s">
        <v>1069</v>
      </c>
      <c r="B512" s="1312"/>
      <c r="C512" s="1312"/>
      <c r="D512" s="1306"/>
      <c r="E512" s="1316"/>
      <c r="F512" s="1974"/>
      <c r="G512" s="1975"/>
      <c r="H512" s="2674" t="s">
        <v>174</v>
      </c>
      <c r="I512" s="2675"/>
      <c r="J512" s="2644"/>
      <c r="K512" s="2676"/>
      <c r="L512" s="2266"/>
      <c r="M512" s="2267"/>
      <c r="N512" s="2667"/>
      <c r="O512" s="2668"/>
      <c r="P512" s="2670"/>
      <c r="Q512" s="8645"/>
      <c r="R512" s="2672"/>
      <c r="S512" s="2673"/>
      <c r="T512" s="2672"/>
      <c r="U512" s="2672"/>
      <c r="V512" s="2672"/>
      <c r="W512" s="2672"/>
      <c r="X512" s="2672"/>
      <c r="Y512" s="2672"/>
      <c r="Z512" s="1973"/>
      <c r="AA512" s="1939">
        <v>1</v>
      </c>
      <c r="AB512" s="1325" t="s">
        <v>1172</v>
      </c>
      <c r="AC512" s="1315">
        <v>0</v>
      </c>
      <c r="AD512" s="1325" t="s">
        <v>1172</v>
      </c>
      <c r="AE512" s="1315">
        <v>6</v>
      </c>
      <c r="AF512" s="2665"/>
      <c r="AG512" s="2666"/>
      <c r="AH512" s="2666"/>
      <c r="AI512" s="8647"/>
      <c r="AJ512" s="2666"/>
      <c r="AK512" s="2666"/>
      <c r="AL512" s="2131"/>
      <c r="AM512" s="1968"/>
      <c r="AN512" s="1968"/>
      <c r="AO512" s="1968"/>
      <c r="AP512" s="1968"/>
      <c r="AQ512" s="1968"/>
      <c r="AR512" s="1968"/>
      <c r="AS512" s="1968"/>
      <c r="AT512" s="1968"/>
      <c r="AU512" s="1968"/>
      <c r="AV512" s="1968"/>
      <c r="AW512" s="1968"/>
      <c r="AX512" s="1968"/>
      <c r="AY512" s="1968"/>
      <c r="AZ512" s="1968"/>
      <c r="BA512" s="1968"/>
      <c r="BB512" s="1968"/>
      <c r="BC512" s="1968"/>
      <c r="BD512" s="1968"/>
      <c r="BE512" s="1968"/>
      <c r="BF512" s="1968"/>
      <c r="BG512" s="7235"/>
    </row>
    <row customHeight="1" ht="11.25">
      <c r="A513" s="1312" t="s">
        <v>1069</v>
      </c>
      <c r="B513" s="1312"/>
      <c r="C513" s="1312"/>
      <c r="D513" s="1306"/>
      <c r="E513" s="1316"/>
      <c r="F513" s="1974"/>
      <c r="G513" s="1975"/>
      <c r="H513" s="2674" t="s">
        <v>174</v>
      </c>
      <c r="I513" s="2675"/>
      <c r="J513" s="2644"/>
      <c r="K513" s="2676"/>
      <c r="L513" s="2266"/>
      <c r="M513" s="2267"/>
      <c r="N513" s="2667"/>
      <c r="O513" s="2668"/>
      <c r="P513" s="2671"/>
      <c r="Q513" s="8645"/>
      <c r="R513" s="2672"/>
      <c r="S513" s="2673"/>
      <c r="T513" s="2672"/>
      <c r="U513" s="2672"/>
      <c r="V513" s="2672"/>
      <c r="W513" s="2672"/>
      <c r="X513" s="2672"/>
      <c r="Y513" s="2672"/>
      <c r="Z513" s="1321"/>
      <c r="AA513" s="1322"/>
      <c r="AB513" s="1387" t="s">
        <v>1107</v>
      </c>
      <c r="AC513" s="1326"/>
      <c r="AD513" s="1326"/>
      <c r="AE513" s="1328"/>
      <c r="AF513" s="2665"/>
      <c r="AG513" s="2666"/>
      <c r="AH513" s="2666"/>
      <c r="AI513" s="8647"/>
      <c r="AJ513" s="2666"/>
      <c r="AK513" s="2666"/>
      <c r="AL513" s="2131"/>
      <c r="AM513" s="1968"/>
      <c r="AN513" s="1968"/>
      <c r="AO513" s="1968"/>
      <c r="AP513" s="1968"/>
      <c r="AQ513" s="1968"/>
      <c r="AR513" s="1968"/>
      <c r="AS513" s="1968"/>
      <c r="AT513" s="1968"/>
      <c r="AU513" s="1968"/>
      <c r="AV513" s="1968"/>
      <c r="AW513" s="1968"/>
      <c r="AX513" s="1968"/>
      <c r="AY513" s="1968"/>
      <c r="AZ513" s="1968"/>
      <c r="BA513" s="1968"/>
      <c r="BB513" s="1968"/>
      <c r="BC513" s="1968"/>
      <c r="BD513" s="1968"/>
      <c r="BE513" s="1968"/>
      <c r="BF513" s="1968"/>
      <c r="BG513" s="7235"/>
    </row>
    <row customHeight="1" ht="11.25">
      <c r="A514" s="1312" t="s">
        <v>1069</v>
      </c>
      <c r="B514" s="1312"/>
      <c r="C514" s="1312"/>
      <c r="D514" s="1306"/>
      <c r="E514" s="1316"/>
      <c r="F514" s="1974"/>
      <c r="G514" s="1975"/>
      <c r="H514" s="2674" t="s">
        <v>174</v>
      </c>
      <c r="I514" s="2675"/>
      <c r="J514" s="2644"/>
      <c r="K514" s="2676"/>
      <c r="L514" s="2266"/>
      <c r="M514" s="2267"/>
      <c r="N514" s="1321"/>
      <c r="O514" s="1322"/>
      <c r="P514" s="1314" t="s">
        <v>1108</v>
      </c>
      <c r="Q514" s="1322"/>
      <c r="R514" s="1322"/>
      <c r="S514" s="1322"/>
      <c r="T514" s="1322"/>
      <c r="U514" s="1322"/>
      <c r="V514" s="1322"/>
      <c r="W514" s="1322"/>
      <c r="X514" s="1322"/>
      <c r="Y514" s="1322"/>
      <c r="Z514" s="1322"/>
      <c r="AA514" s="1322"/>
      <c r="AB514" s="1322"/>
      <c r="AC514" s="1322"/>
      <c r="AD514" s="1322"/>
      <c r="AE514" s="1329"/>
      <c r="AF514" s="2665"/>
      <c r="AG514" s="2666"/>
      <c r="AH514" s="2666"/>
      <c r="AI514" s="8647"/>
      <c r="AJ514" s="2666"/>
      <c r="AK514" s="2666"/>
      <c r="AL514" s="2131"/>
      <c r="AM514" s="1968"/>
      <c r="AN514" s="1968"/>
      <c r="AO514" s="1968"/>
      <c r="AP514" s="1968"/>
      <c r="AQ514" s="1968"/>
      <c r="AR514" s="1968"/>
      <c r="AS514" s="1968"/>
      <c r="AT514" s="1968"/>
      <c r="AU514" s="1968"/>
      <c r="AV514" s="1968"/>
      <c r="AW514" s="1968"/>
      <c r="AX514" s="1968"/>
      <c r="AY514" s="1968"/>
      <c r="AZ514" s="1968"/>
      <c r="BA514" s="1968"/>
      <c r="BB514" s="1968"/>
      <c r="BC514" s="1968"/>
      <c r="BD514" s="1968"/>
      <c r="BE514" s="1968"/>
      <c r="BF514" s="1968"/>
      <c r="BG514" s="7235"/>
    </row>
    <row customHeight="1" ht="11.25">
      <c r="A515" s="1312" t="s">
        <v>1069</v>
      </c>
      <c r="B515" s="1312" t="s">
        <v>1168</v>
      </c>
      <c r="C515" s="1312"/>
      <c r="D515" s="1306"/>
      <c r="E515" s="1316"/>
      <c r="F515" s="1974"/>
      <c r="G515" s="7143" t="s">
        <v>106</v>
      </c>
      <c r="H515" s="2674" t="s">
        <v>176</v>
      </c>
      <c r="I515" s="2675" t="s">
        <v>1169</v>
      </c>
      <c r="J515" s="2644" t="s">
        <v>1174</v>
      </c>
      <c r="K515" s="2676" t="s">
        <v>1287</v>
      </c>
      <c r="L515" s="2266" t="s">
        <v>19</v>
      </c>
      <c r="M515" s="2267"/>
      <c r="N515" s="2129"/>
      <c r="O515" s="1323" t="s">
        <v>398</v>
      </c>
      <c r="P515" s="1324"/>
      <c r="Q515" s="1324"/>
      <c r="R515" s="1324"/>
      <c r="S515" s="1324"/>
      <c r="T515" s="1324"/>
      <c r="U515" s="1324"/>
      <c r="V515" s="1324"/>
      <c r="W515" s="1324"/>
      <c r="X515" s="1324"/>
      <c r="Y515" s="1324"/>
      <c r="Z515" s="1324"/>
      <c r="AA515" s="1324"/>
      <c r="AB515" s="1324"/>
      <c r="AC515" s="1324"/>
      <c r="AD515" s="1324"/>
      <c r="AE515" s="1324"/>
      <c r="AF515" s="2665">
        <v>2026</v>
      </c>
      <c r="AG515" s="2666" t="s">
        <v>1103</v>
      </c>
      <c r="AH515" s="2666" t="s">
        <v>1159</v>
      </c>
      <c r="AI515" s="8647"/>
      <c r="AJ515" s="2666" t="s">
        <v>1105</v>
      </c>
      <c r="AK515" s="2666" t="s">
        <v>1105</v>
      </c>
      <c r="AL515" s="2131"/>
      <c r="AM515" s="1968"/>
      <c r="AN515" s="1968"/>
      <c r="AO515" s="1968"/>
      <c r="AP515" s="1968"/>
      <c r="AQ515" s="1968"/>
      <c r="AR515" s="1968"/>
      <c r="AS515" s="1968"/>
      <c r="AT515" s="1968"/>
      <c r="AU515" s="1968"/>
      <c r="AV515" s="1968"/>
      <c r="AW515" s="1968"/>
      <c r="AX515" s="1968"/>
      <c r="AY515" s="1968"/>
      <c r="AZ515" s="1968"/>
      <c r="BA515" s="1968"/>
      <c r="BB515" s="1968"/>
      <c r="BC515" s="1968"/>
      <c r="BD515" s="1968"/>
      <c r="BE515" s="1968"/>
      <c r="BF515" s="1968"/>
      <c r="BG515" s="7235"/>
    </row>
    <row customHeight="1" ht="11.25">
      <c r="A516" s="1312" t="s">
        <v>1069</v>
      </c>
      <c r="B516" s="1312"/>
      <c r="C516" s="1312"/>
      <c r="D516" s="1306"/>
      <c r="E516" s="1316"/>
      <c r="F516" s="1974"/>
      <c r="G516" s="1975"/>
      <c r="H516" s="2674" t="s">
        <v>175</v>
      </c>
      <c r="I516" s="2675"/>
      <c r="J516" s="2644"/>
      <c r="K516" s="2676"/>
      <c r="L516" s="2266"/>
      <c r="M516" s="2267"/>
      <c r="N516" s="2667"/>
      <c r="O516" s="2668">
        <v>1</v>
      </c>
      <c r="P516" s="2669" t="s">
        <v>63</v>
      </c>
      <c r="Q516" s="8645" t="s">
        <v>133</v>
      </c>
      <c r="R516" s="8646" t="s">
        <v>1114</v>
      </c>
      <c r="S516" s="8646" t="s">
        <v>109</v>
      </c>
      <c r="T516" s="8646" t="s">
        <v>109</v>
      </c>
      <c r="U516" s="8646" t="s">
        <v>110</v>
      </c>
      <c r="V516" s="8646" t="s">
        <v>1192</v>
      </c>
      <c r="W516" s="8646" t="s">
        <v>1193</v>
      </c>
      <c r="X516" s="8646" t="s">
        <v>1194</v>
      </c>
      <c r="Y516" s="8646" t="s">
        <v>1195</v>
      </c>
      <c r="Z516" s="1321"/>
      <c r="AA516" s="1322"/>
      <c r="AB516" s="1322"/>
      <c r="AC516" s="1326"/>
      <c r="AD516" s="1326"/>
      <c r="AE516" s="1327"/>
      <c r="AF516" s="2665"/>
      <c r="AG516" s="2666"/>
      <c r="AH516" s="2666"/>
      <c r="AI516" s="8647"/>
      <c r="AJ516" s="2666"/>
      <c r="AK516" s="2666"/>
      <c r="AL516" s="2131"/>
      <c r="AM516" s="1968"/>
      <c r="AN516" s="1968"/>
      <c r="AO516" s="1968"/>
      <c r="AP516" s="1968"/>
      <c r="AQ516" s="1968"/>
      <c r="AR516" s="1968"/>
      <c r="AS516" s="1968"/>
      <c r="AT516" s="1968"/>
      <c r="AU516" s="1968"/>
      <c r="AV516" s="1968"/>
      <c r="AW516" s="1968"/>
      <c r="AX516" s="1968"/>
      <c r="AY516" s="1968"/>
      <c r="AZ516" s="1968"/>
      <c r="BA516" s="1968"/>
      <c r="BB516" s="1968"/>
      <c r="BC516" s="1968"/>
      <c r="BD516" s="1968"/>
      <c r="BE516" s="1968"/>
      <c r="BF516" s="1968"/>
      <c r="BG516" s="7235"/>
    </row>
    <row customHeight="1" ht="11.25">
      <c r="A517" s="1312" t="s">
        <v>1069</v>
      </c>
      <c r="B517" s="1312"/>
      <c r="C517" s="1312"/>
      <c r="D517" s="1306"/>
      <c r="E517" s="1316"/>
      <c r="F517" s="1974"/>
      <c r="G517" s="1975"/>
      <c r="H517" s="2674" t="s">
        <v>175</v>
      </c>
      <c r="I517" s="2675"/>
      <c r="J517" s="2644"/>
      <c r="K517" s="2676"/>
      <c r="L517" s="2266"/>
      <c r="M517" s="2267"/>
      <c r="N517" s="2667"/>
      <c r="O517" s="2668"/>
      <c r="P517" s="2670"/>
      <c r="Q517" s="8645"/>
      <c r="R517" s="2672"/>
      <c r="S517" s="2673"/>
      <c r="T517" s="2672"/>
      <c r="U517" s="2672"/>
      <c r="V517" s="2672"/>
      <c r="W517" s="2672"/>
      <c r="X517" s="2672"/>
      <c r="Y517" s="2672"/>
      <c r="Z517" s="1973"/>
      <c r="AA517" s="1939">
        <v>1</v>
      </c>
      <c r="AB517" s="1325" t="s">
        <v>1172</v>
      </c>
      <c r="AC517" s="1315">
        <v>0</v>
      </c>
      <c r="AD517" s="1325" t="str">
        <f>AB517</f>
        <v>  За счет платы за технологическое присоединение</v>
      </c>
      <c r="AE517" s="1315">
        <v>420</v>
      </c>
      <c r="AF517" s="2665"/>
      <c r="AG517" s="2666"/>
      <c r="AH517" s="2666"/>
      <c r="AI517" s="8647"/>
      <c r="AJ517" s="2666"/>
      <c r="AK517" s="2666"/>
      <c r="AL517" s="2131"/>
      <c r="AM517" s="1968"/>
      <c r="AN517" s="1968"/>
      <c r="AO517" s="1968"/>
      <c r="AP517" s="1968"/>
      <c r="AQ517" s="1968"/>
      <c r="AR517" s="1968"/>
      <c r="AS517" s="1968"/>
      <c r="AT517" s="1968"/>
      <c r="AU517" s="1968"/>
      <c r="AV517" s="1968"/>
      <c r="AW517" s="1968"/>
      <c r="AX517" s="1968"/>
      <c r="AY517" s="1968"/>
      <c r="AZ517" s="1968"/>
      <c r="BA517" s="1968"/>
      <c r="BB517" s="1968"/>
      <c r="BC517" s="1968"/>
      <c r="BD517" s="1968"/>
      <c r="BE517" s="1968"/>
      <c r="BF517" s="1968"/>
      <c r="BG517" s="7235"/>
    </row>
    <row customHeight="1" ht="11.25">
      <c r="A518" s="1312" t="s">
        <v>1069</v>
      </c>
      <c r="B518" s="1312"/>
      <c r="C518" s="1312"/>
      <c r="D518" s="1306"/>
      <c r="E518" s="1316"/>
      <c r="F518" s="1974"/>
      <c r="G518" s="1975"/>
      <c r="H518" s="2674" t="s">
        <v>175</v>
      </c>
      <c r="I518" s="2675"/>
      <c r="J518" s="2644"/>
      <c r="K518" s="2676"/>
      <c r="L518" s="2266"/>
      <c r="M518" s="2267"/>
      <c r="N518" s="2667"/>
      <c r="O518" s="2668"/>
      <c r="P518" s="2671"/>
      <c r="Q518" s="8645"/>
      <c r="R518" s="2672"/>
      <c r="S518" s="2673"/>
      <c r="T518" s="2672"/>
      <c r="U518" s="2672"/>
      <c r="V518" s="2672"/>
      <c r="W518" s="2672"/>
      <c r="X518" s="2672"/>
      <c r="Y518" s="2672"/>
      <c r="Z518" s="1321"/>
      <c r="AA518" s="1322"/>
      <c r="AB518" s="1387" t="s">
        <v>1107</v>
      </c>
      <c r="AC518" s="1326"/>
      <c r="AD518" s="1326"/>
      <c r="AE518" s="1328"/>
      <c r="AF518" s="2665"/>
      <c r="AG518" s="2666"/>
      <c r="AH518" s="2666"/>
      <c r="AI518" s="8647"/>
      <c r="AJ518" s="2666"/>
      <c r="AK518" s="2666"/>
      <c r="AL518" s="2131"/>
      <c r="AM518" s="1968"/>
      <c r="AN518" s="1968"/>
      <c r="AO518" s="1968"/>
      <c r="AP518" s="1968"/>
      <c r="AQ518" s="1968"/>
      <c r="AR518" s="1968"/>
      <c r="AS518" s="1968"/>
      <c r="AT518" s="1968"/>
      <c r="AU518" s="1968"/>
      <c r="AV518" s="1968"/>
      <c r="AW518" s="1968"/>
      <c r="AX518" s="1968"/>
      <c r="AY518" s="1968"/>
      <c r="AZ518" s="1968"/>
      <c r="BA518" s="1968"/>
      <c r="BB518" s="1968"/>
      <c r="BC518" s="1968"/>
      <c r="BD518" s="1968"/>
      <c r="BE518" s="1968"/>
      <c r="BF518" s="1968"/>
      <c r="BG518" s="7235"/>
    </row>
    <row customHeight="1" ht="11.25">
      <c r="A519" s="1312" t="s">
        <v>1069</v>
      </c>
      <c r="B519" s="1312"/>
      <c r="C519" s="1312"/>
      <c r="D519" s="1306"/>
      <c r="E519" s="1316"/>
      <c r="F519" s="1974"/>
      <c r="G519" s="1975"/>
      <c r="H519" s="2674" t="s">
        <v>175</v>
      </c>
      <c r="I519" s="2675"/>
      <c r="J519" s="2644"/>
      <c r="K519" s="2676"/>
      <c r="L519" s="2266"/>
      <c r="M519" s="2267"/>
      <c r="N519" s="1321"/>
      <c r="O519" s="1322"/>
      <c r="P519" s="1314" t="s">
        <v>1108</v>
      </c>
      <c r="Q519" s="1322"/>
      <c r="R519" s="1322"/>
      <c r="S519" s="1322"/>
      <c r="T519" s="1322"/>
      <c r="U519" s="1322"/>
      <c r="V519" s="1322"/>
      <c r="W519" s="1322"/>
      <c r="X519" s="1322"/>
      <c r="Y519" s="1322"/>
      <c r="Z519" s="1322"/>
      <c r="AA519" s="1322"/>
      <c r="AB519" s="1322"/>
      <c r="AC519" s="1322"/>
      <c r="AD519" s="1322"/>
      <c r="AE519" s="1329"/>
      <c r="AF519" s="2665"/>
      <c r="AG519" s="2666"/>
      <c r="AH519" s="2666"/>
      <c r="AI519" s="8647"/>
      <c r="AJ519" s="2666"/>
      <c r="AK519" s="2666"/>
      <c r="AL519" s="2131"/>
      <c r="AM519" s="1968"/>
      <c r="AN519" s="1968"/>
      <c r="AO519" s="1968"/>
      <c r="AP519" s="1968"/>
      <c r="AQ519" s="1968"/>
      <c r="AR519" s="1968"/>
      <c r="AS519" s="1968"/>
      <c r="AT519" s="1968"/>
      <c r="AU519" s="1968"/>
      <c r="AV519" s="1968"/>
      <c r="AW519" s="1968"/>
      <c r="AX519" s="1968"/>
      <c r="AY519" s="1968"/>
      <c r="AZ519" s="1968"/>
      <c r="BA519" s="1968"/>
      <c r="BB519" s="1968"/>
      <c r="BC519" s="1968"/>
      <c r="BD519" s="1968"/>
      <c r="BE519" s="1968"/>
      <c r="BF519" s="1968"/>
      <c r="BG519" s="7235"/>
    </row>
    <row customHeight="1" ht="11.25">
      <c r="A520" s="1312" t="s">
        <v>1069</v>
      </c>
      <c r="B520" s="1312" t="s">
        <v>1198</v>
      </c>
      <c r="C520" s="1312"/>
      <c r="D520" s="1306"/>
      <c r="E520" s="1316"/>
      <c r="F520" s="1974"/>
      <c r="G520" s="7143" t="s">
        <v>106</v>
      </c>
      <c r="H520" s="2674" t="s">
        <v>177</v>
      </c>
      <c r="I520" s="2675" t="s">
        <v>1200</v>
      </c>
      <c r="J520" s="2644" t="s">
        <v>1201</v>
      </c>
      <c r="K520" s="2676" t="s">
        <v>1288</v>
      </c>
      <c r="L520" s="2266" t="s">
        <v>19</v>
      </c>
      <c r="M520" s="2267"/>
      <c r="N520" s="2129"/>
      <c r="O520" s="1323" t="s">
        <v>398</v>
      </c>
      <c r="P520" s="1324"/>
      <c r="Q520" s="1324"/>
      <c r="R520" s="1324"/>
      <c r="S520" s="1324"/>
      <c r="T520" s="1324"/>
      <c r="U520" s="1324"/>
      <c r="V520" s="1324"/>
      <c r="W520" s="1324"/>
      <c r="X520" s="1324"/>
      <c r="Y520" s="1324"/>
      <c r="Z520" s="1324"/>
      <c r="AA520" s="1324"/>
      <c r="AB520" s="1324"/>
      <c r="AC520" s="1324"/>
      <c r="AD520" s="1324"/>
      <c r="AE520" s="1324"/>
      <c r="AF520" s="2665">
        <v>2027</v>
      </c>
      <c r="AG520" s="2666" t="s">
        <v>1103</v>
      </c>
      <c r="AH520" s="2666" t="s">
        <v>1164</v>
      </c>
      <c r="AI520" s="8647"/>
      <c r="AJ520" s="2666" t="s">
        <v>1105</v>
      </c>
      <c r="AK520" s="2666" t="s">
        <v>1105</v>
      </c>
      <c r="AL520" s="2131"/>
      <c r="AM520" s="1968"/>
      <c r="AN520" s="1968"/>
      <c r="AO520" s="1968"/>
      <c r="AP520" s="1968"/>
      <c r="AQ520" s="1968"/>
      <c r="AR520" s="1968"/>
      <c r="AS520" s="1968"/>
      <c r="AT520" s="1968"/>
      <c r="AU520" s="1968"/>
      <c r="AV520" s="1968"/>
      <c r="AW520" s="1968"/>
      <c r="AX520" s="1968"/>
      <c r="AY520" s="1968"/>
      <c r="AZ520" s="1968"/>
      <c r="BA520" s="1968"/>
      <c r="BB520" s="1968"/>
      <c r="BC520" s="1968"/>
      <c r="BD520" s="1968"/>
      <c r="BE520" s="1968"/>
      <c r="BF520" s="1968"/>
      <c r="BG520" s="7235"/>
    </row>
    <row customHeight="1" ht="11.25">
      <c r="A521" s="1312" t="s">
        <v>1069</v>
      </c>
      <c r="B521" s="1312"/>
      <c r="C521" s="1312"/>
      <c r="D521" s="1306"/>
      <c r="E521" s="1316"/>
      <c r="F521" s="1974"/>
      <c r="G521" s="1975"/>
      <c r="H521" s="2674" t="s">
        <v>176</v>
      </c>
      <c r="I521" s="2675"/>
      <c r="J521" s="2644"/>
      <c r="K521" s="2676"/>
      <c r="L521" s="2266"/>
      <c r="M521" s="2267"/>
      <c r="N521" s="2667"/>
      <c r="O521" s="2668">
        <v>1</v>
      </c>
      <c r="P521" s="2669" t="s">
        <v>63</v>
      </c>
      <c r="Q521" s="8645" t="s">
        <v>1208</v>
      </c>
      <c r="R521" s="8646" t="s">
        <v>1114</v>
      </c>
      <c r="S521" s="8646" t="s">
        <v>113</v>
      </c>
      <c r="T521" s="8646" t="s">
        <v>113</v>
      </c>
      <c r="U521" s="8646" t="s">
        <v>114</v>
      </c>
      <c r="V521" s="8646" t="s">
        <v>1115</v>
      </c>
      <c r="W521" s="8646" t="s">
        <v>1116</v>
      </c>
      <c r="X521" s="8646" t="s">
        <v>1209</v>
      </c>
      <c r="Y521" s="8646" t="s">
        <v>121</v>
      </c>
      <c r="Z521" s="1321"/>
      <c r="AA521" s="1322"/>
      <c r="AB521" s="1322"/>
      <c r="AC521" s="1326"/>
      <c r="AD521" s="1326"/>
      <c r="AE521" s="1327"/>
      <c r="AF521" s="2665"/>
      <c r="AG521" s="2666"/>
      <c r="AH521" s="2666"/>
      <c r="AI521" s="8647"/>
      <c r="AJ521" s="2666"/>
      <c r="AK521" s="2666"/>
      <c r="AL521" s="2131"/>
      <c r="AM521" s="1968"/>
      <c r="AN521" s="1968"/>
      <c r="AO521" s="1968"/>
      <c r="AP521" s="1968"/>
      <c r="AQ521" s="1968"/>
      <c r="AR521" s="1968"/>
      <c r="AS521" s="1968"/>
      <c r="AT521" s="1968"/>
      <c r="AU521" s="1968"/>
      <c r="AV521" s="1968"/>
      <c r="AW521" s="1968"/>
      <c r="AX521" s="1968"/>
      <c r="AY521" s="1968"/>
      <c r="AZ521" s="1968"/>
      <c r="BA521" s="1968"/>
      <c r="BB521" s="1968"/>
      <c r="BC521" s="1968"/>
      <c r="BD521" s="1968"/>
      <c r="BE521" s="1968"/>
      <c r="BF521" s="1968"/>
      <c r="BG521" s="7235"/>
    </row>
    <row customHeight="1" ht="11.25">
      <c r="A522" s="1312" t="s">
        <v>1069</v>
      </c>
      <c r="B522" s="1312"/>
      <c r="C522" s="1312"/>
      <c r="D522" s="1306"/>
      <c r="E522" s="1316"/>
      <c r="F522" s="1974"/>
      <c r="G522" s="1975"/>
      <c r="H522" s="2674" t="s">
        <v>176</v>
      </c>
      <c r="I522" s="2675"/>
      <c r="J522" s="2644"/>
      <c r="K522" s="2676"/>
      <c r="L522" s="2266"/>
      <c r="M522" s="2267"/>
      <c r="N522" s="2667"/>
      <c r="O522" s="2668"/>
      <c r="P522" s="2670"/>
      <c r="Q522" s="8645"/>
      <c r="R522" s="2672"/>
      <c r="S522" s="2673"/>
      <c r="T522" s="2672"/>
      <c r="U522" s="2672"/>
      <c r="V522" s="2672"/>
      <c r="W522" s="2672"/>
      <c r="X522" s="2672"/>
      <c r="Y522" s="2672"/>
      <c r="Z522" s="1973"/>
      <c r="AA522" s="1939">
        <v>1</v>
      </c>
      <c r="AB522" s="1325" t="s">
        <v>1106</v>
      </c>
      <c r="AC522" s="1315">
        <v>14564</v>
      </c>
      <c r="AD522" s="1325" t="str">
        <f>AB522</f>
        <v>  Прибыль направляемая на инвестиции</v>
      </c>
      <c r="AE522" s="1315">
        <v>15039</v>
      </c>
      <c r="AF522" s="2665"/>
      <c r="AG522" s="2666"/>
      <c r="AH522" s="2666"/>
      <c r="AI522" s="8647"/>
      <c r="AJ522" s="2666"/>
      <c r="AK522" s="2666"/>
      <c r="AL522" s="2131"/>
      <c r="AM522" s="1968"/>
      <c r="AN522" s="1968"/>
      <c r="AO522" s="1968"/>
      <c r="AP522" s="1968"/>
      <c r="AQ522" s="1968"/>
      <c r="AR522" s="1968"/>
      <c r="AS522" s="1968"/>
      <c r="AT522" s="1968"/>
      <c r="AU522" s="1968"/>
      <c r="AV522" s="1968"/>
      <c r="AW522" s="1968"/>
      <c r="AX522" s="1968"/>
      <c r="AY522" s="1968"/>
      <c r="AZ522" s="1968"/>
      <c r="BA522" s="1968"/>
      <c r="BB522" s="1968"/>
      <c r="BC522" s="1968"/>
      <c r="BD522" s="1968"/>
      <c r="BE522" s="1968"/>
      <c r="BF522" s="1968"/>
      <c r="BG522" s="7235"/>
    </row>
    <row customHeight="1" ht="11.25">
      <c r="A523" s="1312" t="s">
        <v>1069</v>
      </c>
      <c r="B523" s="1312"/>
      <c r="C523" s="1312"/>
      <c r="D523" s="1306"/>
      <c r="E523" s="1316"/>
      <c r="F523" s="1974"/>
      <c r="G523" s="1975"/>
      <c r="H523" s="2674" t="s">
        <v>176</v>
      </c>
      <c r="I523" s="2675"/>
      <c r="J523" s="2644"/>
      <c r="K523" s="2676"/>
      <c r="L523" s="2266"/>
      <c r="M523" s="2267"/>
      <c r="N523" s="2667"/>
      <c r="O523" s="2668"/>
      <c r="P523" s="2671"/>
      <c r="Q523" s="8645"/>
      <c r="R523" s="2672"/>
      <c r="S523" s="2673"/>
      <c r="T523" s="2672"/>
      <c r="U523" s="2672"/>
      <c r="V523" s="2672"/>
      <c r="W523" s="2672"/>
      <c r="X523" s="2672"/>
      <c r="Y523" s="2672"/>
      <c r="Z523" s="1321"/>
      <c r="AA523" s="1322"/>
      <c r="AB523" s="1387" t="s">
        <v>1107</v>
      </c>
      <c r="AC523" s="1326"/>
      <c r="AD523" s="1326"/>
      <c r="AE523" s="1328"/>
      <c r="AF523" s="2665"/>
      <c r="AG523" s="2666"/>
      <c r="AH523" s="2666"/>
      <c r="AI523" s="8647"/>
      <c r="AJ523" s="2666"/>
      <c r="AK523" s="2666"/>
      <c r="AL523" s="2131"/>
      <c r="AM523" s="1968"/>
      <c r="AN523" s="1968"/>
      <c r="AO523" s="1968"/>
      <c r="AP523" s="1968"/>
      <c r="AQ523" s="1968"/>
      <c r="AR523" s="1968"/>
      <c r="AS523" s="1968"/>
      <c r="AT523" s="1968"/>
      <c r="AU523" s="1968"/>
      <c r="AV523" s="1968"/>
      <c r="AW523" s="1968"/>
      <c r="AX523" s="1968"/>
      <c r="AY523" s="1968"/>
      <c r="AZ523" s="1968"/>
      <c r="BA523" s="1968"/>
      <c r="BB523" s="1968"/>
      <c r="BC523" s="1968"/>
      <c r="BD523" s="1968"/>
      <c r="BE523" s="1968"/>
      <c r="BF523" s="1968"/>
      <c r="BG523" s="7235"/>
    </row>
    <row customHeight="1" ht="11.25">
      <c r="A524" s="1312" t="s">
        <v>1069</v>
      </c>
      <c r="B524" s="1312"/>
      <c r="C524" s="1312"/>
      <c r="D524" s="1306"/>
      <c r="E524" s="1316"/>
      <c r="F524" s="1974"/>
      <c r="G524" s="1975"/>
      <c r="H524" s="2674" t="s">
        <v>176</v>
      </c>
      <c r="I524" s="2675"/>
      <c r="J524" s="2644"/>
      <c r="K524" s="2676"/>
      <c r="L524" s="2266"/>
      <c r="M524" s="2267"/>
      <c r="N524" s="1321"/>
      <c r="O524" s="1322"/>
      <c r="P524" s="1314" t="s">
        <v>1108</v>
      </c>
      <c r="Q524" s="1322"/>
      <c r="R524" s="1322"/>
      <c r="S524" s="1322"/>
      <c r="T524" s="1322"/>
      <c r="U524" s="1322"/>
      <c r="V524" s="1322"/>
      <c r="W524" s="1322"/>
      <c r="X524" s="1322"/>
      <c r="Y524" s="1322"/>
      <c r="Z524" s="1322"/>
      <c r="AA524" s="1322"/>
      <c r="AB524" s="1322"/>
      <c r="AC524" s="1322"/>
      <c r="AD524" s="1322"/>
      <c r="AE524" s="1329"/>
      <c r="AF524" s="2665"/>
      <c r="AG524" s="2666"/>
      <c r="AH524" s="2666"/>
      <c r="AI524" s="8647"/>
      <c r="AJ524" s="2666"/>
      <c r="AK524" s="2666"/>
      <c r="AL524" s="2131"/>
      <c r="AM524" s="1968"/>
      <c r="AN524" s="1968"/>
      <c r="AO524" s="1968"/>
      <c r="AP524" s="1968"/>
      <c r="AQ524" s="1968"/>
      <c r="AR524" s="1968"/>
      <c r="AS524" s="1968"/>
      <c r="AT524" s="1968"/>
      <c r="AU524" s="1968"/>
      <c r="AV524" s="1968"/>
      <c r="AW524" s="1968"/>
      <c r="AX524" s="1968"/>
      <c r="AY524" s="1968"/>
      <c r="AZ524" s="1968"/>
      <c r="BA524" s="1968"/>
      <c r="BB524" s="1968"/>
      <c r="BC524" s="1968"/>
      <c r="BD524" s="1968"/>
      <c r="BE524" s="1968"/>
      <c r="BF524" s="1968"/>
      <c r="BG524" s="7235"/>
    </row>
    <row customHeight="1" ht="11.25">
      <c r="A525" s="1312" t="s">
        <v>1069</v>
      </c>
      <c r="B525" s="1312" t="s">
        <v>1198</v>
      </c>
      <c r="C525" s="1312"/>
      <c r="D525" s="1306"/>
      <c r="E525" s="1316"/>
      <c r="F525" s="1974"/>
      <c r="G525" s="7143" t="s">
        <v>106</v>
      </c>
      <c r="H525" s="2674" t="s">
        <v>1190</v>
      </c>
      <c r="I525" s="2675" t="s">
        <v>1200</v>
      </c>
      <c r="J525" s="2644" t="s">
        <v>1201</v>
      </c>
      <c r="K525" s="2676" t="s">
        <v>1289</v>
      </c>
      <c r="L525" s="2266" t="s">
        <v>19</v>
      </c>
      <c r="M525" s="2267"/>
      <c r="N525" s="2129"/>
      <c r="O525" s="1323" t="s">
        <v>398</v>
      </c>
      <c r="P525" s="1324"/>
      <c r="Q525" s="1324"/>
      <c r="R525" s="1324"/>
      <c r="S525" s="1324"/>
      <c r="T525" s="1324"/>
      <c r="U525" s="1324"/>
      <c r="V525" s="1324"/>
      <c r="W525" s="1324"/>
      <c r="X525" s="1324"/>
      <c r="Y525" s="1324"/>
      <c r="Z525" s="1324"/>
      <c r="AA525" s="1324"/>
      <c r="AB525" s="1324"/>
      <c r="AC525" s="1324"/>
      <c r="AD525" s="1324"/>
      <c r="AE525" s="1324"/>
      <c r="AF525" s="2665">
        <v>2026</v>
      </c>
      <c r="AG525" s="2666" t="s">
        <v>1103</v>
      </c>
      <c r="AH525" s="2666" t="s">
        <v>1162</v>
      </c>
      <c r="AI525" s="8647"/>
      <c r="AJ525" s="2666" t="s">
        <v>1105</v>
      </c>
      <c r="AK525" s="2666" t="s">
        <v>1105</v>
      </c>
      <c r="AL525" s="2131"/>
      <c r="AM525" s="1968"/>
      <c r="AN525" s="1968"/>
      <c r="AO525" s="1968"/>
      <c r="AP525" s="1968"/>
      <c r="AQ525" s="1968"/>
      <c r="AR525" s="1968"/>
      <c r="AS525" s="1968"/>
      <c r="AT525" s="1968"/>
      <c r="AU525" s="1968"/>
      <c r="AV525" s="1968"/>
      <c r="AW525" s="1968"/>
      <c r="AX525" s="1968"/>
      <c r="AY525" s="1968"/>
      <c r="AZ525" s="1968"/>
      <c r="BA525" s="1968"/>
      <c r="BB525" s="1968"/>
      <c r="BC525" s="1968"/>
      <c r="BD525" s="1968"/>
      <c r="BE525" s="1968"/>
      <c r="BF525" s="1968"/>
      <c r="BG525" s="7235"/>
    </row>
    <row customHeight="1" ht="11.25">
      <c r="A526" s="1312" t="s">
        <v>1069</v>
      </c>
      <c r="B526" s="1312"/>
      <c r="C526" s="1312"/>
      <c r="D526" s="1306"/>
      <c r="E526" s="1316"/>
      <c r="F526" s="1974"/>
      <c r="G526" s="1975"/>
      <c r="H526" s="2674" t="s">
        <v>177</v>
      </c>
      <c r="I526" s="2675"/>
      <c r="J526" s="2644"/>
      <c r="K526" s="2676"/>
      <c r="L526" s="2266"/>
      <c r="M526" s="2267"/>
      <c r="N526" s="2667"/>
      <c r="O526" s="2668">
        <v>1</v>
      </c>
      <c r="P526" s="2669" t="s">
        <v>63</v>
      </c>
      <c r="Q526" s="8645" t="s">
        <v>1176</v>
      </c>
      <c r="R526" s="8646" t="s">
        <v>1177</v>
      </c>
      <c r="S526" s="8646" t="s">
        <v>113</v>
      </c>
      <c r="T526" s="8646" t="s">
        <v>113</v>
      </c>
      <c r="U526" s="8646" t="s">
        <v>114</v>
      </c>
      <c r="V526" s="8646" t="s">
        <v>1115</v>
      </c>
      <c r="W526" s="8646" t="s">
        <v>1116</v>
      </c>
      <c r="X526" s="8646" t="s">
        <v>1178</v>
      </c>
      <c r="Y526" s="8646" t="s">
        <v>1178</v>
      </c>
      <c r="Z526" s="1321"/>
      <c r="AA526" s="1322"/>
      <c r="AB526" s="1322"/>
      <c r="AC526" s="1326"/>
      <c r="AD526" s="1326"/>
      <c r="AE526" s="1327"/>
      <c r="AF526" s="2665"/>
      <c r="AG526" s="2666"/>
      <c r="AH526" s="2666"/>
      <c r="AI526" s="8647"/>
      <c r="AJ526" s="2666"/>
      <c r="AK526" s="2666"/>
      <c r="AL526" s="2131"/>
      <c r="AM526" s="1968"/>
      <c r="AN526" s="1968"/>
      <c r="AO526" s="1968"/>
      <c r="AP526" s="1968"/>
      <c r="AQ526" s="1968"/>
      <c r="AR526" s="1968"/>
      <c r="AS526" s="1968"/>
      <c r="AT526" s="1968"/>
      <c r="AU526" s="1968"/>
      <c r="AV526" s="1968"/>
      <c r="AW526" s="1968"/>
      <c r="AX526" s="1968"/>
      <c r="AY526" s="1968"/>
      <c r="AZ526" s="1968"/>
      <c r="BA526" s="1968"/>
      <c r="BB526" s="1968"/>
      <c r="BC526" s="1968"/>
      <c r="BD526" s="1968"/>
      <c r="BE526" s="1968"/>
      <c r="BF526" s="1968"/>
      <c r="BG526" s="7235"/>
    </row>
    <row customHeight="1" ht="11.25">
      <c r="A527" s="1312" t="s">
        <v>1069</v>
      </c>
      <c r="B527" s="1312"/>
      <c r="C527" s="1312"/>
      <c r="D527" s="1306"/>
      <c r="E527" s="1316"/>
      <c r="F527" s="1974"/>
      <c r="G527" s="1975"/>
      <c r="H527" s="2674" t="s">
        <v>177</v>
      </c>
      <c r="I527" s="2675"/>
      <c r="J527" s="2644"/>
      <c r="K527" s="2676"/>
      <c r="L527" s="2266"/>
      <c r="M527" s="2267"/>
      <c r="N527" s="2667"/>
      <c r="O527" s="2668"/>
      <c r="P527" s="2670"/>
      <c r="Q527" s="8645"/>
      <c r="R527" s="2672"/>
      <c r="S527" s="2673"/>
      <c r="T527" s="2672"/>
      <c r="U527" s="2672"/>
      <c r="V527" s="2672"/>
      <c r="W527" s="2672"/>
      <c r="X527" s="2672"/>
      <c r="Y527" s="2672"/>
      <c r="Z527" s="1973"/>
      <c r="AA527" s="1939">
        <v>1</v>
      </c>
      <c r="AB527" s="1325" t="s">
        <v>1131</v>
      </c>
      <c r="AC527" s="1315">
        <v>24993</v>
      </c>
      <c r="AD527" s="1325" t="str">
        <f>AB527</f>
        <v>      Прочие амортизационные отчисления</v>
      </c>
      <c r="AE527" s="1315">
        <v>398</v>
      </c>
      <c r="AF527" s="2665"/>
      <c r="AG527" s="2666"/>
      <c r="AH527" s="2666"/>
      <c r="AI527" s="8647"/>
      <c r="AJ527" s="2666"/>
      <c r="AK527" s="2666"/>
      <c r="AL527" s="2131"/>
      <c r="AM527" s="1968"/>
      <c r="AN527" s="1968"/>
      <c r="AO527" s="1968"/>
      <c r="AP527" s="1968"/>
      <c r="AQ527" s="1968"/>
      <c r="AR527" s="1968"/>
      <c r="AS527" s="1968"/>
      <c r="AT527" s="1968"/>
      <c r="AU527" s="1968"/>
      <c r="AV527" s="1968"/>
      <c r="AW527" s="1968"/>
      <c r="AX527" s="1968"/>
      <c r="AY527" s="1968"/>
      <c r="AZ527" s="1968"/>
      <c r="BA527" s="1968"/>
      <c r="BB527" s="1968"/>
      <c r="BC527" s="1968"/>
      <c r="BD527" s="1968"/>
      <c r="BE527" s="1968"/>
      <c r="BF527" s="1968"/>
      <c r="BG527" s="7235"/>
    </row>
    <row customHeight="1" ht="11.25">
      <c r="A528" s="1312" t="s">
        <v>1069</v>
      </c>
      <c r="B528" s="1312"/>
      <c r="C528" s="1312"/>
      <c r="D528" s="1306"/>
      <c r="E528" s="1316"/>
      <c r="F528" s="1974"/>
      <c r="G528" s="1975"/>
      <c r="H528" s="2674" t="s">
        <v>177</v>
      </c>
      <c r="I528" s="2675"/>
      <c r="J528" s="2644"/>
      <c r="K528" s="2676"/>
      <c r="L528" s="2266"/>
      <c r="M528" s="2267"/>
      <c r="N528" s="2667"/>
      <c r="O528" s="2668"/>
      <c r="P528" s="2671"/>
      <c r="Q528" s="8645"/>
      <c r="R528" s="2672"/>
      <c r="S528" s="2673"/>
      <c r="T528" s="2672"/>
      <c r="U528" s="2672"/>
      <c r="V528" s="2672"/>
      <c r="W528" s="2672"/>
      <c r="X528" s="2672"/>
      <c r="Y528" s="2672"/>
      <c r="Z528" s="1321"/>
      <c r="AA528" s="1322"/>
      <c r="AB528" s="1387" t="s">
        <v>1107</v>
      </c>
      <c r="AC528" s="1326"/>
      <c r="AD528" s="1326"/>
      <c r="AE528" s="1328"/>
      <c r="AF528" s="2665"/>
      <c r="AG528" s="2666"/>
      <c r="AH528" s="2666"/>
      <c r="AI528" s="8647"/>
      <c r="AJ528" s="2666"/>
      <c r="AK528" s="2666"/>
      <c r="AL528" s="2131"/>
      <c r="AM528" s="1968"/>
      <c r="AN528" s="1968"/>
      <c r="AO528" s="1968"/>
      <c r="AP528" s="1968"/>
      <c r="AQ528" s="1968"/>
      <c r="AR528" s="1968"/>
      <c r="AS528" s="1968"/>
      <c r="AT528" s="1968"/>
      <c r="AU528" s="1968"/>
      <c r="AV528" s="1968"/>
      <c r="AW528" s="1968"/>
      <c r="AX528" s="1968"/>
      <c r="AY528" s="1968"/>
      <c r="AZ528" s="1968"/>
      <c r="BA528" s="1968"/>
      <c r="BB528" s="1968"/>
      <c r="BC528" s="1968"/>
      <c r="BD528" s="1968"/>
      <c r="BE528" s="1968"/>
      <c r="BF528" s="1968"/>
      <c r="BG528" s="7235"/>
    </row>
    <row customHeight="1" ht="11.25">
      <c r="A529" s="1312" t="s">
        <v>1069</v>
      </c>
      <c r="B529" s="1312"/>
      <c r="C529" s="1312"/>
      <c r="D529" s="1306"/>
      <c r="E529" s="1316"/>
      <c r="F529" s="1974"/>
      <c r="G529" s="1975"/>
      <c r="H529" s="2674" t="s">
        <v>177</v>
      </c>
      <c r="I529" s="2675"/>
      <c r="J529" s="2644"/>
      <c r="K529" s="2676"/>
      <c r="L529" s="2266"/>
      <c r="M529" s="2267"/>
      <c r="N529" s="1321"/>
      <c r="O529" s="1322"/>
      <c r="P529" s="1314" t="s">
        <v>1108</v>
      </c>
      <c r="Q529" s="1322"/>
      <c r="R529" s="1322"/>
      <c r="S529" s="1322"/>
      <c r="T529" s="1322"/>
      <c r="U529" s="1322"/>
      <c r="V529" s="1322"/>
      <c r="W529" s="1322"/>
      <c r="X529" s="1322"/>
      <c r="Y529" s="1322"/>
      <c r="Z529" s="1322"/>
      <c r="AA529" s="1322"/>
      <c r="AB529" s="1322"/>
      <c r="AC529" s="1322"/>
      <c r="AD529" s="1322"/>
      <c r="AE529" s="1329"/>
      <c r="AF529" s="2665"/>
      <c r="AG529" s="2666"/>
      <c r="AH529" s="2666"/>
      <c r="AI529" s="8647"/>
      <c r="AJ529" s="2666"/>
      <c r="AK529" s="2666"/>
      <c r="AL529" s="2131"/>
      <c r="AM529" s="1968"/>
      <c r="AN529" s="1968"/>
      <c r="AO529" s="1968"/>
      <c r="AP529" s="1968"/>
      <c r="AQ529" s="1968"/>
      <c r="AR529" s="1968"/>
      <c r="AS529" s="1968"/>
      <c r="AT529" s="1968"/>
      <c r="AU529" s="1968"/>
      <c r="AV529" s="1968"/>
      <c r="AW529" s="1968"/>
      <c r="AX529" s="1968"/>
      <c r="AY529" s="1968"/>
      <c r="AZ529" s="1968"/>
      <c r="BA529" s="1968"/>
      <c r="BB529" s="1968"/>
      <c r="BC529" s="1968"/>
      <c r="BD529" s="1968"/>
      <c r="BE529" s="1968"/>
      <c r="BF529" s="1968"/>
      <c r="BG529" s="7235"/>
    </row>
    <row customHeight="1" ht="11.25">
      <c r="A530" s="1312" t="s">
        <v>1069</v>
      </c>
      <c r="B530" s="1312" t="s">
        <v>1198</v>
      </c>
      <c r="C530" s="1312"/>
      <c r="D530" s="1306"/>
      <c r="E530" s="1316"/>
      <c r="F530" s="1974"/>
      <c r="G530" s="7143" t="s">
        <v>106</v>
      </c>
      <c r="H530" s="2674" t="s">
        <v>1196</v>
      </c>
      <c r="I530" s="2675" t="s">
        <v>1200</v>
      </c>
      <c r="J530" s="2644" t="s">
        <v>1201</v>
      </c>
      <c r="K530" s="2676" t="s">
        <v>1290</v>
      </c>
      <c r="L530" s="2266" t="s">
        <v>19</v>
      </c>
      <c r="M530" s="2267"/>
      <c r="N530" s="2129"/>
      <c r="O530" s="1323" t="s">
        <v>398</v>
      </c>
      <c r="P530" s="1324"/>
      <c r="Q530" s="1324"/>
      <c r="R530" s="1324"/>
      <c r="S530" s="1324"/>
      <c r="T530" s="1324"/>
      <c r="U530" s="1324"/>
      <c r="V530" s="1324"/>
      <c r="W530" s="1324"/>
      <c r="X530" s="1324"/>
      <c r="Y530" s="1324"/>
      <c r="Z530" s="1324"/>
      <c r="AA530" s="1324"/>
      <c r="AB530" s="1324"/>
      <c r="AC530" s="1324"/>
      <c r="AD530" s="1324"/>
      <c r="AE530" s="1324"/>
      <c r="AF530" s="2665">
        <v>2024</v>
      </c>
      <c r="AG530" s="2666" t="s">
        <v>1103</v>
      </c>
      <c r="AH530" s="2666" t="s">
        <v>1159</v>
      </c>
      <c r="AI530" s="8647"/>
      <c r="AJ530" s="2666" t="s">
        <v>1105</v>
      </c>
      <c r="AK530" s="2666" t="s">
        <v>1105</v>
      </c>
      <c r="AL530" s="2131"/>
      <c r="AM530" s="1968"/>
      <c r="AN530" s="1968"/>
      <c r="AO530" s="1968"/>
      <c r="AP530" s="1968"/>
      <c r="AQ530" s="1968"/>
      <c r="AR530" s="1968"/>
      <c r="AS530" s="1968"/>
      <c r="AT530" s="1968"/>
      <c r="AU530" s="1968"/>
      <c r="AV530" s="1968"/>
      <c r="AW530" s="1968"/>
      <c r="AX530" s="1968"/>
      <c r="AY530" s="1968"/>
      <c r="AZ530" s="1968"/>
      <c r="BA530" s="1968"/>
      <c r="BB530" s="1968"/>
      <c r="BC530" s="1968"/>
      <c r="BD530" s="1968"/>
      <c r="BE530" s="1968"/>
      <c r="BF530" s="1968"/>
      <c r="BG530" s="7235"/>
    </row>
    <row customHeight="1" ht="11.25">
      <c r="A531" s="1312" t="s">
        <v>1069</v>
      </c>
      <c r="B531" s="1312"/>
      <c r="C531" s="1312"/>
      <c r="D531" s="1306"/>
      <c r="E531" s="1316"/>
      <c r="F531" s="1974"/>
      <c r="G531" s="1975"/>
      <c r="H531" s="2674" t="s">
        <v>1190</v>
      </c>
      <c r="I531" s="2675"/>
      <c r="J531" s="2644"/>
      <c r="K531" s="2676"/>
      <c r="L531" s="2266"/>
      <c r="M531" s="2267"/>
      <c r="N531" s="2667"/>
      <c r="O531" s="2668">
        <v>1</v>
      </c>
      <c r="P531" s="2669" t="s">
        <v>63</v>
      </c>
      <c r="Q531" s="8645" t="s">
        <v>1176</v>
      </c>
      <c r="R531" s="8646" t="s">
        <v>1177</v>
      </c>
      <c r="S531" s="8646" t="s">
        <v>113</v>
      </c>
      <c r="T531" s="8646" t="s">
        <v>113</v>
      </c>
      <c r="U531" s="8646" t="s">
        <v>114</v>
      </c>
      <c r="V531" s="8646" t="s">
        <v>1115</v>
      </c>
      <c r="W531" s="8646" t="s">
        <v>1116</v>
      </c>
      <c r="X531" s="8646" t="s">
        <v>1178</v>
      </c>
      <c r="Y531" s="8646" t="s">
        <v>1178</v>
      </c>
      <c r="Z531" s="1321"/>
      <c r="AA531" s="1322"/>
      <c r="AB531" s="1322"/>
      <c r="AC531" s="1326"/>
      <c r="AD531" s="1326"/>
      <c r="AE531" s="1327"/>
      <c r="AF531" s="2665"/>
      <c r="AG531" s="2666"/>
      <c r="AH531" s="2666"/>
      <c r="AI531" s="8647"/>
      <c r="AJ531" s="2666"/>
      <c r="AK531" s="2666"/>
      <c r="AL531" s="2131"/>
      <c r="AM531" s="1968"/>
      <c r="AN531" s="1968"/>
      <c r="AO531" s="1968"/>
      <c r="AP531" s="1968"/>
      <c r="AQ531" s="1968"/>
      <c r="AR531" s="1968"/>
      <c r="AS531" s="1968"/>
      <c r="AT531" s="1968"/>
      <c r="AU531" s="1968"/>
      <c r="AV531" s="1968"/>
      <c r="AW531" s="1968"/>
      <c r="AX531" s="1968"/>
      <c r="AY531" s="1968"/>
      <c r="AZ531" s="1968"/>
      <c r="BA531" s="1968"/>
      <c r="BB531" s="1968"/>
      <c r="BC531" s="1968"/>
      <c r="BD531" s="1968"/>
      <c r="BE531" s="1968"/>
      <c r="BF531" s="1968"/>
      <c r="BG531" s="7235"/>
    </row>
    <row customHeight="1" ht="11.25">
      <c r="A532" s="1312" t="s">
        <v>1069</v>
      </c>
      <c r="B532" s="1312"/>
      <c r="C532" s="1312"/>
      <c r="D532" s="1306"/>
      <c r="E532" s="1316"/>
      <c r="F532" s="1974"/>
      <c r="G532" s="1975"/>
      <c r="H532" s="2674" t="s">
        <v>1190</v>
      </c>
      <c r="I532" s="2675"/>
      <c r="J532" s="2644"/>
      <c r="K532" s="2676"/>
      <c r="L532" s="2266"/>
      <c r="M532" s="2267"/>
      <c r="N532" s="2667"/>
      <c r="O532" s="2668"/>
      <c r="P532" s="2670"/>
      <c r="Q532" s="8645"/>
      <c r="R532" s="2672"/>
      <c r="S532" s="2673"/>
      <c r="T532" s="2672"/>
      <c r="U532" s="2672"/>
      <c r="V532" s="2672"/>
      <c r="W532" s="2672"/>
      <c r="X532" s="2672"/>
      <c r="Y532" s="2672"/>
      <c r="Z532" s="1973"/>
      <c r="AA532" s="1939">
        <v>1</v>
      </c>
      <c r="AB532" s="1325" t="s">
        <v>1131</v>
      </c>
      <c r="AC532" s="1315">
        <v>4</v>
      </c>
      <c r="AD532" s="1325" t="str">
        <f>AB532</f>
        <v>      Прочие амортизационные отчисления</v>
      </c>
      <c r="AE532" s="1315">
        <v>1198</v>
      </c>
      <c r="AF532" s="2665"/>
      <c r="AG532" s="2666"/>
      <c r="AH532" s="2666"/>
      <c r="AI532" s="8647"/>
      <c r="AJ532" s="2666"/>
      <c r="AK532" s="2666"/>
      <c r="AL532" s="2131"/>
      <c r="AM532" s="1968"/>
      <c r="AN532" s="1968"/>
      <c r="AO532" s="1968"/>
      <c r="AP532" s="1968"/>
      <c r="AQ532" s="1968"/>
      <c r="AR532" s="1968"/>
      <c r="AS532" s="1968"/>
      <c r="AT532" s="1968"/>
      <c r="AU532" s="1968"/>
      <c r="AV532" s="1968"/>
      <c r="AW532" s="1968"/>
      <c r="AX532" s="1968"/>
      <c r="AY532" s="1968"/>
      <c r="AZ532" s="1968"/>
      <c r="BA532" s="1968"/>
      <c r="BB532" s="1968"/>
      <c r="BC532" s="1968"/>
      <c r="BD532" s="1968"/>
      <c r="BE532" s="1968"/>
      <c r="BF532" s="1968"/>
      <c r="BG532" s="7235"/>
    </row>
    <row customHeight="1" ht="11.25">
      <c r="A533" s="1312" t="s">
        <v>1069</v>
      </c>
      <c r="B533" s="1312"/>
      <c r="C533" s="1312"/>
      <c r="D533" s="1306"/>
      <c r="E533" s="1316"/>
      <c r="F533" s="1974"/>
      <c r="G533" s="1975"/>
      <c r="H533" s="2674" t="s">
        <v>1190</v>
      </c>
      <c r="I533" s="2675"/>
      <c r="J533" s="2644"/>
      <c r="K533" s="2676"/>
      <c r="L533" s="2266"/>
      <c r="M533" s="2267"/>
      <c r="N533" s="2667"/>
      <c r="O533" s="2668"/>
      <c r="P533" s="2671"/>
      <c r="Q533" s="8645"/>
      <c r="R533" s="2672"/>
      <c r="S533" s="2673"/>
      <c r="T533" s="2672"/>
      <c r="U533" s="2672"/>
      <c r="V533" s="2672"/>
      <c r="W533" s="2672"/>
      <c r="X533" s="2672"/>
      <c r="Y533" s="2672"/>
      <c r="Z533" s="1321"/>
      <c r="AA533" s="1322"/>
      <c r="AB533" s="1387" t="s">
        <v>1107</v>
      </c>
      <c r="AC533" s="1326"/>
      <c r="AD533" s="1326"/>
      <c r="AE533" s="1328"/>
      <c r="AF533" s="2665"/>
      <c r="AG533" s="2666"/>
      <c r="AH533" s="2666"/>
      <c r="AI533" s="8647"/>
      <c r="AJ533" s="2666"/>
      <c r="AK533" s="2666"/>
      <c r="AL533" s="2131"/>
      <c r="AM533" s="1968"/>
      <c r="AN533" s="1968"/>
      <c r="AO533" s="1968"/>
      <c r="AP533" s="1968"/>
      <c r="AQ533" s="1968"/>
      <c r="AR533" s="1968"/>
      <c r="AS533" s="1968"/>
      <c r="AT533" s="1968"/>
      <c r="AU533" s="1968"/>
      <c r="AV533" s="1968"/>
      <c r="AW533" s="1968"/>
      <c r="AX533" s="1968"/>
      <c r="AY533" s="1968"/>
      <c r="AZ533" s="1968"/>
      <c r="BA533" s="1968"/>
      <c r="BB533" s="1968"/>
      <c r="BC533" s="1968"/>
      <c r="BD533" s="1968"/>
      <c r="BE533" s="1968"/>
      <c r="BF533" s="1968"/>
      <c r="BG533" s="7235"/>
    </row>
    <row customHeight="1" ht="11.25">
      <c r="A534" s="1312" t="s">
        <v>1069</v>
      </c>
      <c r="B534" s="1312"/>
      <c r="C534" s="1312"/>
      <c r="D534" s="1306"/>
      <c r="E534" s="1316"/>
      <c r="F534" s="1974"/>
      <c r="G534" s="1975"/>
      <c r="H534" s="2674" t="s">
        <v>1190</v>
      </c>
      <c r="I534" s="2675"/>
      <c r="J534" s="2644"/>
      <c r="K534" s="2676"/>
      <c r="L534" s="2266"/>
      <c r="M534" s="2267"/>
      <c r="N534" s="1321"/>
      <c r="O534" s="1322"/>
      <c r="P534" s="1314" t="s">
        <v>1108</v>
      </c>
      <c r="Q534" s="1322"/>
      <c r="R534" s="1322"/>
      <c r="S534" s="1322"/>
      <c r="T534" s="1322"/>
      <c r="U534" s="1322"/>
      <c r="V534" s="1322"/>
      <c r="W534" s="1322"/>
      <c r="X534" s="1322"/>
      <c r="Y534" s="1322"/>
      <c r="Z534" s="1322"/>
      <c r="AA534" s="1322"/>
      <c r="AB534" s="1322"/>
      <c r="AC534" s="1322"/>
      <c r="AD534" s="1322"/>
      <c r="AE534" s="1329"/>
      <c r="AF534" s="2665"/>
      <c r="AG534" s="2666"/>
      <c r="AH534" s="2666"/>
      <c r="AI534" s="8647"/>
      <c r="AJ534" s="2666"/>
      <c r="AK534" s="2666"/>
      <c r="AL534" s="2131"/>
      <c r="AM534" s="1968"/>
      <c r="AN534" s="1968"/>
      <c r="AO534" s="1968"/>
      <c r="AP534" s="1968"/>
      <c r="AQ534" s="1968"/>
      <c r="AR534" s="1968"/>
      <c r="AS534" s="1968"/>
      <c r="AT534" s="1968"/>
      <c r="AU534" s="1968"/>
      <c r="AV534" s="1968"/>
      <c r="AW534" s="1968"/>
      <c r="AX534" s="1968"/>
      <c r="AY534" s="1968"/>
      <c r="AZ534" s="1968"/>
      <c r="BA534" s="1968"/>
      <c r="BB534" s="1968"/>
      <c r="BC534" s="1968"/>
      <c r="BD534" s="1968"/>
      <c r="BE534" s="1968"/>
      <c r="BF534" s="1968"/>
      <c r="BG534" s="7235"/>
    </row>
    <row customHeight="1" ht="11.25">
      <c r="A535" s="1312" t="s">
        <v>1069</v>
      </c>
      <c r="B535" s="1312" t="s">
        <v>1198</v>
      </c>
      <c r="C535" s="1312"/>
      <c r="D535" s="1306"/>
      <c r="E535" s="1316"/>
      <c r="F535" s="1974"/>
      <c r="G535" s="7143" t="s">
        <v>106</v>
      </c>
      <c r="H535" s="2674" t="s">
        <v>1199</v>
      </c>
      <c r="I535" s="2675" t="s">
        <v>1200</v>
      </c>
      <c r="J535" s="2644" t="s">
        <v>1206</v>
      </c>
      <c r="K535" s="2676" t="s">
        <v>1291</v>
      </c>
      <c r="L535" s="2266" t="s">
        <v>19</v>
      </c>
      <c r="M535" s="2267"/>
      <c r="N535" s="2129"/>
      <c r="O535" s="1323" t="s">
        <v>398</v>
      </c>
      <c r="P535" s="1324"/>
      <c r="Q535" s="1324"/>
      <c r="R535" s="1324"/>
      <c r="S535" s="1324"/>
      <c r="T535" s="1324"/>
      <c r="U535" s="1324"/>
      <c r="V535" s="1324"/>
      <c r="W535" s="1324"/>
      <c r="X535" s="1324"/>
      <c r="Y535" s="1324"/>
      <c r="Z535" s="1324"/>
      <c r="AA535" s="1324"/>
      <c r="AB535" s="1324"/>
      <c r="AC535" s="1324"/>
      <c r="AD535" s="1324"/>
      <c r="AE535" s="1324"/>
      <c r="AF535" s="2665">
        <v>2026</v>
      </c>
      <c r="AG535" s="2666" t="s">
        <v>1103</v>
      </c>
      <c r="AH535" s="2666" t="s">
        <v>1162</v>
      </c>
      <c r="AI535" s="8647"/>
      <c r="AJ535" s="2666" t="s">
        <v>1105</v>
      </c>
      <c r="AK535" s="2666" t="s">
        <v>1105</v>
      </c>
      <c r="AL535" s="2131"/>
      <c r="AM535" s="1968"/>
      <c r="AN535" s="1968"/>
      <c r="AO535" s="1968"/>
      <c r="AP535" s="1968"/>
      <c r="AQ535" s="1968"/>
      <c r="AR535" s="1968"/>
      <c r="AS535" s="1968"/>
      <c r="AT535" s="1968"/>
      <c r="AU535" s="1968"/>
      <c r="AV535" s="1968"/>
      <c r="AW535" s="1968"/>
      <c r="AX535" s="1968"/>
      <c r="AY535" s="1968"/>
      <c r="AZ535" s="1968"/>
      <c r="BA535" s="1968"/>
      <c r="BB535" s="1968"/>
      <c r="BC535" s="1968"/>
      <c r="BD535" s="1968"/>
      <c r="BE535" s="1968"/>
      <c r="BF535" s="1968"/>
      <c r="BG535" s="7235"/>
    </row>
    <row customHeight="1" ht="11.25">
      <c r="A536" s="1312" t="s">
        <v>1069</v>
      </c>
      <c r="B536" s="1312"/>
      <c r="C536" s="1312"/>
      <c r="D536" s="1306"/>
      <c r="E536" s="1316"/>
      <c r="F536" s="1974"/>
      <c r="G536" s="1975"/>
      <c r="H536" s="2674" t="s">
        <v>1196</v>
      </c>
      <c r="I536" s="2675"/>
      <c r="J536" s="2644"/>
      <c r="K536" s="2676"/>
      <c r="L536" s="2266"/>
      <c r="M536" s="2267"/>
      <c r="N536" s="2667"/>
      <c r="O536" s="2668">
        <v>1</v>
      </c>
      <c r="P536" s="2669" t="s">
        <v>63</v>
      </c>
      <c r="Q536" s="8645" t="s">
        <v>1208</v>
      </c>
      <c r="R536" s="8646" t="s">
        <v>1114</v>
      </c>
      <c r="S536" s="8646" t="s">
        <v>113</v>
      </c>
      <c r="T536" s="8646" t="s">
        <v>113</v>
      </c>
      <c r="U536" s="8646" t="s">
        <v>114</v>
      </c>
      <c r="V536" s="8646" t="s">
        <v>1115</v>
      </c>
      <c r="W536" s="8646" t="s">
        <v>1116</v>
      </c>
      <c r="X536" s="8646" t="s">
        <v>1209</v>
      </c>
      <c r="Y536" s="8646" t="s">
        <v>121</v>
      </c>
      <c r="Z536" s="1321"/>
      <c r="AA536" s="1322"/>
      <c r="AB536" s="1322"/>
      <c r="AC536" s="1326"/>
      <c r="AD536" s="1326"/>
      <c r="AE536" s="1327"/>
      <c r="AF536" s="2665"/>
      <c r="AG536" s="2666"/>
      <c r="AH536" s="2666"/>
      <c r="AI536" s="8647"/>
      <c r="AJ536" s="2666"/>
      <c r="AK536" s="2666"/>
      <c r="AL536" s="2131"/>
      <c r="AM536" s="1968"/>
      <c r="AN536" s="1968"/>
      <c r="AO536" s="1968"/>
      <c r="AP536" s="1968"/>
      <c r="AQ536" s="1968"/>
      <c r="AR536" s="1968"/>
      <c r="AS536" s="1968"/>
      <c r="AT536" s="1968"/>
      <c r="AU536" s="1968"/>
      <c r="AV536" s="1968"/>
      <c r="AW536" s="1968"/>
      <c r="AX536" s="1968"/>
      <c r="AY536" s="1968"/>
      <c r="AZ536" s="1968"/>
      <c r="BA536" s="1968"/>
      <c r="BB536" s="1968"/>
      <c r="BC536" s="1968"/>
      <c r="BD536" s="1968"/>
      <c r="BE536" s="1968"/>
      <c r="BF536" s="1968"/>
      <c r="BG536" s="7235"/>
    </row>
    <row customHeight="1" ht="11.25">
      <c r="A537" s="1312" t="s">
        <v>1069</v>
      </c>
      <c r="B537" s="1312"/>
      <c r="C537" s="1312"/>
      <c r="D537" s="1306"/>
      <c r="E537" s="1316"/>
      <c r="F537" s="1974"/>
      <c r="G537" s="1975"/>
      <c r="H537" s="2674" t="s">
        <v>1196</v>
      </c>
      <c r="I537" s="2675"/>
      <c r="J537" s="2644"/>
      <c r="K537" s="2676"/>
      <c r="L537" s="2266"/>
      <c r="M537" s="2267"/>
      <c r="N537" s="2667"/>
      <c r="O537" s="2668"/>
      <c r="P537" s="2670"/>
      <c r="Q537" s="8645"/>
      <c r="R537" s="2672"/>
      <c r="S537" s="2673"/>
      <c r="T537" s="2672"/>
      <c r="U537" s="2672"/>
      <c r="V537" s="2672"/>
      <c r="W537" s="2672"/>
      <c r="X537" s="2672"/>
      <c r="Y537" s="2672"/>
      <c r="Z537" s="1973"/>
      <c r="AA537" s="1939">
        <v>1</v>
      </c>
      <c r="AB537" s="1325" t="s">
        <v>1131</v>
      </c>
      <c r="AC537" s="1315">
        <v>125022</v>
      </c>
      <c r="AD537" s="1325" t="str">
        <f>AB537</f>
        <v>      Прочие амортизационные отчисления</v>
      </c>
      <c r="AE537" s="1315">
        <v>145523</v>
      </c>
      <c r="AF537" s="2665"/>
      <c r="AG537" s="2666"/>
      <c r="AH537" s="2666"/>
      <c r="AI537" s="8647"/>
      <c r="AJ537" s="2666"/>
      <c r="AK537" s="2666"/>
      <c r="AL537" s="2131"/>
      <c r="AM537" s="1968"/>
      <c r="AN537" s="1968"/>
      <c r="AO537" s="1968"/>
      <c r="AP537" s="1968"/>
      <c r="AQ537" s="1968"/>
      <c r="AR537" s="1968"/>
      <c r="AS537" s="1968"/>
      <c r="AT537" s="1968"/>
      <c r="AU537" s="1968"/>
      <c r="AV537" s="1968"/>
      <c r="AW537" s="1968"/>
      <c r="AX537" s="1968"/>
      <c r="AY537" s="1968"/>
      <c r="AZ537" s="1968"/>
      <c r="BA537" s="1968"/>
      <c r="BB537" s="1968"/>
      <c r="BC537" s="1968"/>
      <c r="BD537" s="1968"/>
      <c r="BE537" s="1968"/>
      <c r="BF537" s="1968"/>
      <c r="BG537" s="7235"/>
    </row>
    <row customHeight="1" ht="11.25">
      <c r="A538" s="1312" t="s">
        <v>1069</v>
      </c>
      <c r="B538" s="1312"/>
      <c r="C538" s="1312"/>
      <c r="D538" s="1306"/>
      <c r="E538" s="1316"/>
      <c r="F538" s="1975"/>
      <c r="G538" s="1975"/>
      <c r="H538" s="1975"/>
      <c r="I538" s="1975"/>
      <c r="J538" s="1975"/>
      <c r="K538" s="1975"/>
      <c r="L538" s="1975"/>
      <c r="M538" s="1975"/>
      <c r="N538" s="1975"/>
      <c r="O538" s="1975"/>
      <c r="P538" s="1975"/>
      <c r="Q538" s="1975"/>
      <c r="R538" s="1975"/>
      <c r="S538" s="1975"/>
      <c r="T538" s="1975"/>
      <c r="U538" s="1975"/>
      <c r="V538" s="1975"/>
      <c r="W538" s="1975"/>
      <c r="X538" s="1975"/>
      <c r="Y538" s="1975"/>
      <c r="Z538" s="7143" t="s">
        <v>106</v>
      </c>
      <c r="AA538" s="1959" t="s">
        <v>105</v>
      </c>
      <c r="AB538" s="1325" t="s">
        <v>1210</v>
      </c>
      <c r="AC538" s="1315">
        <v>547837</v>
      </c>
      <c r="AD538" s="1325" t="s">
        <v>1210</v>
      </c>
      <c r="AE538" s="1315">
        <v>568845</v>
      </c>
      <c r="AF538" s="2232"/>
      <c r="AG538" s="1904"/>
      <c r="AH538" s="1904"/>
      <c r="AI538" s="2232"/>
      <c r="AJ538" s="1904"/>
      <c r="AK538" s="2130"/>
      <c r="AL538" s="2131"/>
      <c r="AM538" s="1968"/>
      <c r="AN538" s="1968"/>
      <c r="AO538" s="1968"/>
      <c r="AP538" s="1968"/>
      <c r="AQ538" s="1968"/>
      <c r="AR538" s="1968"/>
      <c r="AS538" s="1968"/>
      <c r="AT538" s="1968"/>
      <c r="AU538" s="1968"/>
      <c r="AV538" s="1968"/>
      <c r="AW538" s="1968"/>
      <c r="AX538" s="1968"/>
      <c r="AY538" s="1968"/>
      <c r="AZ538" s="1968"/>
      <c r="BA538" s="1968"/>
      <c r="BB538" s="1968"/>
      <c r="BC538" s="1968"/>
      <c r="BD538" s="1968"/>
      <c r="BE538" s="1968"/>
      <c r="BF538" s="1968"/>
      <c r="BG538" s="7235"/>
    </row>
    <row customHeight="1" ht="11.25">
      <c r="A539" s="1312" t="s">
        <v>1069</v>
      </c>
      <c r="B539" s="1312"/>
      <c r="C539" s="1312"/>
      <c r="D539" s="1306"/>
      <c r="E539" s="1316"/>
      <c r="F539" s="1974"/>
      <c r="G539" s="1975"/>
      <c r="H539" s="2674" t="s">
        <v>1196</v>
      </c>
      <c r="I539" s="2675"/>
      <c r="J539" s="2644"/>
      <c r="K539" s="2676"/>
      <c r="L539" s="2266"/>
      <c r="M539" s="2267"/>
      <c r="N539" s="2667"/>
      <c r="O539" s="2668"/>
      <c r="P539" s="2671"/>
      <c r="Q539" s="8645"/>
      <c r="R539" s="2672"/>
      <c r="S539" s="2673"/>
      <c r="T539" s="2672"/>
      <c r="U539" s="2672"/>
      <c r="V539" s="2672"/>
      <c r="W539" s="2672"/>
      <c r="X539" s="2672"/>
      <c r="Y539" s="2672"/>
      <c r="Z539" s="1321"/>
      <c r="AA539" s="1322"/>
      <c r="AB539" s="1387" t="s">
        <v>1107</v>
      </c>
      <c r="AC539" s="1326"/>
      <c r="AD539" s="1326"/>
      <c r="AE539" s="1328"/>
      <c r="AF539" s="2665"/>
      <c r="AG539" s="2666"/>
      <c r="AH539" s="2666"/>
      <c r="AI539" s="8647"/>
      <c r="AJ539" s="2666"/>
      <c r="AK539" s="2666"/>
      <c r="AL539" s="2131"/>
      <c r="AM539" s="1968"/>
      <c r="AN539" s="1968"/>
      <c r="AO539" s="1968"/>
      <c r="AP539" s="1968"/>
      <c r="AQ539" s="1968"/>
      <c r="AR539" s="1968"/>
      <c r="AS539" s="1968"/>
      <c r="AT539" s="1968"/>
      <c r="AU539" s="1968"/>
      <c r="AV539" s="1968"/>
      <c r="AW539" s="1968"/>
      <c r="AX539" s="1968"/>
      <c r="AY539" s="1968"/>
      <c r="AZ539" s="1968"/>
      <c r="BA539" s="1968"/>
      <c r="BB539" s="1968"/>
      <c r="BC539" s="1968"/>
      <c r="BD539" s="1968"/>
      <c r="BE539" s="1968"/>
      <c r="BF539" s="1968"/>
      <c r="BG539" s="7235"/>
    </row>
    <row customHeight="1" ht="11.25">
      <c r="A540" s="1312" t="s">
        <v>1069</v>
      </c>
      <c r="B540" s="1312"/>
      <c r="C540" s="1312"/>
      <c r="D540" s="1306"/>
      <c r="E540" s="1316"/>
      <c r="F540" s="1974"/>
      <c r="G540" s="1975"/>
      <c r="H540" s="2674" t="s">
        <v>1196</v>
      </c>
      <c r="I540" s="2675"/>
      <c r="J540" s="2644"/>
      <c r="K540" s="2676"/>
      <c r="L540" s="2266"/>
      <c r="M540" s="2267"/>
      <c r="N540" s="1321"/>
      <c r="O540" s="1322"/>
      <c r="P540" s="1314" t="s">
        <v>1108</v>
      </c>
      <c r="Q540" s="1322"/>
      <c r="R540" s="1322"/>
      <c r="S540" s="1322"/>
      <c r="T540" s="1322"/>
      <c r="U540" s="1322"/>
      <c r="V540" s="1322"/>
      <c r="W540" s="1322"/>
      <c r="X540" s="1322"/>
      <c r="Y540" s="1322"/>
      <c r="Z540" s="1322"/>
      <c r="AA540" s="1322"/>
      <c r="AB540" s="1322"/>
      <c r="AC540" s="1322"/>
      <c r="AD540" s="1322"/>
      <c r="AE540" s="1329"/>
      <c r="AF540" s="2665"/>
      <c r="AG540" s="2666"/>
      <c r="AH540" s="2666"/>
      <c r="AI540" s="8647"/>
      <c r="AJ540" s="2666"/>
      <c r="AK540" s="2666"/>
      <c r="AL540" s="2131"/>
      <c r="AM540" s="1968"/>
      <c r="AN540" s="1968"/>
      <c r="AO540" s="1968"/>
      <c r="AP540" s="1968"/>
      <c r="AQ540" s="1968"/>
      <c r="AR540" s="1968"/>
      <c r="AS540" s="1968"/>
      <c r="AT540" s="1968"/>
      <c r="AU540" s="1968"/>
      <c r="AV540" s="1968"/>
      <c r="AW540" s="1968"/>
      <c r="AX540" s="1968"/>
      <c r="AY540" s="1968"/>
      <c r="AZ540" s="1968"/>
      <c r="BA540" s="1968"/>
      <c r="BB540" s="1968"/>
      <c r="BC540" s="1968"/>
      <c r="BD540" s="1968"/>
      <c r="BE540" s="1968"/>
      <c r="BF540" s="1968"/>
      <c r="BG540" s="7235"/>
    </row>
    <row customHeight="1" ht="11.25">
      <c r="A541" s="1312" t="s">
        <v>1069</v>
      </c>
      <c r="B541" s="1312" t="s">
        <v>1198</v>
      </c>
      <c r="C541" s="1312"/>
      <c r="D541" s="1306"/>
      <c r="E541" s="1316"/>
      <c r="F541" s="1974"/>
      <c r="G541" s="7143" t="s">
        <v>106</v>
      </c>
      <c r="H541" s="2674" t="s">
        <v>1141</v>
      </c>
      <c r="I541" s="2675" t="s">
        <v>1200</v>
      </c>
      <c r="J541" s="2644" t="s">
        <v>1206</v>
      </c>
      <c r="K541" s="2676" t="s">
        <v>1292</v>
      </c>
      <c r="L541" s="2266" t="s">
        <v>19</v>
      </c>
      <c r="M541" s="2267"/>
      <c r="N541" s="2129"/>
      <c r="O541" s="1323" t="s">
        <v>398</v>
      </c>
      <c r="P541" s="1324"/>
      <c r="Q541" s="1324"/>
      <c r="R541" s="1324"/>
      <c r="S541" s="1324"/>
      <c r="T541" s="1324"/>
      <c r="U541" s="1324"/>
      <c r="V541" s="1324"/>
      <c r="W541" s="1324"/>
      <c r="X541" s="1324"/>
      <c r="Y541" s="1324"/>
      <c r="Z541" s="1324"/>
      <c r="AA541" s="1324"/>
      <c r="AB541" s="1324"/>
      <c r="AC541" s="1324"/>
      <c r="AD541" s="1324"/>
      <c r="AE541" s="1324"/>
      <c r="AF541" s="2665">
        <v>2025</v>
      </c>
      <c r="AG541" s="2666" t="s">
        <v>1103</v>
      </c>
      <c r="AH541" s="2666" t="s">
        <v>1159</v>
      </c>
      <c r="AI541" s="8647"/>
      <c r="AJ541" s="2666" t="s">
        <v>1105</v>
      </c>
      <c r="AK541" s="2666" t="s">
        <v>1105</v>
      </c>
      <c r="AL541" s="2131"/>
      <c r="AM541" s="1968"/>
      <c r="AN541" s="1968"/>
      <c r="AO541" s="1968"/>
      <c r="AP541" s="1968"/>
      <c r="AQ541" s="1968"/>
      <c r="AR541" s="1968"/>
      <c r="AS541" s="1968"/>
      <c r="AT541" s="1968"/>
      <c r="AU541" s="1968"/>
      <c r="AV541" s="1968"/>
      <c r="AW541" s="1968"/>
      <c r="AX541" s="1968"/>
      <c r="AY541" s="1968"/>
      <c r="AZ541" s="1968"/>
      <c r="BA541" s="1968"/>
      <c r="BB541" s="1968"/>
      <c r="BC541" s="1968"/>
      <c r="BD541" s="1968"/>
      <c r="BE541" s="1968"/>
      <c r="BF541" s="1968"/>
      <c r="BG541" s="7235"/>
    </row>
    <row customHeight="1" ht="11.25">
      <c r="A542" s="1312" t="s">
        <v>1069</v>
      </c>
      <c r="B542" s="1312"/>
      <c r="C542" s="1312"/>
      <c r="D542" s="1306"/>
      <c r="E542" s="1316"/>
      <c r="F542" s="1974"/>
      <c r="G542" s="1975"/>
      <c r="H542" s="2674" t="s">
        <v>1199</v>
      </c>
      <c r="I542" s="2675"/>
      <c r="J542" s="2644"/>
      <c r="K542" s="2676"/>
      <c r="L542" s="2266"/>
      <c r="M542" s="2267"/>
      <c r="N542" s="2667"/>
      <c r="O542" s="2668">
        <v>1</v>
      </c>
      <c r="P542" s="2669" t="s">
        <v>63</v>
      </c>
      <c r="Q542" s="8645" t="s">
        <v>1208</v>
      </c>
      <c r="R542" s="8646" t="s">
        <v>1114</v>
      </c>
      <c r="S542" s="8646" t="s">
        <v>113</v>
      </c>
      <c r="T542" s="8646" t="s">
        <v>113</v>
      </c>
      <c r="U542" s="8646" t="s">
        <v>114</v>
      </c>
      <c r="V542" s="8646" t="s">
        <v>1115</v>
      </c>
      <c r="W542" s="8646" t="s">
        <v>1116</v>
      </c>
      <c r="X542" s="8646" t="s">
        <v>1209</v>
      </c>
      <c r="Y542" s="8646" t="s">
        <v>121</v>
      </c>
      <c r="Z542" s="1321"/>
      <c r="AA542" s="1322"/>
      <c r="AB542" s="1322"/>
      <c r="AC542" s="1326"/>
      <c r="AD542" s="1326"/>
      <c r="AE542" s="1327"/>
      <c r="AF542" s="2665"/>
      <c r="AG542" s="2666"/>
      <c r="AH542" s="2666"/>
      <c r="AI542" s="8647"/>
      <c r="AJ542" s="2666"/>
      <c r="AK542" s="2666"/>
      <c r="AL542" s="2131"/>
      <c r="AM542" s="1968"/>
      <c r="AN542" s="1968"/>
      <c r="AO542" s="1968"/>
      <c r="AP542" s="1968"/>
      <c r="AQ542" s="1968"/>
      <c r="AR542" s="1968"/>
      <c r="AS542" s="1968"/>
      <c r="AT542" s="1968"/>
      <c r="AU542" s="1968"/>
      <c r="AV542" s="1968"/>
      <c r="AW542" s="1968"/>
      <c r="AX542" s="1968"/>
      <c r="AY542" s="1968"/>
      <c r="AZ542" s="1968"/>
      <c r="BA542" s="1968"/>
      <c r="BB542" s="1968"/>
      <c r="BC542" s="1968"/>
      <c r="BD542" s="1968"/>
      <c r="BE542" s="1968"/>
      <c r="BF542" s="1968"/>
      <c r="BG542" s="7235"/>
    </row>
    <row customHeight="1" ht="11.25">
      <c r="A543" s="1312" t="s">
        <v>1069</v>
      </c>
      <c r="B543" s="1312"/>
      <c r="C543" s="1312"/>
      <c r="D543" s="1306"/>
      <c r="E543" s="1316"/>
      <c r="F543" s="1974"/>
      <c r="G543" s="1975"/>
      <c r="H543" s="2674" t="s">
        <v>1199</v>
      </c>
      <c r="I543" s="2675"/>
      <c r="J543" s="2644"/>
      <c r="K543" s="2676"/>
      <c r="L543" s="2266"/>
      <c r="M543" s="2267"/>
      <c r="N543" s="2667"/>
      <c r="O543" s="2668"/>
      <c r="P543" s="2670"/>
      <c r="Q543" s="8645"/>
      <c r="R543" s="2672"/>
      <c r="S543" s="2673"/>
      <c r="T543" s="2672"/>
      <c r="U543" s="2672"/>
      <c r="V543" s="2672"/>
      <c r="W543" s="2672"/>
      <c r="X543" s="2672"/>
      <c r="Y543" s="2672"/>
      <c r="Z543" s="1973"/>
      <c r="AA543" s="1939">
        <v>1</v>
      </c>
      <c r="AB543" s="1325" t="s">
        <v>1210</v>
      </c>
      <c r="AC543" s="1315">
        <v>348107</v>
      </c>
      <c r="AD543" s="1325" t="str">
        <f>AB543</f>
        <v>  Кредиты</v>
      </c>
      <c r="AE543" s="1315">
        <v>271055</v>
      </c>
      <c r="AF543" s="2665"/>
      <c r="AG543" s="2666"/>
      <c r="AH543" s="2666"/>
      <c r="AI543" s="8647"/>
      <c r="AJ543" s="2666"/>
      <c r="AK543" s="2666"/>
      <c r="AL543" s="2131"/>
      <c r="AM543" s="1968"/>
      <c r="AN543" s="1968"/>
      <c r="AO543" s="1968"/>
      <c r="AP543" s="1968"/>
      <c r="AQ543" s="1968"/>
      <c r="AR543" s="1968"/>
      <c r="AS543" s="1968"/>
      <c r="AT543" s="1968"/>
      <c r="AU543" s="1968"/>
      <c r="AV543" s="1968"/>
      <c r="AW543" s="1968"/>
      <c r="AX543" s="1968"/>
      <c r="AY543" s="1968"/>
      <c r="AZ543" s="1968"/>
      <c r="BA543" s="1968"/>
      <c r="BB543" s="1968"/>
      <c r="BC543" s="1968"/>
      <c r="BD543" s="1968"/>
      <c r="BE543" s="1968"/>
      <c r="BF543" s="1968"/>
      <c r="BG543" s="7235"/>
    </row>
    <row customHeight="1" ht="11.25">
      <c r="A544" s="1312" t="s">
        <v>1069</v>
      </c>
      <c r="B544" s="1312"/>
      <c r="C544" s="1312"/>
      <c r="D544" s="1306"/>
      <c r="E544" s="1316"/>
      <c r="F544" s="1974"/>
      <c r="G544" s="1975"/>
      <c r="H544" s="2674" t="s">
        <v>1199</v>
      </c>
      <c r="I544" s="2675"/>
      <c r="J544" s="2644"/>
      <c r="K544" s="2676"/>
      <c r="L544" s="2266"/>
      <c r="M544" s="2267"/>
      <c r="N544" s="2667"/>
      <c r="O544" s="2668"/>
      <c r="P544" s="2671"/>
      <c r="Q544" s="8645"/>
      <c r="R544" s="2672"/>
      <c r="S544" s="2673"/>
      <c r="T544" s="2672"/>
      <c r="U544" s="2672"/>
      <c r="V544" s="2672"/>
      <c r="W544" s="2672"/>
      <c r="X544" s="2672"/>
      <c r="Y544" s="2672"/>
      <c r="Z544" s="1321"/>
      <c r="AA544" s="1322"/>
      <c r="AB544" s="1387" t="s">
        <v>1107</v>
      </c>
      <c r="AC544" s="1326"/>
      <c r="AD544" s="1326"/>
      <c r="AE544" s="1328"/>
      <c r="AF544" s="2665"/>
      <c r="AG544" s="2666"/>
      <c r="AH544" s="2666"/>
      <c r="AI544" s="8647"/>
      <c r="AJ544" s="2666"/>
      <c r="AK544" s="2666"/>
      <c r="AL544" s="2131"/>
      <c r="AM544" s="1968"/>
      <c r="AN544" s="1968"/>
      <c r="AO544" s="1968"/>
      <c r="AP544" s="1968"/>
      <c r="AQ544" s="1968"/>
      <c r="AR544" s="1968"/>
      <c r="AS544" s="1968"/>
      <c r="AT544" s="1968"/>
      <c r="AU544" s="1968"/>
      <c r="AV544" s="1968"/>
      <c r="AW544" s="1968"/>
      <c r="AX544" s="1968"/>
      <c r="AY544" s="1968"/>
      <c r="AZ544" s="1968"/>
      <c r="BA544" s="1968"/>
      <c r="BB544" s="1968"/>
      <c r="BC544" s="1968"/>
      <c r="BD544" s="1968"/>
      <c r="BE544" s="1968"/>
      <c r="BF544" s="1968"/>
      <c r="BG544" s="7235"/>
    </row>
    <row customHeight="1" ht="11.25">
      <c r="A545" s="1312" t="s">
        <v>1069</v>
      </c>
      <c r="B545" s="1312"/>
      <c r="C545" s="1312"/>
      <c r="D545" s="1306"/>
      <c r="E545" s="1316"/>
      <c r="F545" s="1974"/>
      <c r="G545" s="1975"/>
      <c r="H545" s="2674" t="s">
        <v>1199</v>
      </c>
      <c r="I545" s="2675"/>
      <c r="J545" s="2644"/>
      <c r="K545" s="2676"/>
      <c r="L545" s="2266"/>
      <c r="M545" s="2267"/>
      <c r="N545" s="1321"/>
      <c r="O545" s="1322"/>
      <c r="P545" s="1314" t="s">
        <v>1108</v>
      </c>
      <c r="Q545" s="1322"/>
      <c r="R545" s="1322"/>
      <c r="S545" s="1322"/>
      <c r="T545" s="1322"/>
      <c r="U545" s="1322"/>
      <c r="V545" s="1322"/>
      <c r="W545" s="1322"/>
      <c r="X545" s="1322"/>
      <c r="Y545" s="1322"/>
      <c r="Z545" s="1322"/>
      <c r="AA545" s="1322"/>
      <c r="AB545" s="1322"/>
      <c r="AC545" s="1322"/>
      <c r="AD545" s="1322"/>
      <c r="AE545" s="1329"/>
      <c r="AF545" s="2665"/>
      <c r="AG545" s="2666"/>
      <c r="AH545" s="2666"/>
      <c r="AI545" s="8647"/>
      <c r="AJ545" s="2666"/>
      <c r="AK545" s="2666"/>
      <c r="AL545" s="2131"/>
      <c r="AM545" s="1968"/>
      <c r="AN545" s="1968"/>
      <c r="AO545" s="1968"/>
      <c r="AP545" s="1968"/>
      <c r="AQ545" s="1968"/>
      <c r="AR545" s="1968"/>
      <c r="AS545" s="1968"/>
      <c r="AT545" s="1968"/>
      <c r="AU545" s="1968"/>
      <c r="AV545" s="1968"/>
      <c r="AW545" s="1968"/>
      <c r="AX545" s="1968"/>
      <c r="AY545" s="1968"/>
      <c r="AZ545" s="1968"/>
      <c r="BA545" s="1968"/>
      <c r="BB545" s="1968"/>
      <c r="BC545" s="1968"/>
      <c r="BD545" s="1968"/>
      <c r="BE545" s="1968"/>
      <c r="BF545" s="1968"/>
      <c r="BG545" s="7235"/>
    </row>
    <row customHeight="1" ht="11.25">
      <c r="A546" s="1312" t="s">
        <v>1069</v>
      </c>
      <c r="B546" s="1312" t="s">
        <v>1198</v>
      </c>
      <c r="C546" s="1312"/>
      <c r="D546" s="1306"/>
      <c r="E546" s="1316"/>
      <c r="F546" s="1974"/>
      <c r="G546" s="7143" t="s">
        <v>106</v>
      </c>
      <c r="H546" s="2674" t="s">
        <v>1204</v>
      </c>
      <c r="I546" s="2675" t="s">
        <v>1200</v>
      </c>
      <c r="J546" s="2644" t="s">
        <v>1206</v>
      </c>
      <c r="K546" s="2676" t="s">
        <v>1293</v>
      </c>
      <c r="L546" s="2266" t="s">
        <v>19</v>
      </c>
      <c r="M546" s="2267"/>
      <c r="N546" s="2129"/>
      <c r="O546" s="1323" t="s">
        <v>398</v>
      </c>
      <c r="P546" s="1324"/>
      <c r="Q546" s="1324"/>
      <c r="R546" s="1324"/>
      <c r="S546" s="1324"/>
      <c r="T546" s="1324"/>
      <c r="U546" s="1324"/>
      <c r="V546" s="1324"/>
      <c r="W546" s="1324"/>
      <c r="X546" s="1324"/>
      <c r="Y546" s="1324"/>
      <c r="Z546" s="1324"/>
      <c r="AA546" s="1324"/>
      <c r="AB546" s="1324"/>
      <c r="AC546" s="1324"/>
      <c r="AD546" s="1324"/>
      <c r="AE546" s="1324"/>
      <c r="AF546" s="2665">
        <v>2029</v>
      </c>
      <c r="AG546" s="2666" t="s">
        <v>1103</v>
      </c>
      <c r="AH546" s="2666" t="s">
        <v>1215</v>
      </c>
      <c r="AI546" s="8647"/>
      <c r="AJ546" s="2666" t="s">
        <v>1105</v>
      </c>
      <c r="AK546" s="2666" t="s">
        <v>1105</v>
      </c>
      <c r="AL546" s="2131"/>
      <c r="AM546" s="1968"/>
      <c r="AN546" s="1968"/>
      <c r="AO546" s="1968"/>
      <c r="AP546" s="1968"/>
      <c r="AQ546" s="1968"/>
      <c r="AR546" s="1968"/>
      <c r="AS546" s="1968"/>
      <c r="AT546" s="1968"/>
      <c r="AU546" s="1968"/>
      <c r="AV546" s="1968"/>
      <c r="AW546" s="1968"/>
      <c r="AX546" s="1968"/>
      <c r="AY546" s="1968"/>
      <c r="AZ546" s="1968"/>
      <c r="BA546" s="1968"/>
      <c r="BB546" s="1968"/>
      <c r="BC546" s="1968"/>
      <c r="BD546" s="1968"/>
      <c r="BE546" s="1968"/>
      <c r="BF546" s="1968"/>
      <c r="BG546" s="7235"/>
    </row>
    <row customHeight="1" ht="11.25">
      <c r="A547" s="1312" t="s">
        <v>1069</v>
      </c>
      <c r="B547" s="1312"/>
      <c r="C547" s="1312"/>
      <c r="D547" s="1306"/>
      <c r="E547" s="1316"/>
      <c r="F547" s="1974"/>
      <c r="G547" s="1975"/>
      <c r="H547" s="2674" t="s">
        <v>1141</v>
      </c>
      <c r="I547" s="2675"/>
      <c r="J547" s="2644"/>
      <c r="K547" s="2676"/>
      <c r="L547" s="2266"/>
      <c r="M547" s="2267"/>
      <c r="N547" s="2667"/>
      <c r="O547" s="2668">
        <v>1</v>
      </c>
      <c r="P547" s="2669" t="s">
        <v>63</v>
      </c>
      <c r="Q547" s="8664" t="s">
        <v>1208</v>
      </c>
      <c r="R547" s="8665" t="s">
        <v>1114</v>
      </c>
      <c r="S547" s="8665" t="s">
        <v>113</v>
      </c>
      <c r="T547" s="8665" t="s">
        <v>113</v>
      </c>
      <c r="U547" s="8665" t="s">
        <v>114</v>
      </c>
      <c r="V547" s="8665" t="s">
        <v>1115</v>
      </c>
      <c r="W547" s="8665" t="s">
        <v>1116</v>
      </c>
      <c r="X547" s="8665" t="s">
        <v>1209</v>
      </c>
      <c r="Y547" s="8665" t="s">
        <v>121</v>
      </c>
      <c r="Z547" s="1321"/>
      <c r="AA547" s="1322"/>
      <c r="AB547" s="1322"/>
      <c r="AC547" s="1326"/>
      <c r="AD547" s="1326"/>
      <c r="AE547" s="1327"/>
      <c r="AF547" s="2665"/>
      <c r="AG547" s="2666"/>
      <c r="AH547" s="2666"/>
      <c r="AI547" s="8647"/>
      <c r="AJ547" s="2666"/>
      <c r="AK547" s="2666"/>
      <c r="AL547" s="2131"/>
      <c r="AM547" s="1968"/>
      <c r="AN547" s="1968"/>
      <c r="AO547" s="1968"/>
      <c r="AP547" s="1968"/>
      <c r="AQ547" s="1968"/>
      <c r="AR547" s="1968"/>
      <c r="AS547" s="1968"/>
      <c r="AT547" s="1968"/>
      <c r="AU547" s="1968"/>
      <c r="AV547" s="1968"/>
      <c r="AW547" s="1968"/>
      <c r="AX547" s="1968"/>
      <c r="AY547" s="1968"/>
      <c r="AZ547" s="1968"/>
      <c r="BA547" s="1968"/>
      <c r="BB547" s="1968"/>
      <c r="BC547" s="1968"/>
      <c r="BD547" s="1968"/>
      <c r="BE547" s="1968"/>
      <c r="BF547" s="1968"/>
      <c r="BG547" s="7235"/>
    </row>
    <row customHeight="1" ht="11.25">
      <c r="A548" s="1312" t="s">
        <v>1069</v>
      </c>
      <c r="B548" s="1312"/>
      <c r="C548" s="1312"/>
      <c r="D548" s="1306"/>
      <c r="E548" s="1316"/>
      <c r="F548" s="1974"/>
      <c r="G548" s="1975"/>
      <c r="H548" s="2674" t="s">
        <v>1141</v>
      </c>
      <c r="I548" s="2675"/>
      <c r="J548" s="2644"/>
      <c r="K548" s="2676"/>
      <c r="L548" s="2266"/>
      <c r="M548" s="2267"/>
      <c r="N548" s="2667"/>
      <c r="O548" s="2668"/>
      <c r="P548" s="2670"/>
      <c r="Q548" s="8664"/>
      <c r="R548" s="2672"/>
      <c r="S548" s="2673"/>
      <c r="T548" s="2672"/>
      <c r="U548" s="2672"/>
      <c r="V548" s="2672"/>
      <c r="W548" s="2672"/>
      <c r="X548" s="2672"/>
      <c r="Y548" s="2672"/>
      <c r="Z548" s="1973"/>
      <c r="AA548" s="1939">
        <v>1</v>
      </c>
      <c r="AB548" s="1325" t="s">
        <v>1210</v>
      </c>
      <c r="AC548" s="1315">
        <v>14800</v>
      </c>
      <c r="AD548" s="1325" t="str">
        <f>AB548</f>
        <v>  Кредиты</v>
      </c>
      <c r="AE548" s="1315">
        <v>14951</v>
      </c>
      <c r="AF548" s="2665"/>
      <c r="AG548" s="2666"/>
      <c r="AH548" s="2666"/>
      <c r="AI548" s="8647"/>
      <c r="AJ548" s="2666"/>
      <c r="AK548" s="2666"/>
      <c r="AL548" s="2131"/>
      <c r="AM548" s="1968"/>
      <c r="AN548" s="1968"/>
      <c r="AO548" s="1968"/>
      <c r="AP548" s="1968"/>
      <c r="AQ548" s="1968"/>
      <c r="AR548" s="1968"/>
      <c r="AS548" s="1968"/>
      <c r="AT548" s="1968"/>
      <c r="AU548" s="1968"/>
      <c r="AV548" s="1968"/>
      <c r="AW548" s="1968"/>
      <c r="AX548" s="1968"/>
      <c r="AY548" s="1968"/>
      <c r="AZ548" s="1968"/>
      <c r="BA548" s="1968"/>
      <c r="BB548" s="1968"/>
      <c r="BC548" s="1968"/>
      <c r="BD548" s="1968"/>
      <c r="BE548" s="1968"/>
      <c r="BF548" s="1968"/>
      <c r="BG548" s="7235"/>
    </row>
    <row customHeight="1" ht="11.25">
      <c r="A549" s="1312" t="s">
        <v>1069</v>
      </c>
      <c r="B549" s="1312"/>
      <c r="C549" s="1312"/>
      <c r="D549" s="1306"/>
      <c r="E549" s="1316"/>
      <c r="F549" s="1974"/>
      <c r="G549" s="1975"/>
      <c r="H549" s="2674" t="s">
        <v>1141</v>
      </c>
      <c r="I549" s="2675"/>
      <c r="J549" s="2644"/>
      <c r="K549" s="2676"/>
      <c r="L549" s="2266"/>
      <c r="M549" s="2267"/>
      <c r="N549" s="2667"/>
      <c r="O549" s="2668"/>
      <c r="P549" s="2671"/>
      <c r="Q549" s="8664"/>
      <c r="R549" s="2672"/>
      <c r="S549" s="2673"/>
      <c r="T549" s="2672"/>
      <c r="U549" s="2672"/>
      <c r="V549" s="2672"/>
      <c r="W549" s="2672"/>
      <c r="X549" s="2672"/>
      <c r="Y549" s="2672"/>
      <c r="Z549" s="1321"/>
      <c r="AA549" s="1322"/>
      <c r="AB549" s="1387" t="s">
        <v>1107</v>
      </c>
      <c r="AC549" s="1326"/>
      <c r="AD549" s="1326"/>
      <c r="AE549" s="1328"/>
      <c r="AF549" s="2665"/>
      <c r="AG549" s="2666"/>
      <c r="AH549" s="2666"/>
      <c r="AI549" s="8647"/>
      <c r="AJ549" s="2666"/>
      <c r="AK549" s="2666"/>
      <c r="AL549" s="2131"/>
      <c r="AM549" s="1968"/>
      <c r="AN549" s="1968"/>
      <c r="AO549" s="1968"/>
      <c r="AP549" s="1968"/>
      <c r="AQ549" s="1968"/>
      <c r="AR549" s="1968"/>
      <c r="AS549" s="1968"/>
      <c r="AT549" s="1968"/>
      <c r="AU549" s="1968"/>
      <c r="AV549" s="1968"/>
      <c r="AW549" s="1968"/>
      <c r="AX549" s="1968"/>
      <c r="AY549" s="1968"/>
      <c r="AZ549" s="1968"/>
      <c r="BA549" s="1968"/>
      <c r="BB549" s="1968"/>
      <c r="BC549" s="1968"/>
      <c r="BD549" s="1968"/>
      <c r="BE549" s="1968"/>
      <c r="BF549" s="1968"/>
      <c r="BG549" s="7235"/>
    </row>
    <row customHeight="1" ht="11.25">
      <c r="A550" s="1312" t="s">
        <v>1069</v>
      </c>
      <c r="B550" s="1312"/>
      <c r="C550" s="1312"/>
      <c r="D550" s="1306"/>
      <c r="E550" s="1316"/>
      <c r="F550" s="1974"/>
      <c r="G550" s="1975"/>
      <c r="H550" s="2674" t="s">
        <v>1141</v>
      </c>
      <c r="I550" s="2675"/>
      <c r="J550" s="2644"/>
      <c r="K550" s="2676"/>
      <c r="L550" s="2266"/>
      <c r="M550" s="2267"/>
      <c r="N550" s="1321"/>
      <c r="O550" s="1322"/>
      <c r="P550" s="1314" t="s">
        <v>1108</v>
      </c>
      <c r="Q550" s="1322"/>
      <c r="R550" s="1322"/>
      <c r="S550" s="1322"/>
      <c r="T550" s="1322"/>
      <c r="U550" s="1322"/>
      <c r="V550" s="1322"/>
      <c r="W550" s="1322"/>
      <c r="X550" s="1322"/>
      <c r="Y550" s="1322"/>
      <c r="Z550" s="1322"/>
      <c r="AA550" s="1322"/>
      <c r="AB550" s="1322"/>
      <c r="AC550" s="1322"/>
      <c r="AD550" s="1322"/>
      <c r="AE550" s="1329"/>
      <c r="AF550" s="2665"/>
      <c r="AG550" s="2666"/>
      <c r="AH550" s="2666"/>
      <c r="AI550" s="8647"/>
      <c r="AJ550" s="2666"/>
      <c r="AK550" s="2666"/>
      <c r="AL550" s="2131"/>
      <c r="AM550" s="1968"/>
      <c r="AN550" s="1968"/>
      <c r="AO550" s="1968"/>
      <c r="AP550" s="1968"/>
      <c r="AQ550" s="1968"/>
      <c r="AR550" s="1968"/>
      <c r="AS550" s="1968"/>
      <c r="AT550" s="1968"/>
      <c r="AU550" s="1968"/>
      <c r="AV550" s="1968"/>
      <c r="AW550" s="1968"/>
      <c r="AX550" s="1968"/>
      <c r="AY550" s="1968"/>
      <c r="AZ550" s="1968"/>
      <c r="BA550" s="1968"/>
      <c r="BB550" s="1968"/>
      <c r="BC550" s="1968"/>
      <c r="BD550" s="1968"/>
      <c r="BE550" s="1968"/>
      <c r="BF550" s="1968"/>
      <c r="BG550" s="7235"/>
    </row>
    <row customHeight="1" ht="11.25">
      <c r="A551" s="1312" t="s">
        <v>1069</v>
      </c>
      <c r="B551" s="1312" t="s">
        <v>1198</v>
      </c>
      <c r="C551" s="1312"/>
      <c r="D551" s="1306"/>
      <c r="E551" s="1316"/>
      <c r="F551" s="1974"/>
      <c r="G551" s="7143" t="s">
        <v>106</v>
      </c>
      <c r="H551" s="2674" t="s">
        <v>1157</v>
      </c>
      <c r="I551" s="2675" t="s">
        <v>1200</v>
      </c>
      <c r="J551" s="2644" t="s">
        <v>1206</v>
      </c>
      <c r="K551" s="2676" t="s">
        <v>1294</v>
      </c>
      <c r="L551" s="2266" t="s">
        <v>19</v>
      </c>
      <c r="M551" s="2267"/>
      <c r="N551" s="2129"/>
      <c r="O551" s="1323" t="s">
        <v>398</v>
      </c>
      <c r="P551" s="1324"/>
      <c r="Q551" s="1324"/>
      <c r="R551" s="1324"/>
      <c r="S551" s="1324"/>
      <c r="T551" s="1324"/>
      <c r="U551" s="1324"/>
      <c r="V551" s="1324"/>
      <c r="W551" s="1324"/>
      <c r="X551" s="1324"/>
      <c r="Y551" s="1324"/>
      <c r="Z551" s="1324"/>
      <c r="AA551" s="1324"/>
      <c r="AB551" s="1324"/>
      <c r="AC551" s="1324"/>
      <c r="AD551" s="1324"/>
      <c r="AE551" s="1324"/>
      <c r="AF551" s="2665">
        <v>2028</v>
      </c>
      <c r="AG551" s="2666" t="s">
        <v>1103</v>
      </c>
      <c r="AH551" s="2666" t="s">
        <v>1228</v>
      </c>
      <c r="AI551" s="8647"/>
      <c r="AJ551" s="2666" t="s">
        <v>1105</v>
      </c>
      <c r="AK551" s="2666" t="s">
        <v>1105</v>
      </c>
      <c r="AL551" s="2131"/>
      <c r="AM551" s="1968"/>
      <c r="AN551" s="1968"/>
      <c r="AO551" s="1968"/>
      <c r="AP551" s="1968"/>
      <c r="AQ551" s="1968"/>
      <c r="AR551" s="1968"/>
      <c r="AS551" s="1968"/>
      <c r="AT551" s="1968"/>
      <c r="AU551" s="1968"/>
      <c r="AV551" s="1968"/>
      <c r="AW551" s="1968"/>
      <c r="AX551" s="1968"/>
      <c r="AY551" s="1968"/>
      <c r="AZ551" s="1968"/>
      <c r="BA551" s="1968"/>
      <c r="BB551" s="1968"/>
      <c r="BC551" s="1968"/>
      <c r="BD551" s="1968"/>
      <c r="BE551" s="1968"/>
      <c r="BF551" s="1968"/>
      <c r="BG551" s="7235"/>
    </row>
    <row customHeight="1" ht="11.25">
      <c r="A552" s="1312" t="s">
        <v>1069</v>
      </c>
      <c r="B552" s="1312"/>
      <c r="C552" s="1312"/>
      <c r="D552" s="1306"/>
      <c r="E552" s="1316"/>
      <c r="F552" s="1974"/>
      <c r="G552" s="1975"/>
      <c r="H552" s="2674" t="s">
        <v>1204</v>
      </c>
      <c r="I552" s="2675"/>
      <c r="J552" s="2644"/>
      <c r="K552" s="2676"/>
      <c r="L552" s="2266"/>
      <c r="M552" s="2267"/>
      <c r="N552" s="2667"/>
      <c r="O552" s="2668">
        <v>1</v>
      </c>
      <c r="P552" s="2669" t="s">
        <v>63</v>
      </c>
      <c r="Q552" s="8664" t="s">
        <v>1208</v>
      </c>
      <c r="R552" s="8665" t="s">
        <v>1114</v>
      </c>
      <c r="S552" s="8665" t="s">
        <v>113</v>
      </c>
      <c r="T552" s="8665" t="s">
        <v>113</v>
      </c>
      <c r="U552" s="8665" t="s">
        <v>114</v>
      </c>
      <c r="V552" s="8665" t="s">
        <v>1115</v>
      </c>
      <c r="W552" s="8665" t="s">
        <v>1116</v>
      </c>
      <c r="X552" s="8665" t="s">
        <v>1209</v>
      </c>
      <c r="Y552" s="8665" t="s">
        <v>121</v>
      </c>
      <c r="Z552" s="1321"/>
      <c r="AA552" s="1322"/>
      <c r="AB552" s="1322"/>
      <c r="AC552" s="1326"/>
      <c r="AD552" s="1326"/>
      <c r="AE552" s="1327"/>
      <c r="AF552" s="2665"/>
      <c r="AG552" s="2666"/>
      <c r="AH552" s="2666"/>
      <c r="AI552" s="8647"/>
      <c r="AJ552" s="2666"/>
      <c r="AK552" s="2666"/>
      <c r="AL552" s="2131"/>
      <c r="AM552" s="1968"/>
      <c r="AN552" s="1968"/>
      <c r="AO552" s="1968"/>
      <c r="AP552" s="1968"/>
      <c r="AQ552" s="1968"/>
      <c r="AR552" s="1968"/>
      <c r="AS552" s="1968"/>
      <c r="AT552" s="1968"/>
      <c r="AU552" s="1968"/>
      <c r="AV552" s="1968"/>
      <c r="AW552" s="1968"/>
      <c r="AX552" s="1968"/>
      <c r="AY552" s="1968"/>
      <c r="AZ552" s="1968"/>
      <c r="BA552" s="1968"/>
      <c r="BB552" s="1968"/>
      <c r="BC552" s="1968"/>
      <c r="BD552" s="1968"/>
      <c r="BE552" s="1968"/>
      <c r="BF552" s="1968"/>
      <c r="BG552" s="7235"/>
    </row>
    <row customHeight="1" ht="11.25">
      <c r="A553" s="1312" t="s">
        <v>1069</v>
      </c>
      <c r="B553" s="1312"/>
      <c r="C553" s="1312"/>
      <c r="D553" s="1306"/>
      <c r="E553" s="1316"/>
      <c r="F553" s="1974"/>
      <c r="G553" s="1975"/>
      <c r="H553" s="2674" t="s">
        <v>1204</v>
      </c>
      <c r="I553" s="2675"/>
      <c r="J553" s="2644"/>
      <c r="K553" s="2676"/>
      <c r="L553" s="2266"/>
      <c r="M553" s="2267"/>
      <c r="N553" s="2667"/>
      <c r="O553" s="2668"/>
      <c r="P553" s="2670"/>
      <c r="Q553" s="8664"/>
      <c r="R553" s="2672"/>
      <c r="S553" s="2673"/>
      <c r="T553" s="2672"/>
      <c r="U553" s="2672"/>
      <c r="V553" s="2672"/>
      <c r="W553" s="2672"/>
      <c r="X553" s="2672"/>
      <c r="Y553" s="2672"/>
      <c r="Z553" s="1973"/>
      <c r="AA553" s="1939">
        <v>1</v>
      </c>
      <c r="AB553" s="1325" t="s">
        <v>1131</v>
      </c>
      <c r="AC553" s="1315">
        <v>67700</v>
      </c>
      <c r="AD553" s="1325" t="str">
        <f>AB553</f>
        <v>      Прочие амортизационные отчисления</v>
      </c>
      <c r="AE553" s="1315">
        <v>67771</v>
      </c>
      <c r="AF553" s="2665"/>
      <c r="AG553" s="2666"/>
      <c r="AH553" s="2666"/>
      <c r="AI553" s="8647"/>
      <c r="AJ553" s="2666"/>
      <c r="AK553" s="2666"/>
      <c r="AL553" s="2131"/>
      <c r="AM553" s="1968"/>
      <c r="AN553" s="1968"/>
      <c r="AO553" s="1968"/>
      <c r="AP553" s="1968"/>
      <c r="AQ553" s="1968"/>
      <c r="AR553" s="1968"/>
      <c r="AS553" s="1968"/>
      <c r="AT553" s="1968"/>
      <c r="AU553" s="1968"/>
      <c r="AV553" s="1968"/>
      <c r="AW553" s="1968"/>
      <c r="AX553" s="1968"/>
      <c r="AY553" s="1968"/>
      <c r="AZ553" s="1968"/>
      <c r="BA553" s="1968"/>
      <c r="BB553" s="1968"/>
      <c r="BC553" s="1968"/>
      <c r="BD553" s="1968"/>
      <c r="BE553" s="1968"/>
      <c r="BF553" s="1968"/>
      <c r="BG553" s="7235"/>
    </row>
    <row customHeight="1" ht="11.25">
      <c r="A554" s="1312" t="s">
        <v>1069</v>
      </c>
      <c r="B554" s="1312"/>
      <c r="C554" s="1312"/>
      <c r="D554" s="1306"/>
      <c r="E554" s="1316"/>
      <c r="F554" s="1974"/>
      <c r="G554" s="1975"/>
      <c r="H554" s="2674" t="s">
        <v>1204</v>
      </c>
      <c r="I554" s="2675"/>
      <c r="J554" s="2644"/>
      <c r="K554" s="2676"/>
      <c r="L554" s="2266"/>
      <c r="M554" s="2267"/>
      <c r="N554" s="2667"/>
      <c r="O554" s="2668"/>
      <c r="P554" s="2671"/>
      <c r="Q554" s="8664"/>
      <c r="R554" s="2672"/>
      <c r="S554" s="2673"/>
      <c r="T554" s="2672"/>
      <c r="U554" s="2672"/>
      <c r="V554" s="2672"/>
      <c r="W554" s="2672"/>
      <c r="X554" s="2672"/>
      <c r="Y554" s="2672"/>
      <c r="Z554" s="1321"/>
      <c r="AA554" s="1322"/>
      <c r="AB554" s="1387" t="s">
        <v>1107</v>
      </c>
      <c r="AC554" s="1326"/>
      <c r="AD554" s="1326"/>
      <c r="AE554" s="1328"/>
      <c r="AF554" s="2665"/>
      <c r="AG554" s="2666"/>
      <c r="AH554" s="2666"/>
      <c r="AI554" s="8647"/>
      <c r="AJ554" s="2666"/>
      <c r="AK554" s="2666"/>
      <c r="AL554" s="2131"/>
      <c r="AM554" s="1968"/>
      <c r="AN554" s="1968"/>
      <c r="AO554" s="1968"/>
      <c r="AP554" s="1968"/>
      <c r="AQ554" s="1968"/>
      <c r="AR554" s="1968"/>
      <c r="AS554" s="1968"/>
      <c r="AT554" s="1968"/>
      <c r="AU554" s="1968"/>
      <c r="AV554" s="1968"/>
      <c r="AW554" s="1968"/>
      <c r="AX554" s="1968"/>
      <c r="AY554" s="1968"/>
      <c r="AZ554" s="1968"/>
      <c r="BA554" s="1968"/>
      <c r="BB554" s="1968"/>
      <c r="BC554" s="1968"/>
      <c r="BD554" s="1968"/>
      <c r="BE554" s="1968"/>
      <c r="BF554" s="1968"/>
      <c r="BG554" s="7235"/>
    </row>
    <row customHeight="1" ht="11.25">
      <c r="A555" s="1312" t="s">
        <v>1069</v>
      </c>
      <c r="B555" s="1312"/>
      <c r="C555" s="1312"/>
      <c r="D555" s="1306"/>
      <c r="E555" s="1316"/>
      <c r="F555" s="1974"/>
      <c r="G555" s="1975"/>
      <c r="H555" s="2674" t="s">
        <v>1204</v>
      </c>
      <c r="I555" s="2675"/>
      <c r="J555" s="2644"/>
      <c r="K555" s="2676"/>
      <c r="L555" s="2266"/>
      <c r="M555" s="2267"/>
      <c r="N555" s="1321"/>
      <c r="O555" s="1322"/>
      <c r="P555" s="1314" t="s">
        <v>1108</v>
      </c>
      <c r="Q555" s="1322"/>
      <c r="R555" s="1322"/>
      <c r="S555" s="1322"/>
      <c r="T555" s="1322"/>
      <c r="U555" s="1322"/>
      <c r="V555" s="1322"/>
      <c r="W555" s="1322"/>
      <c r="X555" s="1322"/>
      <c r="Y555" s="1322"/>
      <c r="Z555" s="1322"/>
      <c r="AA555" s="1322"/>
      <c r="AB555" s="1322"/>
      <c r="AC555" s="1322"/>
      <c r="AD555" s="1322"/>
      <c r="AE555" s="1329"/>
      <c r="AF555" s="2665"/>
      <c r="AG555" s="2666"/>
      <c r="AH555" s="2666"/>
      <c r="AI555" s="8647"/>
      <c r="AJ555" s="2666"/>
      <c r="AK555" s="2666"/>
      <c r="AL555" s="2131"/>
      <c r="AM555" s="1968"/>
      <c r="AN555" s="1968"/>
      <c r="AO555" s="1968"/>
      <c r="AP555" s="1968"/>
      <c r="AQ555" s="1968"/>
      <c r="AR555" s="1968"/>
      <c r="AS555" s="1968"/>
      <c r="AT555" s="1968"/>
      <c r="AU555" s="1968"/>
      <c r="AV555" s="1968"/>
      <c r="AW555" s="1968"/>
      <c r="AX555" s="1968"/>
      <c r="AY555" s="1968"/>
      <c r="AZ555" s="1968"/>
      <c r="BA555" s="1968"/>
      <c r="BB555" s="1968"/>
      <c r="BC555" s="1968"/>
      <c r="BD555" s="1968"/>
      <c r="BE555" s="1968"/>
      <c r="BF555" s="1968"/>
      <c r="BG555" s="7235"/>
    </row>
    <row customHeight="1" ht="11.25">
      <c r="A556" s="1312" t="s">
        <v>1069</v>
      </c>
      <c r="B556" s="1312" t="s">
        <v>1198</v>
      </c>
      <c r="C556" s="1312"/>
      <c r="D556" s="1306"/>
      <c r="E556" s="1316"/>
      <c r="F556" s="1974"/>
      <c r="G556" s="7143" t="s">
        <v>106</v>
      </c>
      <c r="H556" s="2674" t="s">
        <v>1211</v>
      </c>
      <c r="I556" s="2675" t="s">
        <v>1200</v>
      </c>
      <c r="J556" s="2644" t="s">
        <v>1206</v>
      </c>
      <c r="K556" s="2676" t="s">
        <v>1295</v>
      </c>
      <c r="L556" s="2266" t="s">
        <v>19</v>
      </c>
      <c r="M556" s="2267"/>
      <c r="N556" s="2129"/>
      <c r="O556" s="1323" t="s">
        <v>398</v>
      </c>
      <c r="P556" s="1324"/>
      <c r="Q556" s="1324"/>
      <c r="R556" s="1324"/>
      <c r="S556" s="1324"/>
      <c r="T556" s="1324"/>
      <c r="U556" s="1324"/>
      <c r="V556" s="1324"/>
      <c r="W556" s="1324"/>
      <c r="X556" s="1324"/>
      <c r="Y556" s="1324"/>
      <c r="Z556" s="1324"/>
      <c r="AA556" s="1324"/>
      <c r="AB556" s="1324"/>
      <c r="AC556" s="1324"/>
      <c r="AD556" s="1324"/>
      <c r="AE556" s="1324"/>
      <c r="AF556" s="2665">
        <v>2026</v>
      </c>
      <c r="AG556" s="2666" t="s">
        <v>1103</v>
      </c>
      <c r="AH556" s="2666" t="s">
        <v>1162</v>
      </c>
      <c r="AI556" s="8647"/>
      <c r="AJ556" s="2666" t="s">
        <v>1105</v>
      </c>
      <c r="AK556" s="2666" t="s">
        <v>1105</v>
      </c>
      <c r="AL556" s="2131"/>
      <c r="AM556" s="1968"/>
      <c r="AN556" s="1968"/>
      <c r="AO556" s="1968"/>
      <c r="AP556" s="1968"/>
      <c r="AQ556" s="1968"/>
      <c r="AR556" s="1968"/>
      <c r="AS556" s="1968"/>
      <c r="AT556" s="1968"/>
      <c r="AU556" s="1968"/>
      <c r="AV556" s="1968"/>
      <c r="AW556" s="1968"/>
      <c r="AX556" s="1968"/>
      <c r="AY556" s="1968"/>
      <c r="AZ556" s="1968"/>
      <c r="BA556" s="1968"/>
      <c r="BB556" s="1968"/>
      <c r="BC556" s="1968"/>
      <c r="BD556" s="1968"/>
      <c r="BE556" s="1968"/>
      <c r="BF556" s="1968"/>
      <c r="BG556" s="7235"/>
    </row>
    <row customHeight="1" ht="11.25">
      <c r="A557" s="1312" t="s">
        <v>1069</v>
      </c>
      <c r="B557" s="1312"/>
      <c r="C557" s="1312"/>
      <c r="D557" s="1306"/>
      <c r="E557" s="1316"/>
      <c r="F557" s="1974"/>
      <c r="G557" s="1975"/>
      <c r="H557" s="2674" t="s">
        <v>1157</v>
      </c>
      <c r="I557" s="2675"/>
      <c r="J557" s="2644"/>
      <c r="K557" s="2676"/>
      <c r="L557" s="2266"/>
      <c r="M557" s="2267"/>
      <c r="N557" s="2667"/>
      <c r="O557" s="2668">
        <v>1</v>
      </c>
      <c r="P557" s="2669" t="s">
        <v>63</v>
      </c>
      <c r="Q557" s="8664" t="s">
        <v>1208</v>
      </c>
      <c r="R557" s="8665" t="s">
        <v>1114</v>
      </c>
      <c r="S557" s="8665" t="s">
        <v>113</v>
      </c>
      <c r="T557" s="8665" t="s">
        <v>113</v>
      </c>
      <c r="U557" s="8665" t="s">
        <v>114</v>
      </c>
      <c r="V557" s="8665" t="s">
        <v>1115</v>
      </c>
      <c r="W557" s="8665" t="s">
        <v>1116</v>
      </c>
      <c r="X557" s="8665" t="s">
        <v>1209</v>
      </c>
      <c r="Y557" s="8665" t="s">
        <v>121</v>
      </c>
      <c r="Z557" s="1321"/>
      <c r="AA557" s="1322"/>
      <c r="AB557" s="1322"/>
      <c r="AC557" s="1326"/>
      <c r="AD557" s="1326"/>
      <c r="AE557" s="1327"/>
      <c r="AF557" s="2665"/>
      <c r="AG557" s="2666"/>
      <c r="AH557" s="2666"/>
      <c r="AI557" s="8647"/>
      <c r="AJ557" s="2666"/>
      <c r="AK557" s="2666"/>
      <c r="AL557" s="2131"/>
      <c r="AM557" s="1968"/>
      <c r="AN557" s="1968"/>
      <c r="AO557" s="1968"/>
      <c r="AP557" s="1968"/>
      <c r="AQ557" s="1968"/>
      <c r="AR557" s="1968"/>
      <c r="AS557" s="1968"/>
      <c r="AT557" s="1968"/>
      <c r="AU557" s="1968"/>
      <c r="AV557" s="1968"/>
      <c r="AW557" s="1968"/>
      <c r="AX557" s="1968"/>
      <c r="AY557" s="1968"/>
      <c r="AZ557" s="1968"/>
      <c r="BA557" s="1968"/>
      <c r="BB557" s="1968"/>
      <c r="BC557" s="1968"/>
      <c r="BD557" s="1968"/>
      <c r="BE557" s="1968"/>
      <c r="BF557" s="1968"/>
      <c r="BG557" s="7235"/>
    </row>
    <row customHeight="1" ht="11.25">
      <c r="A558" s="1312" t="s">
        <v>1069</v>
      </c>
      <c r="B558" s="1312"/>
      <c r="C558" s="1312"/>
      <c r="D558" s="1306"/>
      <c r="E558" s="1316"/>
      <c r="F558" s="1974"/>
      <c r="G558" s="1975"/>
      <c r="H558" s="2674" t="s">
        <v>1157</v>
      </c>
      <c r="I558" s="2675"/>
      <c r="J558" s="2644"/>
      <c r="K558" s="2676"/>
      <c r="L558" s="2266"/>
      <c r="M558" s="2267"/>
      <c r="N558" s="2667"/>
      <c r="O558" s="2668"/>
      <c r="P558" s="2670"/>
      <c r="Q558" s="8664"/>
      <c r="R558" s="2672"/>
      <c r="S558" s="2673"/>
      <c r="T558" s="2672"/>
      <c r="U558" s="2672"/>
      <c r="V558" s="2672"/>
      <c r="W558" s="2672"/>
      <c r="X558" s="2672"/>
      <c r="Y558" s="2672"/>
      <c r="Z558" s="1973"/>
      <c r="AA558" s="1939">
        <v>1</v>
      </c>
      <c r="AB558" s="1325" t="s">
        <v>1131</v>
      </c>
      <c r="AC558" s="1315">
        <v>7256</v>
      </c>
      <c r="AD558" s="1325" t="str">
        <f>AB558</f>
        <v>      Прочие амортизационные отчисления</v>
      </c>
      <c r="AE558" s="1315">
        <v>7256</v>
      </c>
      <c r="AF558" s="2665"/>
      <c r="AG558" s="2666"/>
      <c r="AH558" s="2666"/>
      <c r="AI558" s="8647"/>
      <c r="AJ558" s="2666"/>
      <c r="AK558" s="2666"/>
      <c r="AL558" s="2131"/>
      <c r="AM558" s="1968"/>
      <c r="AN558" s="1968"/>
      <c r="AO558" s="1968"/>
      <c r="AP558" s="1968"/>
      <c r="AQ558" s="1968"/>
      <c r="AR558" s="1968"/>
      <c r="AS558" s="1968"/>
      <c r="AT558" s="1968"/>
      <c r="AU558" s="1968"/>
      <c r="AV558" s="1968"/>
      <c r="AW558" s="1968"/>
      <c r="AX558" s="1968"/>
      <c r="AY558" s="1968"/>
      <c r="AZ558" s="1968"/>
      <c r="BA558" s="1968"/>
      <c r="BB558" s="1968"/>
      <c r="BC558" s="1968"/>
      <c r="BD558" s="1968"/>
      <c r="BE558" s="1968"/>
      <c r="BF558" s="1968"/>
      <c r="BG558" s="7235"/>
    </row>
    <row customHeight="1" ht="11.25">
      <c r="A559" s="1312" t="s">
        <v>1069</v>
      </c>
      <c r="B559" s="1312"/>
      <c r="C559" s="1312"/>
      <c r="D559" s="1306"/>
      <c r="E559" s="1316"/>
      <c r="F559" s="1974"/>
      <c r="G559" s="1975"/>
      <c r="H559" s="2674" t="s">
        <v>1157</v>
      </c>
      <c r="I559" s="2675"/>
      <c r="J559" s="2644"/>
      <c r="K559" s="2676"/>
      <c r="L559" s="2266"/>
      <c r="M559" s="2267"/>
      <c r="N559" s="2667"/>
      <c r="O559" s="2668"/>
      <c r="P559" s="2671"/>
      <c r="Q559" s="8664"/>
      <c r="R559" s="2672"/>
      <c r="S559" s="2673"/>
      <c r="T559" s="2672"/>
      <c r="U559" s="2672"/>
      <c r="V559" s="2672"/>
      <c r="W559" s="2672"/>
      <c r="X559" s="2672"/>
      <c r="Y559" s="2672"/>
      <c r="Z559" s="1321"/>
      <c r="AA559" s="1322"/>
      <c r="AB559" s="1387" t="s">
        <v>1107</v>
      </c>
      <c r="AC559" s="1326"/>
      <c r="AD559" s="1326"/>
      <c r="AE559" s="1328"/>
      <c r="AF559" s="2665"/>
      <c r="AG559" s="2666"/>
      <c r="AH559" s="2666"/>
      <c r="AI559" s="8647"/>
      <c r="AJ559" s="2666"/>
      <c r="AK559" s="2666"/>
      <c r="AL559" s="2131"/>
      <c r="AM559" s="1968"/>
      <c r="AN559" s="1968"/>
      <c r="AO559" s="1968"/>
      <c r="AP559" s="1968"/>
      <c r="AQ559" s="1968"/>
      <c r="AR559" s="1968"/>
      <c r="AS559" s="1968"/>
      <c r="AT559" s="1968"/>
      <c r="AU559" s="1968"/>
      <c r="AV559" s="1968"/>
      <c r="AW559" s="1968"/>
      <c r="AX559" s="1968"/>
      <c r="AY559" s="1968"/>
      <c r="AZ559" s="1968"/>
      <c r="BA559" s="1968"/>
      <c r="BB559" s="1968"/>
      <c r="BC559" s="1968"/>
      <c r="BD559" s="1968"/>
      <c r="BE559" s="1968"/>
      <c r="BF559" s="1968"/>
      <c r="BG559" s="7235"/>
    </row>
    <row customHeight="1" ht="11.25">
      <c r="A560" s="1312" t="s">
        <v>1069</v>
      </c>
      <c r="B560" s="1312"/>
      <c r="C560" s="1312"/>
      <c r="D560" s="1306"/>
      <c r="E560" s="1316"/>
      <c r="F560" s="1974"/>
      <c r="G560" s="1975"/>
      <c r="H560" s="2674" t="s">
        <v>1157</v>
      </c>
      <c r="I560" s="2675"/>
      <c r="J560" s="2644"/>
      <c r="K560" s="2676"/>
      <c r="L560" s="2266"/>
      <c r="M560" s="2267"/>
      <c r="N560" s="1321"/>
      <c r="O560" s="1322"/>
      <c r="P560" s="1314" t="s">
        <v>1108</v>
      </c>
      <c r="Q560" s="1322"/>
      <c r="R560" s="1322"/>
      <c r="S560" s="1322"/>
      <c r="T560" s="1322"/>
      <c r="U560" s="1322"/>
      <c r="V560" s="1322"/>
      <c r="W560" s="1322"/>
      <c r="X560" s="1322"/>
      <c r="Y560" s="1322"/>
      <c r="Z560" s="1322"/>
      <c r="AA560" s="1322"/>
      <c r="AB560" s="1322"/>
      <c r="AC560" s="1322"/>
      <c r="AD560" s="1322"/>
      <c r="AE560" s="1329"/>
      <c r="AF560" s="2665"/>
      <c r="AG560" s="2666"/>
      <c r="AH560" s="2666"/>
      <c r="AI560" s="8647"/>
      <c r="AJ560" s="2666"/>
      <c r="AK560" s="2666"/>
      <c r="AL560" s="2131"/>
      <c r="AM560" s="1968"/>
      <c r="AN560" s="1968"/>
      <c r="AO560" s="1968"/>
      <c r="AP560" s="1968"/>
      <c r="AQ560" s="1968"/>
      <c r="AR560" s="1968"/>
      <c r="AS560" s="1968"/>
      <c r="AT560" s="1968"/>
      <c r="AU560" s="1968"/>
      <c r="AV560" s="1968"/>
      <c r="AW560" s="1968"/>
      <c r="AX560" s="1968"/>
      <c r="AY560" s="1968"/>
      <c r="AZ560" s="1968"/>
      <c r="BA560" s="1968"/>
      <c r="BB560" s="1968"/>
      <c r="BC560" s="1968"/>
      <c r="BD560" s="1968"/>
      <c r="BE560" s="1968"/>
      <c r="BF560" s="1968"/>
      <c r="BG560" s="7235"/>
    </row>
    <row customHeight="1" ht="11.25">
      <c r="A561" s="1312" t="s">
        <v>1069</v>
      </c>
      <c r="B561" s="1312" t="s">
        <v>1198</v>
      </c>
      <c r="C561" s="1312"/>
      <c r="D561" s="1306"/>
      <c r="E561" s="1316"/>
      <c r="F561" s="1974"/>
      <c r="G561" s="7143" t="s">
        <v>106</v>
      </c>
      <c r="H561" s="2674" t="s">
        <v>1213</v>
      </c>
      <c r="I561" s="2675" t="s">
        <v>1200</v>
      </c>
      <c r="J561" s="8666" t="s">
        <v>1206</v>
      </c>
      <c r="K561" s="2676" t="s">
        <v>1296</v>
      </c>
      <c r="L561" s="2266" t="s">
        <v>19</v>
      </c>
      <c r="M561" s="2267"/>
      <c r="N561" s="2129"/>
      <c r="O561" s="1323" t="s">
        <v>398</v>
      </c>
      <c r="P561" s="1324"/>
      <c r="Q561" s="1324"/>
      <c r="R561" s="1324"/>
      <c r="S561" s="1324"/>
      <c r="T561" s="1324"/>
      <c r="U561" s="1324"/>
      <c r="V561" s="1324"/>
      <c r="W561" s="1324"/>
      <c r="X561" s="1324"/>
      <c r="Y561" s="1324"/>
      <c r="Z561" s="1324"/>
      <c r="AA561" s="1324"/>
      <c r="AB561" s="1324"/>
      <c r="AC561" s="1324"/>
      <c r="AD561" s="1324"/>
      <c r="AE561" s="1324"/>
      <c r="AF561" s="2665">
        <v>2028</v>
      </c>
      <c r="AG561" s="2666" t="s">
        <v>1103</v>
      </c>
      <c r="AH561" s="2666" t="s">
        <v>1228</v>
      </c>
      <c r="AI561" s="8647"/>
      <c r="AJ561" s="2666" t="s">
        <v>1105</v>
      </c>
      <c r="AK561" s="2666" t="s">
        <v>1105</v>
      </c>
      <c r="AL561" s="2131"/>
      <c r="AM561" s="1968"/>
      <c r="AN561" s="1968"/>
      <c r="AO561" s="1968"/>
      <c r="AP561" s="1968"/>
      <c r="AQ561" s="1968"/>
      <c r="AR561" s="1968"/>
      <c r="AS561" s="1968"/>
      <c r="AT561" s="1968"/>
      <c r="AU561" s="1968"/>
      <c r="AV561" s="1968"/>
      <c r="AW561" s="1968"/>
      <c r="AX561" s="1968"/>
      <c r="AY561" s="1968"/>
      <c r="AZ561" s="1968"/>
      <c r="BA561" s="1968"/>
      <c r="BB561" s="1968"/>
      <c r="BC561" s="1968"/>
      <c r="BD561" s="1968"/>
      <c r="BE561" s="1968"/>
      <c r="BF561" s="1968"/>
      <c r="BG561" s="7235"/>
    </row>
    <row customHeight="1" ht="11.25">
      <c r="A562" s="1312" t="s">
        <v>1069</v>
      </c>
      <c r="B562" s="1312"/>
      <c r="C562" s="1312"/>
      <c r="D562" s="1306"/>
      <c r="E562" s="1316"/>
      <c r="F562" s="1974"/>
      <c r="G562" s="1975"/>
      <c r="H562" s="2674" t="s">
        <v>1211</v>
      </c>
      <c r="I562" s="2675"/>
      <c r="J562" s="8666"/>
      <c r="K562" s="2676"/>
      <c r="L562" s="2266"/>
      <c r="M562" s="2267"/>
      <c r="N562" s="2667"/>
      <c r="O562" s="2668">
        <v>1</v>
      </c>
      <c r="P562" s="2669" t="s">
        <v>63</v>
      </c>
      <c r="Q562" s="8645" t="s">
        <v>1208</v>
      </c>
      <c r="R562" s="8646" t="s">
        <v>1114</v>
      </c>
      <c r="S562" s="8646" t="s">
        <v>113</v>
      </c>
      <c r="T562" s="8646" t="s">
        <v>113</v>
      </c>
      <c r="U562" s="8646" t="s">
        <v>114</v>
      </c>
      <c r="V562" s="8646" t="s">
        <v>1115</v>
      </c>
      <c r="W562" s="8646" t="s">
        <v>1116</v>
      </c>
      <c r="X562" s="8646" t="s">
        <v>1209</v>
      </c>
      <c r="Y562" s="8646" t="s">
        <v>121</v>
      </c>
      <c r="Z562" s="1321"/>
      <c r="AA562" s="1322"/>
      <c r="AB562" s="1322"/>
      <c r="AC562" s="1326"/>
      <c r="AD562" s="1326"/>
      <c r="AE562" s="1327"/>
      <c r="AF562" s="2665"/>
      <c r="AG562" s="2666"/>
      <c r="AH562" s="2666"/>
      <c r="AI562" s="8647"/>
      <c r="AJ562" s="2666"/>
      <c r="AK562" s="2666"/>
      <c r="AL562" s="2131"/>
      <c r="AM562" s="1968"/>
      <c r="AN562" s="1968"/>
      <c r="AO562" s="1968"/>
      <c r="AP562" s="1968"/>
      <c r="AQ562" s="1968"/>
      <c r="AR562" s="1968"/>
      <c r="AS562" s="1968"/>
      <c r="AT562" s="1968"/>
      <c r="AU562" s="1968"/>
      <c r="AV562" s="1968"/>
      <c r="AW562" s="1968"/>
      <c r="AX562" s="1968"/>
      <c r="AY562" s="1968"/>
      <c r="AZ562" s="1968"/>
      <c r="BA562" s="1968"/>
      <c r="BB562" s="1968"/>
      <c r="BC562" s="1968"/>
      <c r="BD562" s="1968"/>
      <c r="BE562" s="1968"/>
      <c r="BF562" s="1968"/>
      <c r="BG562" s="7235"/>
    </row>
    <row customHeight="1" ht="11.25">
      <c r="A563" s="1312" t="s">
        <v>1069</v>
      </c>
      <c r="B563" s="1312"/>
      <c r="C563" s="1312"/>
      <c r="D563" s="1306"/>
      <c r="E563" s="1316"/>
      <c r="F563" s="1974"/>
      <c r="G563" s="1975"/>
      <c r="H563" s="2674" t="s">
        <v>1211</v>
      </c>
      <c r="I563" s="2675"/>
      <c r="J563" s="8666"/>
      <c r="K563" s="2676"/>
      <c r="L563" s="2266"/>
      <c r="M563" s="2267"/>
      <c r="N563" s="2667"/>
      <c r="O563" s="2668"/>
      <c r="P563" s="2670"/>
      <c r="Q563" s="8645"/>
      <c r="R563" s="2672"/>
      <c r="S563" s="2673"/>
      <c r="T563" s="2672"/>
      <c r="U563" s="2672"/>
      <c r="V563" s="2672"/>
      <c r="W563" s="2672"/>
      <c r="X563" s="2672"/>
      <c r="Y563" s="2672"/>
      <c r="Z563" s="1973"/>
      <c r="AA563" s="1939">
        <v>1</v>
      </c>
      <c r="AB563" s="1325" t="s">
        <v>1131</v>
      </c>
      <c r="AC563" s="1315">
        <v>295</v>
      </c>
      <c r="AD563" s="1325" t="str">
        <f>AB563</f>
        <v>      Прочие амортизационные отчисления</v>
      </c>
      <c r="AE563" s="1315">
        <v>295</v>
      </c>
      <c r="AF563" s="2665"/>
      <c r="AG563" s="2666"/>
      <c r="AH563" s="2666"/>
      <c r="AI563" s="8647"/>
      <c r="AJ563" s="2666"/>
      <c r="AK563" s="2666"/>
      <c r="AL563" s="2131"/>
      <c r="AM563" s="1968"/>
      <c r="AN563" s="1968"/>
      <c r="AO563" s="1968"/>
      <c r="AP563" s="1968"/>
      <c r="AQ563" s="1968"/>
      <c r="AR563" s="1968"/>
      <c r="AS563" s="1968"/>
      <c r="AT563" s="1968"/>
      <c r="AU563" s="1968"/>
      <c r="AV563" s="1968"/>
      <c r="AW563" s="1968"/>
      <c r="AX563" s="1968"/>
      <c r="AY563" s="1968"/>
      <c r="AZ563" s="1968"/>
      <c r="BA563" s="1968"/>
      <c r="BB563" s="1968"/>
      <c r="BC563" s="1968"/>
      <c r="BD563" s="1968"/>
      <c r="BE563" s="1968"/>
      <c r="BF563" s="1968"/>
      <c r="BG563" s="7235"/>
    </row>
    <row customHeight="1" ht="11.25">
      <c r="A564" s="1312" t="s">
        <v>1069</v>
      </c>
      <c r="B564" s="1312"/>
      <c r="C564" s="1312"/>
      <c r="D564" s="1306"/>
      <c r="E564" s="1316"/>
      <c r="F564" s="1974"/>
      <c r="G564" s="1975"/>
      <c r="H564" s="2674" t="s">
        <v>1211</v>
      </c>
      <c r="I564" s="2675"/>
      <c r="J564" s="8666"/>
      <c r="K564" s="2676"/>
      <c r="L564" s="2266"/>
      <c r="M564" s="2267"/>
      <c r="N564" s="2667"/>
      <c r="O564" s="2668"/>
      <c r="P564" s="2671"/>
      <c r="Q564" s="8645"/>
      <c r="R564" s="2672"/>
      <c r="S564" s="2673"/>
      <c r="T564" s="2672"/>
      <c r="U564" s="2672"/>
      <c r="V564" s="2672"/>
      <c r="W564" s="2672"/>
      <c r="X564" s="2672"/>
      <c r="Y564" s="2672"/>
      <c r="Z564" s="1321"/>
      <c r="AA564" s="1322"/>
      <c r="AB564" s="1387" t="s">
        <v>1107</v>
      </c>
      <c r="AC564" s="1326"/>
      <c r="AD564" s="1326"/>
      <c r="AE564" s="1328"/>
      <c r="AF564" s="2665"/>
      <c r="AG564" s="2666"/>
      <c r="AH564" s="2666"/>
      <c r="AI564" s="8647"/>
      <c r="AJ564" s="2666"/>
      <c r="AK564" s="2666"/>
      <c r="AL564" s="2131"/>
      <c r="AM564" s="1968"/>
      <c r="AN564" s="1968"/>
      <c r="AO564" s="1968"/>
      <c r="AP564" s="1968"/>
      <c r="AQ564" s="1968"/>
      <c r="AR564" s="1968"/>
      <c r="AS564" s="1968"/>
      <c r="AT564" s="1968"/>
      <c r="AU564" s="1968"/>
      <c r="AV564" s="1968"/>
      <c r="AW564" s="1968"/>
      <c r="AX564" s="1968"/>
      <c r="AY564" s="1968"/>
      <c r="AZ564" s="1968"/>
      <c r="BA564" s="1968"/>
      <c r="BB564" s="1968"/>
      <c r="BC564" s="1968"/>
      <c r="BD564" s="1968"/>
      <c r="BE564" s="1968"/>
      <c r="BF564" s="1968"/>
      <c r="BG564" s="7235"/>
    </row>
    <row customHeight="1" ht="11.25">
      <c r="A565" s="1312" t="s">
        <v>1069</v>
      </c>
      <c r="B565" s="1312"/>
      <c r="C565" s="1312"/>
      <c r="D565" s="1306"/>
      <c r="E565" s="1316"/>
      <c r="F565" s="1974"/>
      <c r="G565" s="1975"/>
      <c r="H565" s="2674" t="s">
        <v>1211</v>
      </c>
      <c r="I565" s="2675"/>
      <c r="J565" s="8666"/>
      <c r="K565" s="2676"/>
      <c r="L565" s="2266"/>
      <c r="M565" s="2267"/>
      <c r="N565" s="1321"/>
      <c r="O565" s="1322"/>
      <c r="P565" s="1314" t="s">
        <v>1108</v>
      </c>
      <c r="Q565" s="1322"/>
      <c r="R565" s="1322"/>
      <c r="S565" s="1322"/>
      <c r="T565" s="1322"/>
      <c r="U565" s="1322"/>
      <c r="V565" s="1322"/>
      <c r="W565" s="1322"/>
      <c r="X565" s="1322"/>
      <c r="Y565" s="1322"/>
      <c r="Z565" s="1322"/>
      <c r="AA565" s="1322"/>
      <c r="AB565" s="1322"/>
      <c r="AC565" s="1322"/>
      <c r="AD565" s="1322"/>
      <c r="AE565" s="1329"/>
      <c r="AF565" s="2665"/>
      <c r="AG565" s="2666"/>
      <c r="AH565" s="2666"/>
      <c r="AI565" s="8647"/>
      <c r="AJ565" s="2666"/>
      <c r="AK565" s="2666"/>
      <c r="AL565" s="2131"/>
      <c r="AM565" s="1968"/>
      <c r="AN565" s="1968"/>
      <c r="AO565" s="1968"/>
      <c r="AP565" s="1968"/>
      <c r="AQ565" s="1968"/>
      <c r="AR565" s="1968"/>
      <c r="AS565" s="1968"/>
      <c r="AT565" s="1968"/>
      <c r="AU565" s="1968"/>
      <c r="AV565" s="1968"/>
      <c r="AW565" s="1968"/>
      <c r="AX565" s="1968"/>
      <c r="AY565" s="1968"/>
      <c r="AZ565" s="1968"/>
      <c r="BA565" s="1968"/>
      <c r="BB565" s="1968"/>
      <c r="BC565" s="1968"/>
      <c r="BD565" s="1968"/>
      <c r="BE565" s="1968"/>
      <c r="BF565" s="1968"/>
      <c r="BG565" s="7235"/>
    </row>
    <row customHeight="1" ht="11.25">
      <c r="A566" s="1312" t="s">
        <v>1069</v>
      </c>
      <c r="B566" s="1312" t="s">
        <v>1198</v>
      </c>
      <c r="C566" s="1312"/>
      <c r="D566" s="1306"/>
      <c r="E566" s="1316"/>
      <c r="F566" s="1974"/>
      <c r="G566" s="7143" t="s">
        <v>106</v>
      </c>
      <c r="H566" s="2674" t="s">
        <v>1149</v>
      </c>
      <c r="I566" s="2675" t="s">
        <v>1200</v>
      </c>
      <c r="J566" s="8666" t="s">
        <v>1206</v>
      </c>
      <c r="K566" s="2676" t="s">
        <v>1297</v>
      </c>
      <c r="L566" s="2266" t="s">
        <v>19</v>
      </c>
      <c r="M566" s="2267"/>
      <c r="N566" s="2129"/>
      <c r="O566" s="1323" t="s">
        <v>398</v>
      </c>
      <c r="P566" s="1324"/>
      <c r="Q566" s="1324"/>
      <c r="R566" s="1324"/>
      <c r="S566" s="1324"/>
      <c r="T566" s="1324"/>
      <c r="U566" s="1324"/>
      <c r="V566" s="1324"/>
      <c r="W566" s="1324"/>
      <c r="X566" s="1324"/>
      <c r="Y566" s="1324"/>
      <c r="Z566" s="1324"/>
      <c r="AA566" s="1324"/>
      <c r="AB566" s="1324"/>
      <c r="AC566" s="1324"/>
      <c r="AD566" s="1324"/>
      <c r="AE566" s="1324"/>
      <c r="AF566" s="2665">
        <v>2025</v>
      </c>
      <c r="AG566" s="2666" t="s">
        <v>1103</v>
      </c>
      <c r="AH566" s="2666" t="s">
        <v>1159</v>
      </c>
      <c r="AI566" s="8677">
        <v>2025</v>
      </c>
      <c r="AJ566" s="2666" t="s">
        <v>1103</v>
      </c>
      <c r="AK566" s="2666" t="s">
        <v>1159</v>
      </c>
      <c r="AL566" s="2131"/>
      <c r="AM566" s="1968"/>
      <c r="AN566" s="1968"/>
      <c r="AO566" s="1968"/>
      <c r="AP566" s="1968"/>
      <c r="AQ566" s="1968"/>
      <c r="AR566" s="1968"/>
      <c r="AS566" s="1968"/>
      <c r="AT566" s="1968"/>
      <c r="AU566" s="1968"/>
      <c r="AV566" s="1968"/>
      <c r="AW566" s="1968"/>
      <c r="AX566" s="1968"/>
      <c r="AY566" s="1968"/>
      <c r="AZ566" s="1968"/>
      <c r="BA566" s="1968"/>
      <c r="BB566" s="1968"/>
      <c r="BC566" s="1968"/>
      <c r="BD566" s="1968"/>
      <c r="BE566" s="1968"/>
      <c r="BF566" s="1968"/>
      <c r="BG566" s="7235"/>
    </row>
    <row customHeight="1" ht="11.25">
      <c r="A567" s="1312" t="s">
        <v>1069</v>
      </c>
      <c r="B567" s="1312"/>
      <c r="C567" s="1312"/>
      <c r="D567" s="1306"/>
      <c r="E567" s="1316"/>
      <c r="F567" s="1974"/>
      <c r="G567" s="1975"/>
      <c r="H567" s="2674" t="s">
        <v>1213</v>
      </c>
      <c r="I567" s="2675"/>
      <c r="J567" s="8666"/>
      <c r="K567" s="2676"/>
      <c r="L567" s="2266"/>
      <c r="M567" s="2267"/>
      <c r="N567" s="2667"/>
      <c r="O567" s="2668">
        <v>1</v>
      </c>
      <c r="P567" s="2669" t="s">
        <v>63</v>
      </c>
      <c r="Q567" s="8645" t="s">
        <v>1208</v>
      </c>
      <c r="R567" s="8646" t="s">
        <v>1114</v>
      </c>
      <c r="S567" s="8646" t="s">
        <v>113</v>
      </c>
      <c r="T567" s="8646" t="s">
        <v>113</v>
      </c>
      <c r="U567" s="8646" t="s">
        <v>114</v>
      </c>
      <c r="V567" s="8646" t="s">
        <v>1115</v>
      </c>
      <c r="W567" s="8646" t="s">
        <v>1116</v>
      </c>
      <c r="X567" s="8646" t="s">
        <v>1209</v>
      </c>
      <c r="Y567" s="8646" t="s">
        <v>121</v>
      </c>
      <c r="Z567" s="1321"/>
      <c r="AA567" s="1322"/>
      <c r="AB567" s="1322"/>
      <c r="AC567" s="1326"/>
      <c r="AD567" s="1326"/>
      <c r="AE567" s="1327"/>
      <c r="AF567" s="2665"/>
      <c r="AG567" s="2666"/>
      <c r="AH567" s="2666"/>
      <c r="AI567" s="8677"/>
      <c r="AJ567" s="2666"/>
      <c r="AK567" s="2666"/>
      <c r="AL567" s="2131"/>
      <c r="AM567" s="1968"/>
      <c r="AN567" s="1968"/>
      <c r="AO567" s="1968"/>
      <c r="AP567" s="1968"/>
      <c r="AQ567" s="1968"/>
      <c r="AR567" s="1968"/>
      <c r="AS567" s="1968"/>
      <c r="AT567" s="1968"/>
      <c r="AU567" s="1968"/>
      <c r="AV567" s="1968"/>
      <c r="AW567" s="1968"/>
      <c r="AX567" s="1968"/>
      <c r="AY567" s="1968"/>
      <c r="AZ567" s="1968"/>
      <c r="BA567" s="1968"/>
      <c r="BB567" s="1968"/>
      <c r="BC567" s="1968"/>
      <c r="BD567" s="1968"/>
      <c r="BE567" s="1968"/>
      <c r="BF567" s="1968"/>
      <c r="BG567" s="7235"/>
    </row>
    <row customHeight="1" ht="11.25">
      <c r="A568" s="1312" t="s">
        <v>1069</v>
      </c>
      <c r="B568" s="1312"/>
      <c r="C568" s="1312"/>
      <c r="D568" s="1306"/>
      <c r="E568" s="1316"/>
      <c r="F568" s="1974"/>
      <c r="G568" s="1975"/>
      <c r="H568" s="2674" t="s">
        <v>1213</v>
      </c>
      <c r="I568" s="2675"/>
      <c r="J568" s="8666"/>
      <c r="K568" s="2676"/>
      <c r="L568" s="2266"/>
      <c r="M568" s="2267"/>
      <c r="N568" s="2667"/>
      <c r="O568" s="2668"/>
      <c r="P568" s="2670"/>
      <c r="Q568" s="8645"/>
      <c r="R568" s="2672"/>
      <c r="S568" s="2673"/>
      <c r="T568" s="2672"/>
      <c r="U568" s="2672"/>
      <c r="V568" s="2672"/>
      <c r="W568" s="2672"/>
      <c r="X568" s="2672"/>
      <c r="Y568" s="2672"/>
      <c r="Z568" s="1973"/>
      <c r="AA568" s="1939">
        <v>1</v>
      </c>
      <c r="AB568" s="1325" t="s">
        <v>1131</v>
      </c>
      <c r="AC568" s="1315">
        <v>10756</v>
      </c>
      <c r="AD568" s="1325" t="str">
        <f>AB568</f>
        <v>      Прочие амортизационные отчисления</v>
      </c>
      <c r="AE568" s="1315">
        <v>10713</v>
      </c>
      <c r="AF568" s="2665"/>
      <c r="AG568" s="2666"/>
      <c r="AH568" s="2666"/>
      <c r="AI568" s="8677"/>
      <c r="AJ568" s="2666"/>
      <c r="AK568" s="2666"/>
      <c r="AL568" s="2131"/>
      <c r="AM568" s="1968"/>
      <c r="AN568" s="1968"/>
      <c r="AO568" s="1968"/>
      <c r="AP568" s="1968"/>
      <c r="AQ568" s="1968"/>
      <c r="AR568" s="1968"/>
      <c r="AS568" s="1968"/>
      <c r="AT568" s="1968"/>
      <c r="AU568" s="1968"/>
      <c r="AV568" s="1968"/>
      <c r="AW568" s="1968"/>
      <c r="AX568" s="1968"/>
      <c r="AY568" s="1968"/>
      <c r="AZ568" s="1968"/>
      <c r="BA568" s="1968"/>
      <c r="BB568" s="1968"/>
      <c r="BC568" s="1968"/>
      <c r="BD568" s="1968"/>
      <c r="BE568" s="1968"/>
      <c r="BF568" s="1968"/>
      <c r="BG568" s="7235"/>
    </row>
    <row customHeight="1" ht="11.25">
      <c r="A569" s="1312" t="s">
        <v>1069</v>
      </c>
      <c r="B569" s="1312"/>
      <c r="C569" s="1312"/>
      <c r="D569" s="1306"/>
      <c r="E569" s="1316"/>
      <c r="F569" s="1974"/>
      <c r="G569" s="1975"/>
      <c r="H569" s="2674" t="s">
        <v>1213</v>
      </c>
      <c r="I569" s="2675"/>
      <c r="J569" s="8666"/>
      <c r="K569" s="2676"/>
      <c r="L569" s="2266"/>
      <c r="M569" s="2267"/>
      <c r="N569" s="2667"/>
      <c r="O569" s="2668"/>
      <c r="P569" s="2671"/>
      <c r="Q569" s="8645"/>
      <c r="R569" s="2672"/>
      <c r="S569" s="2673"/>
      <c r="T569" s="2672"/>
      <c r="U569" s="2672"/>
      <c r="V569" s="2672"/>
      <c r="W569" s="2672"/>
      <c r="X569" s="2672"/>
      <c r="Y569" s="2672"/>
      <c r="Z569" s="1321"/>
      <c r="AA569" s="1322"/>
      <c r="AB569" s="1387" t="s">
        <v>1107</v>
      </c>
      <c r="AC569" s="1326"/>
      <c r="AD569" s="1326"/>
      <c r="AE569" s="1328"/>
      <c r="AF569" s="2665"/>
      <c r="AG569" s="2666"/>
      <c r="AH569" s="2666"/>
      <c r="AI569" s="8677"/>
      <c r="AJ569" s="2666"/>
      <c r="AK569" s="2666"/>
      <c r="AL569" s="2131"/>
      <c r="AM569" s="1968"/>
      <c r="AN569" s="1968"/>
      <c r="AO569" s="1968"/>
      <c r="AP569" s="1968"/>
      <c r="AQ569" s="1968"/>
      <c r="AR569" s="1968"/>
      <c r="AS569" s="1968"/>
      <c r="AT569" s="1968"/>
      <c r="AU569" s="1968"/>
      <c r="AV569" s="1968"/>
      <c r="AW569" s="1968"/>
      <c r="AX569" s="1968"/>
      <c r="AY569" s="1968"/>
      <c r="AZ569" s="1968"/>
      <c r="BA569" s="1968"/>
      <c r="BB569" s="1968"/>
      <c r="BC569" s="1968"/>
      <c r="BD569" s="1968"/>
      <c r="BE569" s="1968"/>
      <c r="BF569" s="1968"/>
      <c r="BG569" s="7235"/>
    </row>
    <row customHeight="1" ht="11.25">
      <c r="A570" s="1312" t="s">
        <v>1069</v>
      </c>
      <c r="B570" s="1312"/>
      <c r="C570" s="1312"/>
      <c r="D570" s="1306"/>
      <c r="E570" s="1316"/>
      <c r="F570" s="1974"/>
      <c r="G570" s="1975"/>
      <c r="H570" s="2674" t="s">
        <v>1213</v>
      </c>
      <c r="I570" s="2675"/>
      <c r="J570" s="8666"/>
      <c r="K570" s="2676"/>
      <c r="L570" s="2266"/>
      <c r="M570" s="2267"/>
      <c r="N570" s="1321"/>
      <c r="O570" s="1322"/>
      <c r="P570" s="1314" t="s">
        <v>1108</v>
      </c>
      <c r="Q570" s="1322"/>
      <c r="R570" s="1322"/>
      <c r="S570" s="1322"/>
      <c r="T570" s="1322"/>
      <c r="U570" s="1322"/>
      <c r="V570" s="1322"/>
      <c r="W570" s="1322"/>
      <c r="X570" s="1322"/>
      <c r="Y570" s="1322"/>
      <c r="Z570" s="1322"/>
      <c r="AA570" s="1322"/>
      <c r="AB570" s="1322"/>
      <c r="AC570" s="1322"/>
      <c r="AD570" s="1322"/>
      <c r="AE570" s="1329"/>
      <c r="AF570" s="2665"/>
      <c r="AG570" s="2666"/>
      <c r="AH570" s="2666"/>
      <c r="AI570" s="8677"/>
      <c r="AJ570" s="2666"/>
      <c r="AK570" s="2666"/>
      <c r="AL570" s="2131"/>
      <c r="AM570" s="1968"/>
      <c r="AN570" s="1968"/>
      <c r="AO570" s="1968"/>
      <c r="AP570" s="1968"/>
      <c r="AQ570" s="1968"/>
      <c r="AR570" s="1968"/>
      <c r="AS570" s="1968"/>
      <c r="AT570" s="1968"/>
      <c r="AU570" s="1968"/>
      <c r="AV570" s="1968"/>
      <c r="AW570" s="1968"/>
      <c r="AX570" s="1968"/>
      <c r="AY570" s="1968"/>
      <c r="AZ570" s="1968"/>
      <c r="BA570" s="1968"/>
      <c r="BB570" s="1968"/>
      <c r="BC570" s="1968"/>
      <c r="BD570" s="1968"/>
      <c r="BE570" s="1968"/>
      <c r="BF570" s="1968"/>
      <c r="BG570" s="7235"/>
    </row>
    <row customHeight="1" ht="11.25">
      <c r="A571" s="1312" t="s">
        <v>1069</v>
      </c>
      <c r="B571" s="1312" t="s">
        <v>1198</v>
      </c>
      <c r="C571" s="1312"/>
      <c r="D571" s="1306"/>
      <c r="E571" s="1316"/>
      <c r="F571" s="1974"/>
      <c r="G571" s="7143" t="s">
        <v>106</v>
      </c>
      <c r="H571" s="2674" t="s">
        <v>1217</v>
      </c>
      <c r="I571" s="2675" t="s">
        <v>1200</v>
      </c>
      <c r="J571" s="8666" t="s">
        <v>1206</v>
      </c>
      <c r="K571" s="2676" t="s">
        <v>1298</v>
      </c>
      <c r="L571" s="2266" t="s">
        <v>19</v>
      </c>
      <c r="M571" s="2267"/>
      <c r="N571" s="2129"/>
      <c r="O571" s="1323" t="s">
        <v>398</v>
      </c>
      <c r="P571" s="1324"/>
      <c r="Q571" s="1324"/>
      <c r="R571" s="1324"/>
      <c r="S571" s="1324"/>
      <c r="T571" s="1324"/>
      <c r="U571" s="1324"/>
      <c r="V571" s="1324"/>
      <c r="W571" s="1324"/>
      <c r="X571" s="1324"/>
      <c r="Y571" s="1324"/>
      <c r="Z571" s="1324"/>
      <c r="AA571" s="1324"/>
      <c r="AB571" s="1324"/>
      <c r="AC571" s="1324"/>
      <c r="AD571" s="1324"/>
      <c r="AE571" s="1324"/>
      <c r="AF571" s="2665">
        <v>2025</v>
      </c>
      <c r="AG571" s="2666" t="s">
        <v>1103</v>
      </c>
      <c r="AH571" s="2666" t="s">
        <v>1159</v>
      </c>
      <c r="AI571" s="8677">
        <v>2025</v>
      </c>
      <c r="AJ571" s="2666" t="s">
        <v>1103</v>
      </c>
      <c r="AK571" s="2666" t="s">
        <v>1159</v>
      </c>
      <c r="AL571" s="2131"/>
      <c r="AM571" s="1968"/>
      <c r="AN571" s="1968"/>
      <c r="AO571" s="1968"/>
      <c r="AP571" s="1968"/>
      <c r="AQ571" s="1968"/>
      <c r="AR571" s="1968"/>
      <c r="AS571" s="1968"/>
      <c r="AT571" s="1968"/>
      <c r="AU571" s="1968"/>
      <c r="AV571" s="1968"/>
      <c r="AW571" s="1968"/>
      <c r="AX571" s="1968"/>
      <c r="AY571" s="1968"/>
      <c r="AZ571" s="1968"/>
      <c r="BA571" s="1968"/>
      <c r="BB571" s="1968"/>
      <c r="BC571" s="1968"/>
      <c r="BD571" s="1968"/>
      <c r="BE571" s="1968"/>
      <c r="BF571" s="1968"/>
      <c r="BG571" s="7235"/>
    </row>
    <row customHeight="1" ht="11.25">
      <c r="A572" s="1312" t="s">
        <v>1069</v>
      </c>
      <c r="B572" s="1312"/>
      <c r="C572" s="1312"/>
      <c r="D572" s="1306"/>
      <c r="E572" s="1316"/>
      <c r="F572" s="1974"/>
      <c r="G572" s="1975"/>
      <c r="H572" s="2674" t="s">
        <v>1149</v>
      </c>
      <c r="I572" s="2675"/>
      <c r="J572" s="8666"/>
      <c r="K572" s="2676"/>
      <c r="L572" s="2266"/>
      <c r="M572" s="2267"/>
      <c r="N572" s="2667"/>
      <c r="O572" s="2668">
        <v>1</v>
      </c>
      <c r="P572" s="2669" t="s">
        <v>63</v>
      </c>
      <c r="Q572" s="8645" t="s">
        <v>1208</v>
      </c>
      <c r="R572" s="8646" t="s">
        <v>1114</v>
      </c>
      <c r="S572" s="8646" t="s">
        <v>113</v>
      </c>
      <c r="T572" s="8646" t="s">
        <v>113</v>
      </c>
      <c r="U572" s="8646" t="s">
        <v>114</v>
      </c>
      <c r="V572" s="8646" t="s">
        <v>1115</v>
      </c>
      <c r="W572" s="8646" t="s">
        <v>1116</v>
      </c>
      <c r="X572" s="8646" t="s">
        <v>1209</v>
      </c>
      <c r="Y572" s="8646" t="s">
        <v>121</v>
      </c>
      <c r="Z572" s="1321"/>
      <c r="AA572" s="1322"/>
      <c r="AB572" s="1322"/>
      <c r="AC572" s="1326"/>
      <c r="AD572" s="1326"/>
      <c r="AE572" s="1327"/>
      <c r="AF572" s="2665"/>
      <c r="AG572" s="2666"/>
      <c r="AH572" s="2666"/>
      <c r="AI572" s="8677"/>
      <c r="AJ572" s="2666"/>
      <c r="AK572" s="2666"/>
      <c r="AL572" s="2131"/>
      <c r="AM572" s="1968"/>
      <c r="AN572" s="1968"/>
      <c r="AO572" s="1968"/>
      <c r="AP572" s="1968"/>
      <c r="AQ572" s="1968"/>
      <c r="AR572" s="1968"/>
      <c r="AS572" s="1968"/>
      <c r="AT572" s="1968"/>
      <c r="AU572" s="1968"/>
      <c r="AV572" s="1968"/>
      <c r="AW572" s="1968"/>
      <c r="AX572" s="1968"/>
      <c r="AY572" s="1968"/>
      <c r="AZ572" s="1968"/>
      <c r="BA572" s="1968"/>
      <c r="BB572" s="1968"/>
      <c r="BC572" s="1968"/>
      <c r="BD572" s="1968"/>
      <c r="BE572" s="1968"/>
      <c r="BF572" s="1968"/>
      <c r="BG572" s="7235"/>
    </row>
    <row customHeight="1" ht="11.25">
      <c r="A573" s="1312" t="s">
        <v>1069</v>
      </c>
      <c r="B573" s="1312"/>
      <c r="C573" s="1312"/>
      <c r="D573" s="1306"/>
      <c r="E573" s="1316"/>
      <c r="F573" s="1974"/>
      <c r="G573" s="1975"/>
      <c r="H573" s="2674" t="s">
        <v>1149</v>
      </c>
      <c r="I573" s="2675"/>
      <c r="J573" s="8666"/>
      <c r="K573" s="2676"/>
      <c r="L573" s="2266"/>
      <c r="M573" s="2267"/>
      <c r="N573" s="2667"/>
      <c r="O573" s="2668"/>
      <c r="P573" s="2670"/>
      <c r="Q573" s="8645"/>
      <c r="R573" s="2672"/>
      <c r="S573" s="2673"/>
      <c r="T573" s="2672"/>
      <c r="U573" s="2672"/>
      <c r="V573" s="2672"/>
      <c r="W573" s="2672"/>
      <c r="X573" s="2672"/>
      <c r="Y573" s="2672"/>
      <c r="Z573" s="1973"/>
      <c r="AA573" s="1939">
        <v>1</v>
      </c>
      <c r="AB573" s="1325" t="s">
        <v>1131</v>
      </c>
      <c r="AC573" s="1315">
        <v>28501</v>
      </c>
      <c r="AD573" s="1325" t="str">
        <f>AB573</f>
        <v>      Прочие амортизационные отчисления</v>
      </c>
      <c r="AE573" s="1315">
        <v>21107</v>
      </c>
      <c r="AF573" s="2665"/>
      <c r="AG573" s="2666"/>
      <c r="AH573" s="2666"/>
      <c r="AI573" s="8677"/>
      <c r="AJ573" s="2666"/>
      <c r="AK573" s="2666"/>
      <c r="AL573" s="2131"/>
      <c r="AM573" s="1968"/>
      <c r="AN573" s="1968"/>
      <c r="AO573" s="1968"/>
      <c r="AP573" s="1968"/>
      <c r="AQ573" s="1968"/>
      <c r="AR573" s="1968"/>
      <c r="AS573" s="1968"/>
      <c r="AT573" s="1968"/>
      <c r="AU573" s="1968"/>
      <c r="AV573" s="1968"/>
      <c r="AW573" s="1968"/>
      <c r="AX573" s="1968"/>
      <c r="AY573" s="1968"/>
      <c r="AZ573" s="1968"/>
      <c r="BA573" s="1968"/>
      <c r="BB573" s="1968"/>
      <c r="BC573" s="1968"/>
      <c r="BD573" s="1968"/>
      <c r="BE573" s="1968"/>
      <c r="BF573" s="1968"/>
      <c r="BG573" s="7235"/>
    </row>
    <row customHeight="1" ht="11.25">
      <c r="A574" s="1312" t="s">
        <v>1069</v>
      </c>
      <c r="B574" s="1312"/>
      <c r="C574" s="1312"/>
      <c r="D574" s="1306"/>
      <c r="E574" s="1316"/>
      <c r="F574" s="1974"/>
      <c r="G574" s="1975"/>
      <c r="H574" s="2674" t="s">
        <v>1149</v>
      </c>
      <c r="I574" s="2675"/>
      <c r="J574" s="8666"/>
      <c r="K574" s="2676"/>
      <c r="L574" s="2266"/>
      <c r="M574" s="2267"/>
      <c r="N574" s="2667"/>
      <c r="O574" s="2668"/>
      <c r="P574" s="2671"/>
      <c r="Q574" s="8645"/>
      <c r="R574" s="2672"/>
      <c r="S574" s="2673"/>
      <c r="T574" s="2672"/>
      <c r="U574" s="2672"/>
      <c r="V574" s="2672"/>
      <c r="W574" s="2672"/>
      <c r="X574" s="2672"/>
      <c r="Y574" s="2672"/>
      <c r="Z574" s="1321"/>
      <c r="AA574" s="1322"/>
      <c r="AB574" s="1387" t="s">
        <v>1107</v>
      </c>
      <c r="AC574" s="1326"/>
      <c r="AD574" s="1326"/>
      <c r="AE574" s="1328"/>
      <c r="AF574" s="2665"/>
      <c r="AG574" s="2666"/>
      <c r="AH574" s="2666"/>
      <c r="AI574" s="8677"/>
      <c r="AJ574" s="2666"/>
      <c r="AK574" s="2666"/>
      <c r="AL574" s="2131"/>
      <c r="AM574" s="1968"/>
      <c r="AN574" s="1968"/>
      <c r="AO574" s="1968"/>
      <c r="AP574" s="1968"/>
      <c r="AQ574" s="1968"/>
      <c r="AR574" s="1968"/>
      <c r="AS574" s="1968"/>
      <c r="AT574" s="1968"/>
      <c r="AU574" s="1968"/>
      <c r="AV574" s="1968"/>
      <c r="AW574" s="1968"/>
      <c r="AX574" s="1968"/>
      <c r="AY574" s="1968"/>
      <c r="AZ574" s="1968"/>
      <c r="BA574" s="1968"/>
      <c r="BB574" s="1968"/>
      <c r="BC574" s="1968"/>
      <c r="BD574" s="1968"/>
      <c r="BE574" s="1968"/>
      <c r="BF574" s="1968"/>
      <c r="BG574" s="7235"/>
    </row>
    <row customHeight="1" ht="11.25">
      <c r="A575" s="1312" t="s">
        <v>1069</v>
      </c>
      <c r="B575" s="1312"/>
      <c r="C575" s="1312"/>
      <c r="D575" s="1306"/>
      <c r="E575" s="1316"/>
      <c r="F575" s="1974"/>
      <c r="G575" s="1975"/>
      <c r="H575" s="2674" t="s">
        <v>1149</v>
      </c>
      <c r="I575" s="2675"/>
      <c r="J575" s="8666"/>
      <c r="K575" s="2676"/>
      <c r="L575" s="2266"/>
      <c r="M575" s="2267"/>
      <c r="N575" s="1321"/>
      <c r="O575" s="1322"/>
      <c r="P575" s="1314" t="s">
        <v>1108</v>
      </c>
      <c r="Q575" s="1322"/>
      <c r="R575" s="1322"/>
      <c r="S575" s="1322"/>
      <c r="T575" s="1322"/>
      <c r="U575" s="1322"/>
      <c r="V575" s="1322"/>
      <c r="W575" s="1322"/>
      <c r="X575" s="1322"/>
      <c r="Y575" s="1322"/>
      <c r="Z575" s="1322"/>
      <c r="AA575" s="1322"/>
      <c r="AB575" s="1322"/>
      <c r="AC575" s="1322"/>
      <c r="AD575" s="1322"/>
      <c r="AE575" s="1329"/>
      <c r="AF575" s="2665"/>
      <c r="AG575" s="2666"/>
      <c r="AH575" s="2666"/>
      <c r="AI575" s="8677"/>
      <c r="AJ575" s="2666"/>
      <c r="AK575" s="2666"/>
      <c r="AL575" s="2131"/>
      <c r="AM575" s="1968"/>
      <c r="AN575" s="1968"/>
      <c r="AO575" s="1968"/>
      <c r="AP575" s="1968"/>
      <c r="AQ575" s="1968"/>
      <c r="AR575" s="1968"/>
      <c r="AS575" s="1968"/>
      <c r="AT575" s="1968"/>
      <c r="AU575" s="1968"/>
      <c r="AV575" s="1968"/>
      <c r="AW575" s="1968"/>
      <c r="AX575" s="1968"/>
      <c r="AY575" s="1968"/>
      <c r="AZ575" s="1968"/>
      <c r="BA575" s="1968"/>
      <c r="BB575" s="1968"/>
      <c r="BC575" s="1968"/>
      <c r="BD575" s="1968"/>
      <c r="BE575" s="1968"/>
      <c r="BF575" s="1968"/>
      <c r="BG575" s="7235"/>
    </row>
    <row customHeight="1" ht="11.25">
      <c r="A576" s="1312" t="s">
        <v>1069</v>
      </c>
      <c r="B576" s="1312" t="s">
        <v>1198</v>
      </c>
      <c r="C576" s="1312"/>
      <c r="D576" s="1306"/>
      <c r="E576" s="1316"/>
      <c r="F576" s="1974"/>
      <c r="G576" s="7143" t="s">
        <v>106</v>
      </c>
      <c r="H576" s="2674" t="s">
        <v>1167</v>
      </c>
      <c r="I576" s="2675" t="s">
        <v>1200</v>
      </c>
      <c r="J576" s="8666" t="s">
        <v>1206</v>
      </c>
      <c r="K576" s="2676" t="s">
        <v>1299</v>
      </c>
      <c r="L576" s="2266" t="s">
        <v>19</v>
      </c>
      <c r="M576" s="2267"/>
      <c r="N576" s="2129"/>
      <c r="O576" s="1323" t="s">
        <v>398</v>
      </c>
      <c r="P576" s="1324"/>
      <c r="Q576" s="1324"/>
      <c r="R576" s="1324"/>
      <c r="S576" s="1324"/>
      <c r="T576" s="1324"/>
      <c r="U576" s="1324"/>
      <c r="V576" s="1324"/>
      <c r="W576" s="1324"/>
      <c r="X576" s="1324"/>
      <c r="Y576" s="1324"/>
      <c r="Z576" s="1324"/>
      <c r="AA576" s="1324"/>
      <c r="AB576" s="1324"/>
      <c r="AC576" s="1324"/>
      <c r="AD576" s="1324"/>
      <c r="AE576" s="1324"/>
      <c r="AF576" s="2665">
        <v>2028</v>
      </c>
      <c r="AG576" s="2666" t="s">
        <v>1103</v>
      </c>
      <c r="AH576" s="2666" t="s">
        <v>1228</v>
      </c>
      <c r="AI576" s="8647"/>
      <c r="AJ576" s="2666" t="s">
        <v>1105</v>
      </c>
      <c r="AK576" s="2666" t="s">
        <v>1105</v>
      </c>
      <c r="AL576" s="2131"/>
      <c r="AM576" s="1968"/>
      <c r="AN576" s="1968"/>
      <c r="AO576" s="1968"/>
      <c r="AP576" s="1968"/>
      <c r="AQ576" s="1968"/>
      <c r="AR576" s="1968"/>
      <c r="AS576" s="1968"/>
      <c r="AT576" s="1968"/>
      <c r="AU576" s="1968"/>
      <c r="AV576" s="1968"/>
      <c r="AW576" s="1968"/>
      <c r="AX576" s="1968"/>
      <c r="AY576" s="1968"/>
      <c r="AZ576" s="1968"/>
      <c r="BA576" s="1968"/>
      <c r="BB576" s="1968"/>
      <c r="BC576" s="1968"/>
      <c r="BD576" s="1968"/>
      <c r="BE576" s="1968"/>
      <c r="BF576" s="1968"/>
      <c r="BG576" s="7235"/>
    </row>
    <row customHeight="1" ht="11.25">
      <c r="A577" s="1312" t="s">
        <v>1069</v>
      </c>
      <c r="B577" s="1312"/>
      <c r="C577" s="1312"/>
      <c r="D577" s="1306"/>
      <c r="E577" s="1316"/>
      <c r="F577" s="1974"/>
      <c r="G577" s="1975"/>
      <c r="H577" s="2674" t="s">
        <v>1217</v>
      </c>
      <c r="I577" s="2675"/>
      <c r="J577" s="8666"/>
      <c r="K577" s="2676"/>
      <c r="L577" s="2266"/>
      <c r="M577" s="2267"/>
      <c r="N577" s="2667"/>
      <c r="O577" s="2668">
        <v>1</v>
      </c>
      <c r="P577" s="2669" t="s">
        <v>63</v>
      </c>
      <c r="Q577" s="8645" t="s">
        <v>1208</v>
      </c>
      <c r="R577" s="8646" t="s">
        <v>1114</v>
      </c>
      <c r="S577" s="8646" t="s">
        <v>113</v>
      </c>
      <c r="T577" s="8646" t="s">
        <v>113</v>
      </c>
      <c r="U577" s="8646" t="s">
        <v>114</v>
      </c>
      <c r="V577" s="8646" t="s">
        <v>1115</v>
      </c>
      <c r="W577" s="8646" t="s">
        <v>1116</v>
      </c>
      <c r="X577" s="8646" t="s">
        <v>1209</v>
      </c>
      <c r="Y577" s="8646" t="s">
        <v>121</v>
      </c>
      <c r="Z577" s="1321"/>
      <c r="AA577" s="1322"/>
      <c r="AB577" s="1322"/>
      <c r="AC577" s="1326"/>
      <c r="AD577" s="1326"/>
      <c r="AE577" s="1327"/>
      <c r="AF577" s="2665"/>
      <c r="AG577" s="2666"/>
      <c r="AH577" s="2666"/>
      <c r="AI577" s="8647"/>
      <c r="AJ577" s="2666"/>
      <c r="AK577" s="2666"/>
      <c r="AL577" s="2131"/>
      <c r="AM577" s="1968"/>
      <c r="AN577" s="1968"/>
      <c r="AO577" s="1968"/>
      <c r="AP577" s="1968"/>
      <c r="AQ577" s="1968"/>
      <c r="AR577" s="1968"/>
      <c r="AS577" s="1968"/>
      <c r="AT577" s="1968"/>
      <c r="AU577" s="1968"/>
      <c r="AV577" s="1968"/>
      <c r="AW577" s="1968"/>
      <c r="AX577" s="1968"/>
      <c r="AY577" s="1968"/>
      <c r="AZ577" s="1968"/>
      <c r="BA577" s="1968"/>
      <c r="BB577" s="1968"/>
      <c r="BC577" s="1968"/>
      <c r="BD577" s="1968"/>
      <c r="BE577" s="1968"/>
      <c r="BF577" s="1968"/>
      <c r="BG577" s="7235"/>
    </row>
    <row customHeight="1" ht="11.25">
      <c r="A578" s="1312" t="s">
        <v>1069</v>
      </c>
      <c r="B578" s="1312"/>
      <c r="C578" s="1312"/>
      <c r="D578" s="1306"/>
      <c r="E578" s="1316"/>
      <c r="F578" s="1974"/>
      <c r="G578" s="1975"/>
      <c r="H578" s="2674" t="s">
        <v>1217</v>
      </c>
      <c r="I578" s="2675"/>
      <c r="J578" s="8666"/>
      <c r="K578" s="2676"/>
      <c r="L578" s="2266"/>
      <c r="M578" s="2267"/>
      <c r="N578" s="2667"/>
      <c r="O578" s="2668"/>
      <c r="P578" s="2670"/>
      <c r="Q578" s="8645"/>
      <c r="R578" s="2672"/>
      <c r="S578" s="2673"/>
      <c r="T578" s="2672"/>
      <c r="U578" s="2672"/>
      <c r="V578" s="2672"/>
      <c r="W578" s="2672"/>
      <c r="X578" s="2672"/>
      <c r="Y578" s="2672"/>
      <c r="Z578" s="1973"/>
      <c r="AA578" s="1939">
        <v>1</v>
      </c>
      <c r="AB578" s="1325" t="s">
        <v>1131</v>
      </c>
      <c r="AC578" s="1315">
        <v>1737</v>
      </c>
      <c r="AD578" s="1325" t="str">
        <f>AB578</f>
        <v>      Прочие амортизационные отчисления</v>
      </c>
      <c r="AE578" s="1315">
        <v>2019</v>
      </c>
      <c r="AF578" s="2665"/>
      <c r="AG578" s="2666"/>
      <c r="AH578" s="2666"/>
      <c r="AI578" s="8647"/>
      <c r="AJ578" s="2666"/>
      <c r="AK578" s="2666"/>
      <c r="AL578" s="2131"/>
      <c r="AM578" s="1968"/>
      <c r="AN578" s="1968"/>
      <c r="AO578" s="1968"/>
      <c r="AP578" s="1968"/>
      <c r="AQ578" s="1968"/>
      <c r="AR578" s="1968"/>
      <c r="AS578" s="1968"/>
      <c r="AT578" s="1968"/>
      <c r="AU578" s="1968"/>
      <c r="AV578" s="1968"/>
      <c r="AW578" s="1968"/>
      <c r="AX578" s="1968"/>
      <c r="AY578" s="1968"/>
      <c r="AZ578" s="1968"/>
      <c r="BA578" s="1968"/>
      <c r="BB578" s="1968"/>
      <c r="BC578" s="1968"/>
      <c r="BD578" s="1968"/>
      <c r="BE578" s="1968"/>
      <c r="BF578" s="1968"/>
      <c r="BG578" s="7235"/>
    </row>
    <row customHeight="1" ht="11.25">
      <c r="A579" s="1312" t="s">
        <v>1069</v>
      </c>
      <c r="B579" s="1312"/>
      <c r="C579" s="1312"/>
      <c r="D579" s="1306"/>
      <c r="E579" s="1316"/>
      <c r="F579" s="1974"/>
      <c r="G579" s="1975"/>
      <c r="H579" s="2674" t="s">
        <v>1217</v>
      </c>
      <c r="I579" s="2675"/>
      <c r="J579" s="8666"/>
      <c r="K579" s="2676"/>
      <c r="L579" s="2266"/>
      <c r="M579" s="2267"/>
      <c r="N579" s="2667"/>
      <c r="O579" s="2668"/>
      <c r="P579" s="2671"/>
      <c r="Q579" s="8645"/>
      <c r="R579" s="2672"/>
      <c r="S579" s="2673"/>
      <c r="T579" s="2672"/>
      <c r="U579" s="2672"/>
      <c r="V579" s="2672"/>
      <c r="W579" s="2672"/>
      <c r="X579" s="2672"/>
      <c r="Y579" s="2672"/>
      <c r="Z579" s="1321"/>
      <c r="AA579" s="1322"/>
      <c r="AB579" s="1387" t="s">
        <v>1107</v>
      </c>
      <c r="AC579" s="1326"/>
      <c r="AD579" s="1326"/>
      <c r="AE579" s="1328"/>
      <c r="AF579" s="2665"/>
      <c r="AG579" s="2666"/>
      <c r="AH579" s="2666"/>
      <c r="AI579" s="8647"/>
      <c r="AJ579" s="2666"/>
      <c r="AK579" s="2666"/>
      <c r="AL579" s="2131"/>
      <c r="AM579" s="1968"/>
      <c r="AN579" s="1968"/>
      <c r="AO579" s="1968"/>
      <c r="AP579" s="1968"/>
      <c r="AQ579" s="1968"/>
      <c r="AR579" s="1968"/>
      <c r="AS579" s="1968"/>
      <c r="AT579" s="1968"/>
      <c r="AU579" s="1968"/>
      <c r="AV579" s="1968"/>
      <c r="AW579" s="1968"/>
      <c r="AX579" s="1968"/>
      <c r="AY579" s="1968"/>
      <c r="AZ579" s="1968"/>
      <c r="BA579" s="1968"/>
      <c r="BB579" s="1968"/>
      <c r="BC579" s="1968"/>
      <c r="BD579" s="1968"/>
      <c r="BE579" s="1968"/>
      <c r="BF579" s="1968"/>
      <c r="BG579" s="7235"/>
    </row>
    <row customHeight="1" ht="11.25">
      <c r="A580" s="1312" t="s">
        <v>1069</v>
      </c>
      <c r="B580" s="1312"/>
      <c r="C580" s="1312"/>
      <c r="D580" s="1306"/>
      <c r="E580" s="1316"/>
      <c r="F580" s="1974"/>
      <c r="G580" s="1975"/>
      <c r="H580" s="2674" t="s">
        <v>1217</v>
      </c>
      <c r="I580" s="2675"/>
      <c r="J580" s="8666"/>
      <c r="K580" s="2676"/>
      <c r="L580" s="2266"/>
      <c r="M580" s="2267"/>
      <c r="N580" s="1321"/>
      <c r="O580" s="1322"/>
      <c r="P580" s="1314" t="s">
        <v>1108</v>
      </c>
      <c r="Q580" s="1322"/>
      <c r="R580" s="1322"/>
      <c r="S580" s="1322"/>
      <c r="T580" s="1322"/>
      <c r="U580" s="1322"/>
      <c r="V580" s="1322"/>
      <c r="W580" s="1322"/>
      <c r="X580" s="1322"/>
      <c r="Y580" s="1322"/>
      <c r="Z580" s="1322"/>
      <c r="AA580" s="1322"/>
      <c r="AB580" s="1322"/>
      <c r="AC580" s="1322"/>
      <c r="AD580" s="1322"/>
      <c r="AE580" s="1329"/>
      <c r="AF580" s="2665"/>
      <c r="AG580" s="2666"/>
      <c r="AH580" s="2666"/>
      <c r="AI580" s="8647"/>
      <c r="AJ580" s="2666"/>
      <c r="AK580" s="2666"/>
      <c r="AL580" s="2131"/>
      <c r="AM580" s="1968"/>
      <c r="AN580" s="1968"/>
      <c r="AO580" s="1968"/>
      <c r="AP580" s="1968"/>
      <c r="AQ580" s="1968"/>
      <c r="AR580" s="1968"/>
      <c r="AS580" s="1968"/>
      <c r="AT580" s="1968"/>
      <c r="AU580" s="1968"/>
      <c r="AV580" s="1968"/>
      <c r="AW580" s="1968"/>
      <c r="AX580" s="1968"/>
      <c r="AY580" s="1968"/>
      <c r="AZ580" s="1968"/>
      <c r="BA580" s="1968"/>
      <c r="BB580" s="1968"/>
      <c r="BC580" s="1968"/>
      <c r="BD580" s="1968"/>
      <c r="BE580" s="1968"/>
      <c r="BF580" s="1968"/>
      <c r="BG580" s="7235"/>
    </row>
    <row customHeight="1" ht="11.25">
      <c r="A581" s="1312" t="s">
        <v>1069</v>
      </c>
      <c r="B581" s="1312" t="s">
        <v>1198</v>
      </c>
      <c r="C581" s="1312"/>
      <c r="D581" s="1306"/>
      <c r="E581" s="1316"/>
      <c r="F581" s="1974"/>
      <c r="G581" s="7143" t="s">
        <v>106</v>
      </c>
      <c r="H581" s="2674" t="s">
        <v>1220</v>
      </c>
      <c r="I581" s="2675" t="s">
        <v>1200</v>
      </c>
      <c r="J581" s="8666" t="s">
        <v>1206</v>
      </c>
      <c r="K581" s="2676" t="s">
        <v>1300</v>
      </c>
      <c r="L581" s="2266" t="s">
        <v>19</v>
      </c>
      <c r="M581" s="2267"/>
      <c r="N581" s="2129"/>
      <c r="O581" s="1323" t="s">
        <v>398</v>
      </c>
      <c r="P581" s="1324"/>
      <c r="Q581" s="1324"/>
      <c r="R581" s="1324"/>
      <c r="S581" s="1324"/>
      <c r="T581" s="1324"/>
      <c r="U581" s="1324"/>
      <c r="V581" s="1324"/>
      <c r="W581" s="1324"/>
      <c r="X581" s="1324"/>
      <c r="Y581" s="1324"/>
      <c r="Z581" s="1324"/>
      <c r="AA581" s="1324"/>
      <c r="AB581" s="1324"/>
      <c r="AC581" s="1324"/>
      <c r="AD581" s="1324"/>
      <c r="AE581" s="1324"/>
      <c r="AF581" s="2665">
        <v>2029</v>
      </c>
      <c r="AG581" s="2666" t="s">
        <v>1103</v>
      </c>
      <c r="AH581" s="2666" t="s">
        <v>1215</v>
      </c>
      <c r="AI581" s="8647"/>
      <c r="AJ581" s="2666" t="s">
        <v>1105</v>
      </c>
      <c r="AK581" s="2666" t="s">
        <v>1105</v>
      </c>
      <c r="AL581" s="2131"/>
      <c r="AM581" s="1968"/>
      <c r="AN581" s="1968"/>
      <c r="AO581" s="1968"/>
      <c r="AP581" s="1968"/>
      <c r="AQ581" s="1968"/>
      <c r="AR581" s="1968"/>
      <c r="AS581" s="1968"/>
      <c r="AT581" s="1968"/>
      <c r="AU581" s="1968"/>
      <c r="AV581" s="1968"/>
      <c r="AW581" s="1968"/>
      <c r="AX581" s="1968"/>
      <c r="AY581" s="1968"/>
      <c r="AZ581" s="1968"/>
      <c r="BA581" s="1968"/>
      <c r="BB581" s="1968"/>
      <c r="BC581" s="1968"/>
      <c r="BD581" s="1968"/>
      <c r="BE581" s="1968"/>
      <c r="BF581" s="1968"/>
      <c r="BG581" s="7235"/>
    </row>
    <row customHeight="1" ht="11.25">
      <c r="A582" s="1312" t="s">
        <v>1069</v>
      </c>
      <c r="B582" s="1312"/>
      <c r="C582" s="1312"/>
      <c r="D582" s="1306"/>
      <c r="E582" s="1316"/>
      <c r="F582" s="1974"/>
      <c r="G582" s="1975"/>
      <c r="H582" s="2674" t="s">
        <v>1167</v>
      </c>
      <c r="I582" s="2675"/>
      <c r="J582" s="8666"/>
      <c r="K582" s="2676"/>
      <c r="L582" s="2266"/>
      <c r="M582" s="2267"/>
      <c r="N582" s="2667"/>
      <c r="O582" s="2668">
        <v>1</v>
      </c>
      <c r="P582" s="2669" t="s">
        <v>63</v>
      </c>
      <c r="Q582" s="8645" t="s">
        <v>1208</v>
      </c>
      <c r="R582" s="8646" t="s">
        <v>1114</v>
      </c>
      <c r="S582" s="8646" t="s">
        <v>113</v>
      </c>
      <c r="T582" s="8646" t="s">
        <v>113</v>
      </c>
      <c r="U582" s="8646" t="s">
        <v>114</v>
      </c>
      <c r="V582" s="8646" t="s">
        <v>1115</v>
      </c>
      <c r="W582" s="8646" t="s">
        <v>1116</v>
      </c>
      <c r="X582" s="8646" t="s">
        <v>1209</v>
      </c>
      <c r="Y582" s="8646" t="s">
        <v>121</v>
      </c>
      <c r="Z582" s="1321"/>
      <c r="AA582" s="1322"/>
      <c r="AB582" s="1322"/>
      <c r="AC582" s="1326"/>
      <c r="AD582" s="1326"/>
      <c r="AE582" s="1327"/>
      <c r="AF582" s="2665"/>
      <c r="AG582" s="2666"/>
      <c r="AH582" s="2666"/>
      <c r="AI582" s="8647"/>
      <c r="AJ582" s="2666"/>
      <c r="AK582" s="2666"/>
      <c r="AL582" s="2131"/>
      <c r="AM582" s="1968"/>
      <c r="AN582" s="1968"/>
      <c r="AO582" s="1968"/>
      <c r="AP582" s="1968"/>
      <c r="AQ582" s="1968"/>
      <c r="AR582" s="1968"/>
      <c r="AS582" s="1968"/>
      <c r="AT582" s="1968"/>
      <c r="AU582" s="1968"/>
      <c r="AV582" s="1968"/>
      <c r="AW582" s="1968"/>
      <c r="AX582" s="1968"/>
      <c r="AY582" s="1968"/>
      <c r="AZ582" s="1968"/>
      <c r="BA582" s="1968"/>
      <c r="BB582" s="1968"/>
      <c r="BC582" s="1968"/>
      <c r="BD582" s="1968"/>
      <c r="BE582" s="1968"/>
      <c r="BF582" s="1968"/>
      <c r="BG582" s="7235"/>
    </row>
    <row customHeight="1" ht="11.25">
      <c r="A583" s="1312" t="s">
        <v>1069</v>
      </c>
      <c r="B583" s="1312"/>
      <c r="C583" s="1312"/>
      <c r="D583" s="1306"/>
      <c r="E583" s="1316"/>
      <c r="F583" s="1974"/>
      <c r="G583" s="1975"/>
      <c r="H583" s="2674" t="s">
        <v>1167</v>
      </c>
      <c r="I583" s="2675"/>
      <c r="J583" s="8666"/>
      <c r="K583" s="2676"/>
      <c r="L583" s="2266"/>
      <c r="M583" s="2267"/>
      <c r="N583" s="2667"/>
      <c r="O583" s="2668"/>
      <c r="P583" s="2670"/>
      <c r="Q583" s="8645"/>
      <c r="R583" s="2672"/>
      <c r="S583" s="2673"/>
      <c r="T583" s="2672"/>
      <c r="U583" s="2672"/>
      <c r="V583" s="2672"/>
      <c r="W583" s="2672"/>
      <c r="X583" s="2672"/>
      <c r="Y583" s="2672"/>
      <c r="Z583" s="1973"/>
      <c r="AA583" s="1939">
        <v>1</v>
      </c>
      <c r="AB583" s="1325" t="s">
        <v>1131</v>
      </c>
      <c r="AC583" s="1315">
        <v>2592</v>
      </c>
      <c r="AD583" s="1325" t="str">
        <f>AB583</f>
        <v>      Прочие амортизационные отчисления</v>
      </c>
      <c r="AE583" s="1315">
        <v>2592</v>
      </c>
      <c r="AF583" s="2665"/>
      <c r="AG583" s="2666"/>
      <c r="AH583" s="2666"/>
      <c r="AI583" s="8647"/>
      <c r="AJ583" s="2666"/>
      <c r="AK583" s="2666"/>
      <c r="AL583" s="2131"/>
      <c r="AM583" s="1968"/>
      <c r="AN583" s="1968"/>
      <c r="AO583" s="1968"/>
      <c r="AP583" s="1968"/>
      <c r="AQ583" s="1968"/>
      <c r="AR583" s="1968"/>
      <c r="AS583" s="1968"/>
      <c r="AT583" s="1968"/>
      <c r="AU583" s="1968"/>
      <c r="AV583" s="1968"/>
      <c r="AW583" s="1968"/>
      <c r="AX583" s="1968"/>
      <c r="AY583" s="1968"/>
      <c r="AZ583" s="1968"/>
      <c r="BA583" s="1968"/>
      <c r="BB583" s="1968"/>
      <c r="BC583" s="1968"/>
      <c r="BD583" s="1968"/>
      <c r="BE583" s="1968"/>
      <c r="BF583" s="1968"/>
      <c r="BG583" s="7235"/>
    </row>
    <row customHeight="1" ht="11.25">
      <c r="A584" s="1312" t="s">
        <v>1069</v>
      </c>
      <c r="B584" s="1312"/>
      <c r="C584" s="1312"/>
      <c r="D584" s="1306"/>
      <c r="E584" s="1316"/>
      <c r="F584" s="1974"/>
      <c r="G584" s="1975"/>
      <c r="H584" s="2674" t="s">
        <v>1167</v>
      </c>
      <c r="I584" s="2675"/>
      <c r="J584" s="8666"/>
      <c r="K584" s="2676"/>
      <c r="L584" s="2266"/>
      <c r="M584" s="2267"/>
      <c r="N584" s="2667"/>
      <c r="O584" s="2668"/>
      <c r="P584" s="2671"/>
      <c r="Q584" s="8645"/>
      <c r="R584" s="2672"/>
      <c r="S584" s="2673"/>
      <c r="T584" s="2672"/>
      <c r="U584" s="2672"/>
      <c r="V584" s="2672"/>
      <c r="W584" s="2672"/>
      <c r="X584" s="2672"/>
      <c r="Y584" s="2672"/>
      <c r="Z584" s="1321"/>
      <c r="AA584" s="1322"/>
      <c r="AB584" s="1387" t="s">
        <v>1107</v>
      </c>
      <c r="AC584" s="1326"/>
      <c r="AD584" s="1326"/>
      <c r="AE584" s="1328"/>
      <c r="AF584" s="2665"/>
      <c r="AG584" s="2666"/>
      <c r="AH584" s="2666"/>
      <c r="AI584" s="8647"/>
      <c r="AJ584" s="2666"/>
      <c r="AK584" s="2666"/>
      <c r="AL584" s="2131"/>
      <c r="AM584" s="1968"/>
      <c r="AN584" s="1968"/>
      <c r="AO584" s="1968"/>
      <c r="AP584" s="1968"/>
      <c r="AQ584" s="1968"/>
      <c r="AR584" s="1968"/>
      <c r="AS584" s="1968"/>
      <c r="AT584" s="1968"/>
      <c r="AU584" s="1968"/>
      <c r="AV584" s="1968"/>
      <c r="AW584" s="1968"/>
      <c r="AX584" s="1968"/>
      <c r="AY584" s="1968"/>
      <c r="AZ584" s="1968"/>
      <c r="BA584" s="1968"/>
      <c r="BB584" s="1968"/>
      <c r="BC584" s="1968"/>
      <c r="BD584" s="1968"/>
      <c r="BE584" s="1968"/>
      <c r="BF584" s="1968"/>
      <c r="BG584" s="7235"/>
    </row>
    <row customHeight="1" ht="11.25">
      <c r="A585" s="1312" t="s">
        <v>1069</v>
      </c>
      <c r="B585" s="1312"/>
      <c r="C585" s="1312"/>
      <c r="D585" s="1306"/>
      <c r="E585" s="1316"/>
      <c r="F585" s="1974"/>
      <c r="G585" s="1975"/>
      <c r="H585" s="2674" t="s">
        <v>1167</v>
      </c>
      <c r="I585" s="2675"/>
      <c r="J585" s="8666"/>
      <c r="K585" s="2676"/>
      <c r="L585" s="2266"/>
      <c r="M585" s="2267"/>
      <c r="N585" s="1321"/>
      <c r="O585" s="1322"/>
      <c r="P585" s="1314" t="s">
        <v>1108</v>
      </c>
      <c r="Q585" s="1322"/>
      <c r="R585" s="1322"/>
      <c r="S585" s="1322"/>
      <c r="T585" s="1322"/>
      <c r="U585" s="1322"/>
      <c r="V585" s="1322"/>
      <c r="W585" s="1322"/>
      <c r="X585" s="1322"/>
      <c r="Y585" s="1322"/>
      <c r="Z585" s="1322"/>
      <c r="AA585" s="1322"/>
      <c r="AB585" s="1322"/>
      <c r="AC585" s="1322"/>
      <c r="AD585" s="1322"/>
      <c r="AE585" s="1329"/>
      <c r="AF585" s="2665"/>
      <c r="AG585" s="2666"/>
      <c r="AH585" s="2666"/>
      <c r="AI585" s="8647"/>
      <c r="AJ585" s="2666"/>
      <c r="AK585" s="2666"/>
      <c r="AL585" s="2131"/>
      <c r="AM585" s="1968"/>
      <c r="AN585" s="1968"/>
      <c r="AO585" s="1968"/>
      <c r="AP585" s="1968"/>
      <c r="AQ585" s="1968"/>
      <c r="AR585" s="1968"/>
      <c r="AS585" s="1968"/>
      <c r="AT585" s="1968"/>
      <c r="AU585" s="1968"/>
      <c r="AV585" s="1968"/>
      <c r="AW585" s="1968"/>
      <c r="AX585" s="1968"/>
      <c r="AY585" s="1968"/>
      <c r="AZ585" s="1968"/>
      <c r="BA585" s="1968"/>
      <c r="BB585" s="1968"/>
      <c r="BC585" s="1968"/>
      <c r="BD585" s="1968"/>
      <c r="BE585" s="1968"/>
      <c r="BF585" s="1968"/>
      <c r="BG585" s="7235"/>
    </row>
    <row customHeight="1" ht="11.25">
      <c r="A586" s="1312" t="s">
        <v>1069</v>
      </c>
      <c r="B586" s="1312" t="s">
        <v>1198</v>
      </c>
      <c r="C586" s="1312"/>
      <c r="D586" s="1306"/>
      <c r="E586" s="1316"/>
      <c r="F586" s="1974"/>
      <c r="G586" s="7143" t="s">
        <v>106</v>
      </c>
      <c r="H586" s="2674" t="s">
        <v>1222</v>
      </c>
      <c r="I586" s="2675" t="s">
        <v>1200</v>
      </c>
      <c r="J586" s="8666" t="s">
        <v>1206</v>
      </c>
      <c r="K586" s="2676" t="s">
        <v>1301</v>
      </c>
      <c r="L586" s="2266" t="s">
        <v>19</v>
      </c>
      <c r="M586" s="2267"/>
      <c r="N586" s="2129"/>
      <c r="O586" s="1323" t="s">
        <v>398</v>
      </c>
      <c r="P586" s="1324"/>
      <c r="Q586" s="1324"/>
      <c r="R586" s="1324"/>
      <c r="S586" s="1324"/>
      <c r="T586" s="1324"/>
      <c r="U586" s="1324"/>
      <c r="V586" s="1324"/>
      <c r="W586" s="1324"/>
      <c r="X586" s="1324"/>
      <c r="Y586" s="1324"/>
      <c r="Z586" s="1324"/>
      <c r="AA586" s="1324"/>
      <c r="AB586" s="1324"/>
      <c r="AC586" s="1324"/>
      <c r="AD586" s="1324"/>
      <c r="AE586" s="1324"/>
      <c r="AF586" s="2665">
        <v>2025</v>
      </c>
      <c r="AG586" s="2666" t="s">
        <v>1103</v>
      </c>
      <c r="AH586" s="2666" t="s">
        <v>1159</v>
      </c>
      <c r="AI586" s="8677">
        <v>2025</v>
      </c>
      <c r="AJ586" s="2666" t="s">
        <v>1103</v>
      </c>
      <c r="AK586" s="2666" t="s">
        <v>1159</v>
      </c>
      <c r="AL586" s="2131"/>
      <c r="AM586" s="1968"/>
      <c r="AN586" s="1968"/>
      <c r="AO586" s="1968"/>
      <c r="AP586" s="1968"/>
      <c r="AQ586" s="1968"/>
      <c r="AR586" s="1968"/>
      <c r="AS586" s="1968"/>
      <c r="AT586" s="1968"/>
      <c r="AU586" s="1968"/>
      <c r="AV586" s="1968"/>
      <c r="AW586" s="1968"/>
      <c r="AX586" s="1968"/>
      <c r="AY586" s="1968"/>
      <c r="AZ586" s="1968"/>
      <c r="BA586" s="1968"/>
      <c r="BB586" s="1968"/>
      <c r="BC586" s="1968"/>
      <c r="BD586" s="1968"/>
      <c r="BE586" s="1968"/>
      <c r="BF586" s="1968"/>
      <c r="BG586" s="7235"/>
    </row>
    <row customHeight="1" ht="11.25">
      <c r="A587" s="1312" t="s">
        <v>1069</v>
      </c>
      <c r="B587" s="1312"/>
      <c r="C587" s="1312"/>
      <c r="D587" s="1306"/>
      <c r="E587" s="1316"/>
      <c r="F587" s="1974"/>
      <c r="G587" s="1975"/>
      <c r="H587" s="2674" t="s">
        <v>1220</v>
      </c>
      <c r="I587" s="2675"/>
      <c r="J587" s="8666"/>
      <c r="K587" s="2676"/>
      <c r="L587" s="2266"/>
      <c r="M587" s="2267"/>
      <c r="N587" s="2667"/>
      <c r="O587" s="2668">
        <v>1</v>
      </c>
      <c r="P587" s="2669" t="s">
        <v>63</v>
      </c>
      <c r="Q587" s="8645" t="s">
        <v>1274</v>
      </c>
      <c r="R587" s="8646" t="s">
        <v>1114</v>
      </c>
      <c r="S587" s="8646" t="s">
        <v>113</v>
      </c>
      <c r="T587" s="8646" t="s">
        <v>113</v>
      </c>
      <c r="U587" s="8646" t="s">
        <v>114</v>
      </c>
      <c r="V587" s="8646" t="s">
        <v>1115</v>
      </c>
      <c r="W587" s="8646" t="s">
        <v>1116</v>
      </c>
      <c r="X587" s="8646" t="s">
        <v>1275</v>
      </c>
      <c r="Y587" s="8646" t="s">
        <v>121</v>
      </c>
      <c r="Z587" s="1321"/>
      <c r="AA587" s="1322"/>
      <c r="AB587" s="1322"/>
      <c r="AC587" s="1326"/>
      <c r="AD587" s="1326"/>
      <c r="AE587" s="1327"/>
      <c r="AF587" s="2665"/>
      <c r="AG587" s="2666"/>
      <c r="AH587" s="2666"/>
      <c r="AI587" s="8677"/>
      <c r="AJ587" s="2666"/>
      <c r="AK587" s="2666"/>
      <c r="AL587" s="2131"/>
      <c r="AM587" s="1968"/>
      <c r="AN587" s="1968"/>
      <c r="AO587" s="1968"/>
      <c r="AP587" s="1968"/>
      <c r="AQ587" s="1968"/>
      <c r="AR587" s="1968"/>
      <c r="AS587" s="1968"/>
      <c r="AT587" s="1968"/>
      <c r="AU587" s="1968"/>
      <c r="AV587" s="1968"/>
      <c r="AW587" s="1968"/>
      <c r="AX587" s="1968"/>
      <c r="AY587" s="1968"/>
      <c r="AZ587" s="1968"/>
      <c r="BA587" s="1968"/>
      <c r="BB587" s="1968"/>
      <c r="BC587" s="1968"/>
      <c r="BD587" s="1968"/>
      <c r="BE587" s="1968"/>
      <c r="BF587" s="1968"/>
      <c r="BG587" s="7235"/>
    </row>
    <row customHeight="1" ht="11.25">
      <c r="A588" s="1312" t="s">
        <v>1069</v>
      </c>
      <c r="B588" s="1312"/>
      <c r="C588" s="1312"/>
      <c r="D588" s="1306"/>
      <c r="E588" s="1316"/>
      <c r="F588" s="1974"/>
      <c r="G588" s="1975"/>
      <c r="H588" s="2674" t="s">
        <v>1220</v>
      </c>
      <c r="I588" s="2675"/>
      <c r="J588" s="8666"/>
      <c r="K588" s="2676"/>
      <c r="L588" s="2266"/>
      <c r="M588" s="2267"/>
      <c r="N588" s="2667"/>
      <c r="O588" s="2668"/>
      <c r="P588" s="2670"/>
      <c r="Q588" s="8645"/>
      <c r="R588" s="2672"/>
      <c r="S588" s="2673"/>
      <c r="T588" s="2672"/>
      <c r="U588" s="2672"/>
      <c r="V588" s="2672"/>
      <c r="W588" s="2672"/>
      <c r="X588" s="2672"/>
      <c r="Y588" s="2672"/>
      <c r="Z588" s="1973"/>
      <c r="AA588" s="1939">
        <v>1</v>
      </c>
      <c r="AB588" s="1325" t="s">
        <v>1131</v>
      </c>
      <c r="AC588" s="1315">
        <v>49523</v>
      </c>
      <c r="AD588" s="1325" t="str">
        <f>AB588</f>
        <v>      Прочие амортизационные отчисления</v>
      </c>
      <c r="AE588" s="1315">
        <v>49371</v>
      </c>
      <c r="AF588" s="2665"/>
      <c r="AG588" s="2666"/>
      <c r="AH588" s="2666"/>
      <c r="AI588" s="8677"/>
      <c r="AJ588" s="2666"/>
      <c r="AK588" s="2666"/>
      <c r="AL588" s="2131"/>
      <c r="AM588" s="1968"/>
      <c r="AN588" s="1968"/>
      <c r="AO588" s="1968"/>
      <c r="AP588" s="1968"/>
      <c r="AQ588" s="1968"/>
      <c r="AR588" s="1968"/>
      <c r="AS588" s="1968"/>
      <c r="AT588" s="1968"/>
      <c r="AU588" s="1968"/>
      <c r="AV588" s="1968"/>
      <c r="AW588" s="1968"/>
      <c r="AX588" s="1968"/>
      <c r="AY588" s="1968"/>
      <c r="AZ588" s="1968"/>
      <c r="BA588" s="1968"/>
      <c r="BB588" s="1968"/>
      <c r="BC588" s="1968"/>
      <c r="BD588" s="1968"/>
      <c r="BE588" s="1968"/>
      <c r="BF588" s="1968"/>
      <c r="BG588" s="7235"/>
    </row>
    <row customHeight="1" ht="11.25">
      <c r="A589" s="1312" t="s">
        <v>1069</v>
      </c>
      <c r="B589" s="1312"/>
      <c r="C589" s="1312"/>
      <c r="D589" s="1306"/>
      <c r="E589" s="1316"/>
      <c r="F589" s="1974"/>
      <c r="G589" s="1975"/>
      <c r="H589" s="2674" t="s">
        <v>1220</v>
      </c>
      <c r="I589" s="2675"/>
      <c r="J589" s="8666"/>
      <c r="K589" s="2676"/>
      <c r="L589" s="2266"/>
      <c r="M589" s="2267"/>
      <c r="N589" s="2667"/>
      <c r="O589" s="2668"/>
      <c r="P589" s="2671"/>
      <c r="Q589" s="8645"/>
      <c r="R589" s="2672"/>
      <c r="S589" s="2673"/>
      <c r="T589" s="2672"/>
      <c r="U589" s="2672"/>
      <c r="V589" s="2672"/>
      <c r="W589" s="2672"/>
      <c r="X589" s="2672"/>
      <c r="Y589" s="2672"/>
      <c r="Z589" s="1321"/>
      <c r="AA589" s="1322"/>
      <c r="AB589" s="1387" t="s">
        <v>1107</v>
      </c>
      <c r="AC589" s="1326"/>
      <c r="AD589" s="1326"/>
      <c r="AE589" s="1328"/>
      <c r="AF589" s="2665"/>
      <c r="AG589" s="2666"/>
      <c r="AH589" s="2666"/>
      <c r="AI589" s="8677"/>
      <c r="AJ589" s="2666"/>
      <c r="AK589" s="2666"/>
      <c r="AL589" s="2131"/>
      <c r="AM589" s="1968"/>
      <c r="AN589" s="1968"/>
      <c r="AO589" s="1968"/>
      <c r="AP589" s="1968"/>
      <c r="AQ589" s="1968"/>
      <c r="AR589" s="1968"/>
      <c r="AS589" s="1968"/>
      <c r="AT589" s="1968"/>
      <c r="AU589" s="1968"/>
      <c r="AV589" s="1968"/>
      <c r="AW589" s="1968"/>
      <c r="AX589" s="1968"/>
      <c r="AY589" s="1968"/>
      <c r="AZ589" s="1968"/>
      <c r="BA589" s="1968"/>
      <c r="BB589" s="1968"/>
      <c r="BC589" s="1968"/>
      <c r="BD589" s="1968"/>
      <c r="BE589" s="1968"/>
      <c r="BF589" s="1968"/>
      <c r="BG589" s="7235"/>
    </row>
    <row customHeight="1" ht="11.25">
      <c r="A590" s="1312" t="s">
        <v>1069</v>
      </c>
      <c r="B590" s="1312"/>
      <c r="C590" s="1312"/>
      <c r="D590" s="1306"/>
      <c r="E590" s="1316"/>
      <c r="F590" s="1974"/>
      <c r="G590" s="1975"/>
      <c r="H590" s="2674" t="s">
        <v>1220</v>
      </c>
      <c r="I590" s="2675"/>
      <c r="J590" s="8666"/>
      <c r="K590" s="2676"/>
      <c r="L590" s="2266"/>
      <c r="M590" s="2267"/>
      <c r="N590" s="1321"/>
      <c r="O590" s="1322"/>
      <c r="P590" s="1314" t="s">
        <v>1108</v>
      </c>
      <c r="Q590" s="1322"/>
      <c r="R590" s="1322"/>
      <c r="S590" s="1322"/>
      <c r="T590" s="1322"/>
      <c r="U590" s="1322"/>
      <c r="V590" s="1322"/>
      <c r="W590" s="1322"/>
      <c r="X590" s="1322"/>
      <c r="Y590" s="1322"/>
      <c r="Z590" s="1322"/>
      <c r="AA590" s="1322"/>
      <c r="AB590" s="1322"/>
      <c r="AC590" s="1322"/>
      <c r="AD590" s="1322"/>
      <c r="AE590" s="1329"/>
      <c r="AF590" s="2665"/>
      <c r="AG590" s="2666"/>
      <c r="AH590" s="2666"/>
      <c r="AI590" s="8677"/>
      <c r="AJ590" s="2666"/>
      <c r="AK590" s="2666"/>
      <c r="AL590" s="2131"/>
      <c r="AM590" s="1968"/>
      <c r="AN590" s="1968"/>
      <c r="AO590" s="1968"/>
      <c r="AP590" s="1968"/>
      <c r="AQ590" s="1968"/>
      <c r="AR590" s="1968"/>
      <c r="AS590" s="1968"/>
      <c r="AT590" s="1968"/>
      <c r="AU590" s="1968"/>
      <c r="AV590" s="1968"/>
      <c r="AW590" s="1968"/>
      <c r="AX590" s="1968"/>
      <c r="AY590" s="1968"/>
      <c r="AZ590" s="1968"/>
      <c r="BA590" s="1968"/>
      <c r="BB590" s="1968"/>
      <c r="BC590" s="1968"/>
      <c r="BD590" s="1968"/>
      <c r="BE590" s="1968"/>
      <c r="BF590" s="1968"/>
      <c r="BG590" s="7235"/>
    </row>
    <row customHeight="1" ht="11.25">
      <c r="A591" s="1312" t="s">
        <v>1069</v>
      </c>
      <c r="B591" s="1312" t="s">
        <v>1198</v>
      </c>
      <c r="C591" s="1312"/>
      <c r="D591" s="1306"/>
      <c r="E591" s="1316"/>
      <c r="F591" s="1974"/>
      <c r="G591" s="7143" t="s">
        <v>106</v>
      </c>
      <c r="H591" s="2674" t="s">
        <v>1224</v>
      </c>
      <c r="I591" s="2675" t="s">
        <v>1200</v>
      </c>
      <c r="J591" s="8666" t="s">
        <v>1206</v>
      </c>
      <c r="K591" s="2676" t="s">
        <v>1302</v>
      </c>
      <c r="L591" s="2266" t="s">
        <v>19</v>
      </c>
      <c r="M591" s="2267"/>
      <c r="N591" s="2129"/>
      <c r="O591" s="1323" t="s">
        <v>398</v>
      </c>
      <c r="P591" s="1324"/>
      <c r="Q591" s="1324"/>
      <c r="R591" s="1324"/>
      <c r="S591" s="1324"/>
      <c r="T591" s="1324"/>
      <c r="U591" s="1324"/>
      <c r="V591" s="1324"/>
      <c r="W591" s="1324"/>
      <c r="X591" s="1324"/>
      <c r="Y591" s="1324"/>
      <c r="Z591" s="1324"/>
      <c r="AA591" s="1324"/>
      <c r="AB591" s="1324"/>
      <c r="AC591" s="1324"/>
      <c r="AD591" s="1324"/>
      <c r="AE591" s="1324"/>
      <c r="AF591" s="2665">
        <v>2028</v>
      </c>
      <c r="AG591" s="2666" t="s">
        <v>1103</v>
      </c>
      <c r="AH591" s="2666" t="s">
        <v>1228</v>
      </c>
      <c r="AI591" s="8677">
        <v>2025</v>
      </c>
      <c r="AJ591" s="2666" t="s">
        <v>1103</v>
      </c>
      <c r="AK591" s="2666" t="s">
        <v>1159</v>
      </c>
      <c r="AL591" s="2131"/>
      <c r="AM591" s="1968"/>
      <c r="AN591" s="1968"/>
      <c r="AO591" s="1968"/>
      <c r="AP591" s="1968"/>
      <c r="AQ591" s="1968"/>
      <c r="AR591" s="1968"/>
      <c r="AS591" s="1968"/>
      <c r="AT591" s="1968"/>
      <c r="AU591" s="1968"/>
      <c r="AV591" s="1968"/>
      <c r="AW591" s="1968"/>
      <c r="AX591" s="1968"/>
      <c r="AY591" s="1968"/>
      <c r="AZ591" s="1968"/>
      <c r="BA591" s="1968"/>
      <c r="BB591" s="1968"/>
      <c r="BC591" s="1968"/>
      <c r="BD591" s="1968"/>
      <c r="BE591" s="1968"/>
      <c r="BF591" s="1968"/>
      <c r="BG591" s="7235"/>
    </row>
    <row customHeight="1" ht="11.25">
      <c r="A592" s="1312" t="s">
        <v>1069</v>
      </c>
      <c r="B592" s="1312"/>
      <c r="C592" s="1312"/>
      <c r="D592" s="1306"/>
      <c r="E592" s="1316"/>
      <c r="F592" s="1974"/>
      <c r="G592" s="1975"/>
      <c r="H592" s="2674" t="s">
        <v>1222</v>
      </c>
      <c r="I592" s="2675"/>
      <c r="J592" s="8666"/>
      <c r="K592" s="2676"/>
      <c r="L592" s="2266"/>
      <c r="M592" s="2267"/>
      <c r="N592" s="2667"/>
      <c r="O592" s="2668">
        <v>1</v>
      </c>
      <c r="P592" s="2669" t="s">
        <v>19</v>
      </c>
      <c r="Q592" s="8667" t="s">
        <v>22</v>
      </c>
      <c r="R592" s="8668" t="s">
        <v>22</v>
      </c>
      <c r="S592" s="8668" t="s">
        <v>22</v>
      </c>
      <c r="T592" s="8668" t="s">
        <v>22</v>
      </c>
      <c r="U592" s="8668" t="s">
        <v>22</v>
      </c>
      <c r="V592" s="8668" t="s">
        <v>22</v>
      </c>
      <c r="W592" s="8668" t="s">
        <v>22</v>
      </c>
      <c r="X592" s="8668" t="s">
        <v>22</v>
      </c>
      <c r="Y592" s="8668" t="s">
        <v>22</v>
      </c>
      <c r="Z592" s="1321"/>
      <c r="AA592" s="1322"/>
      <c r="AB592" s="1322"/>
      <c r="AC592" s="1326"/>
      <c r="AD592" s="1326"/>
      <c r="AE592" s="1327"/>
      <c r="AF592" s="2665"/>
      <c r="AG592" s="2666"/>
      <c r="AH592" s="2666"/>
      <c r="AI592" s="8677"/>
      <c r="AJ592" s="2666"/>
      <c r="AK592" s="2666"/>
      <c r="AL592" s="2131"/>
      <c r="AM592" s="1968"/>
      <c r="AN592" s="1968"/>
      <c r="AO592" s="1968"/>
      <c r="AP592" s="1968"/>
      <c r="AQ592" s="1968"/>
      <c r="AR592" s="1968"/>
      <c r="AS592" s="1968"/>
      <c r="AT592" s="1968"/>
      <c r="AU592" s="1968"/>
      <c r="AV592" s="1968"/>
      <c r="AW592" s="1968"/>
      <c r="AX592" s="1968"/>
      <c r="AY592" s="1968"/>
      <c r="AZ592" s="1968"/>
      <c r="BA592" s="1968"/>
      <c r="BB592" s="1968"/>
      <c r="BC592" s="1968"/>
      <c r="BD592" s="1968"/>
      <c r="BE592" s="1968"/>
      <c r="BF592" s="1968"/>
      <c r="BG592" s="7235"/>
    </row>
    <row customHeight="1" ht="11.25">
      <c r="A593" s="1312" t="s">
        <v>1069</v>
      </c>
      <c r="B593" s="1312"/>
      <c r="C593" s="1312"/>
      <c r="D593" s="1306"/>
      <c r="E593" s="1316"/>
      <c r="F593" s="1974"/>
      <c r="G593" s="1975"/>
      <c r="H593" s="2674" t="s">
        <v>1222</v>
      </c>
      <c r="I593" s="2675"/>
      <c r="J593" s="8666"/>
      <c r="K593" s="2676"/>
      <c r="L593" s="2266"/>
      <c r="M593" s="2267"/>
      <c r="N593" s="2667"/>
      <c r="O593" s="2668"/>
      <c r="P593" s="2670"/>
      <c r="Q593" s="8645"/>
      <c r="R593" s="2672"/>
      <c r="S593" s="2673"/>
      <c r="T593" s="2672"/>
      <c r="U593" s="2672"/>
      <c r="V593" s="2672"/>
      <c r="W593" s="2672"/>
      <c r="X593" s="2672"/>
      <c r="Y593" s="2672"/>
      <c r="Z593" s="1973"/>
      <c r="AA593" s="1939">
        <v>1</v>
      </c>
      <c r="AB593" s="1325" t="s">
        <v>1131</v>
      </c>
      <c r="AC593" s="1315">
        <v>24242</v>
      </c>
      <c r="AD593" s="1325" t="str">
        <f>AB593</f>
        <v>      Прочие амортизационные отчисления</v>
      </c>
      <c r="AE593" s="1315">
        <v>39183</v>
      </c>
      <c r="AF593" s="2665"/>
      <c r="AG593" s="2666"/>
      <c r="AH593" s="2666"/>
      <c r="AI593" s="8677"/>
      <c r="AJ593" s="2666"/>
      <c r="AK593" s="2666"/>
      <c r="AL593" s="2131"/>
      <c r="AM593" s="1968"/>
      <c r="AN593" s="1968"/>
      <c r="AO593" s="1968"/>
      <c r="AP593" s="1968"/>
      <c r="AQ593" s="1968"/>
      <c r="AR593" s="1968"/>
      <c r="AS593" s="1968"/>
      <c r="AT593" s="1968"/>
      <c r="AU593" s="1968"/>
      <c r="AV593" s="1968"/>
      <c r="AW593" s="1968"/>
      <c r="AX593" s="1968"/>
      <c r="AY593" s="1968"/>
      <c r="AZ593" s="1968"/>
      <c r="BA593" s="1968"/>
      <c r="BB593" s="1968"/>
      <c r="BC593" s="1968"/>
      <c r="BD593" s="1968"/>
      <c r="BE593" s="1968"/>
      <c r="BF593" s="1968"/>
      <c r="BG593" s="7235"/>
    </row>
    <row customHeight="1" ht="11.25">
      <c r="A594" s="1312" t="s">
        <v>1069</v>
      </c>
      <c r="B594" s="1312"/>
      <c r="C594" s="1312"/>
      <c r="D594" s="1306"/>
      <c r="E594" s="1316"/>
      <c r="F594" s="1974"/>
      <c r="G594" s="1975"/>
      <c r="H594" s="2674" t="s">
        <v>1222</v>
      </c>
      <c r="I594" s="2675"/>
      <c r="J594" s="8666"/>
      <c r="K594" s="2676"/>
      <c r="L594" s="2266"/>
      <c r="M594" s="2267"/>
      <c r="N594" s="2667"/>
      <c r="O594" s="2668"/>
      <c r="P594" s="2671"/>
      <c r="Q594" s="8645"/>
      <c r="R594" s="2672"/>
      <c r="S594" s="2673"/>
      <c r="T594" s="2672"/>
      <c r="U594" s="2672"/>
      <c r="V594" s="2672"/>
      <c r="W594" s="2672"/>
      <c r="X594" s="2672"/>
      <c r="Y594" s="2672"/>
      <c r="Z594" s="1321"/>
      <c r="AA594" s="1322"/>
      <c r="AB594" s="1387" t="s">
        <v>1107</v>
      </c>
      <c r="AC594" s="1326"/>
      <c r="AD594" s="1326"/>
      <c r="AE594" s="1328"/>
      <c r="AF594" s="2665"/>
      <c r="AG594" s="2666"/>
      <c r="AH594" s="2666"/>
      <c r="AI594" s="8677"/>
      <c r="AJ594" s="2666"/>
      <c r="AK594" s="2666"/>
      <c r="AL594" s="2131"/>
      <c r="AM594" s="1968"/>
      <c r="AN594" s="1968"/>
      <c r="AO594" s="1968"/>
      <c r="AP594" s="1968"/>
      <c r="AQ594" s="1968"/>
      <c r="AR594" s="1968"/>
      <c r="AS594" s="1968"/>
      <c r="AT594" s="1968"/>
      <c r="AU594" s="1968"/>
      <c r="AV594" s="1968"/>
      <c r="AW594" s="1968"/>
      <c r="AX594" s="1968"/>
      <c r="AY594" s="1968"/>
      <c r="AZ594" s="1968"/>
      <c r="BA594" s="1968"/>
      <c r="BB594" s="1968"/>
      <c r="BC594" s="1968"/>
      <c r="BD594" s="1968"/>
      <c r="BE594" s="1968"/>
      <c r="BF594" s="1968"/>
      <c r="BG594" s="7235"/>
    </row>
    <row customHeight="1" ht="11.25">
      <c r="A595" s="1312" t="s">
        <v>1069</v>
      </c>
      <c r="B595" s="1312"/>
      <c r="C595" s="1312"/>
      <c r="D595" s="1306"/>
      <c r="E595" s="1316"/>
      <c r="F595" s="1974"/>
      <c r="G595" s="1975"/>
      <c r="H595" s="2674" t="s">
        <v>1222</v>
      </c>
      <c r="I595" s="2675"/>
      <c r="J595" s="8666"/>
      <c r="K595" s="2676"/>
      <c r="L595" s="2266"/>
      <c r="M595" s="2267"/>
      <c r="N595" s="1321"/>
      <c r="O595" s="1322"/>
      <c r="P595" s="1314" t="s">
        <v>1108</v>
      </c>
      <c r="Q595" s="1322"/>
      <c r="R595" s="1322"/>
      <c r="S595" s="1322"/>
      <c r="T595" s="1322"/>
      <c r="U595" s="1322"/>
      <c r="V595" s="1322"/>
      <c r="W595" s="1322"/>
      <c r="X595" s="1322"/>
      <c r="Y595" s="1322"/>
      <c r="Z595" s="1322"/>
      <c r="AA595" s="1322"/>
      <c r="AB595" s="1322"/>
      <c r="AC595" s="1322"/>
      <c r="AD595" s="1322"/>
      <c r="AE595" s="1329"/>
      <c r="AF595" s="2665"/>
      <c r="AG595" s="2666"/>
      <c r="AH595" s="2666"/>
      <c r="AI595" s="8677"/>
      <c r="AJ595" s="2666"/>
      <c r="AK595" s="2666"/>
      <c r="AL595" s="2131"/>
      <c r="AM595" s="1968"/>
      <c r="AN595" s="1968"/>
      <c r="AO595" s="1968"/>
      <c r="AP595" s="1968"/>
      <c r="AQ595" s="1968"/>
      <c r="AR595" s="1968"/>
      <c r="AS595" s="1968"/>
      <c r="AT595" s="1968"/>
      <c r="AU595" s="1968"/>
      <c r="AV595" s="1968"/>
      <c r="AW595" s="1968"/>
      <c r="AX595" s="1968"/>
      <c r="AY595" s="1968"/>
      <c r="AZ595" s="1968"/>
      <c r="BA595" s="1968"/>
      <c r="BB595" s="1968"/>
      <c r="BC595" s="1968"/>
      <c r="BD595" s="1968"/>
      <c r="BE595" s="1968"/>
      <c r="BF595" s="1968"/>
      <c r="BG595" s="7235"/>
    </row>
    <row customHeight="1" ht="11.25">
      <c r="A596" s="1312" t="s">
        <v>1069</v>
      </c>
      <c r="B596" s="1312" t="s">
        <v>1198</v>
      </c>
      <c r="C596" s="1312"/>
      <c r="D596" s="1306"/>
      <c r="E596" s="1316"/>
      <c r="F596" s="1974"/>
      <c r="G596" s="7143" t="s">
        <v>106</v>
      </c>
      <c r="H596" s="2674" t="s">
        <v>1226</v>
      </c>
      <c r="I596" s="2675" t="s">
        <v>1200</v>
      </c>
      <c r="J596" s="8666" t="s">
        <v>1206</v>
      </c>
      <c r="K596" s="2676" t="s">
        <v>1303</v>
      </c>
      <c r="L596" s="2266" t="s">
        <v>19</v>
      </c>
      <c r="M596" s="2267"/>
      <c r="N596" s="2129"/>
      <c r="O596" s="1323" t="s">
        <v>398</v>
      </c>
      <c r="P596" s="1324"/>
      <c r="Q596" s="1324"/>
      <c r="R596" s="1324"/>
      <c r="S596" s="1324"/>
      <c r="T596" s="1324"/>
      <c r="U596" s="1324"/>
      <c r="V596" s="1324"/>
      <c r="W596" s="1324"/>
      <c r="X596" s="1324"/>
      <c r="Y596" s="1324"/>
      <c r="Z596" s="1324"/>
      <c r="AA596" s="1324"/>
      <c r="AB596" s="1324"/>
      <c r="AC596" s="1324"/>
      <c r="AD596" s="1324"/>
      <c r="AE596" s="1324"/>
      <c r="AF596" s="2665">
        <v>2026</v>
      </c>
      <c r="AG596" s="2666" t="s">
        <v>1103</v>
      </c>
      <c r="AH596" s="2666" t="s">
        <v>1162</v>
      </c>
      <c r="AI596" s="8677">
        <v>2025</v>
      </c>
      <c r="AJ596" s="2666" t="s">
        <v>1103</v>
      </c>
      <c r="AK596" s="2666" t="s">
        <v>1159</v>
      </c>
      <c r="AL596" s="2131"/>
      <c r="AM596" s="1968"/>
      <c r="AN596" s="1968"/>
      <c r="AO596" s="1968"/>
      <c r="AP596" s="1968"/>
      <c r="AQ596" s="1968"/>
      <c r="AR596" s="1968"/>
      <c r="AS596" s="1968"/>
      <c r="AT596" s="1968"/>
      <c r="AU596" s="1968"/>
      <c r="AV596" s="1968"/>
      <c r="AW596" s="1968"/>
      <c r="AX596" s="1968"/>
      <c r="AY596" s="1968"/>
      <c r="AZ596" s="1968"/>
      <c r="BA596" s="1968"/>
      <c r="BB596" s="1968"/>
      <c r="BC596" s="1968"/>
      <c r="BD596" s="1968"/>
      <c r="BE596" s="1968"/>
      <c r="BF596" s="1968"/>
      <c r="BG596" s="7235"/>
    </row>
    <row customHeight="1" ht="11.25">
      <c r="A597" s="1312" t="s">
        <v>1069</v>
      </c>
      <c r="B597" s="1312"/>
      <c r="C597" s="1312"/>
      <c r="D597" s="1306"/>
      <c r="E597" s="1316"/>
      <c r="F597" s="1974"/>
      <c r="G597" s="1975"/>
      <c r="H597" s="2674" t="s">
        <v>1224</v>
      </c>
      <c r="I597" s="2675"/>
      <c r="J597" s="8666"/>
      <c r="K597" s="2676"/>
      <c r="L597" s="2266"/>
      <c r="M597" s="2267"/>
      <c r="N597" s="2667"/>
      <c r="O597" s="2668">
        <v>1</v>
      </c>
      <c r="P597" s="2669" t="s">
        <v>19</v>
      </c>
      <c r="Q597" s="8667" t="s">
        <v>22</v>
      </c>
      <c r="R597" s="8668" t="s">
        <v>22</v>
      </c>
      <c r="S597" s="8668" t="s">
        <v>22</v>
      </c>
      <c r="T597" s="8668" t="s">
        <v>22</v>
      </c>
      <c r="U597" s="8668" t="s">
        <v>22</v>
      </c>
      <c r="V597" s="8668" t="s">
        <v>22</v>
      </c>
      <c r="W597" s="8668" t="s">
        <v>22</v>
      </c>
      <c r="X597" s="8668" t="s">
        <v>22</v>
      </c>
      <c r="Y597" s="8668" t="s">
        <v>22</v>
      </c>
      <c r="Z597" s="1321"/>
      <c r="AA597" s="1322"/>
      <c r="AB597" s="1322"/>
      <c r="AC597" s="1326"/>
      <c r="AD597" s="1326"/>
      <c r="AE597" s="1327"/>
      <c r="AF597" s="2665"/>
      <c r="AG597" s="2666"/>
      <c r="AH597" s="2666"/>
      <c r="AI597" s="8677"/>
      <c r="AJ597" s="2666"/>
      <c r="AK597" s="2666"/>
      <c r="AL597" s="2131"/>
      <c r="AM597" s="1968"/>
      <c r="AN597" s="1968"/>
      <c r="AO597" s="1968"/>
      <c r="AP597" s="1968"/>
      <c r="AQ597" s="1968"/>
      <c r="AR597" s="1968"/>
      <c r="AS597" s="1968"/>
      <c r="AT597" s="1968"/>
      <c r="AU597" s="1968"/>
      <c r="AV597" s="1968"/>
      <c r="AW597" s="1968"/>
      <c r="AX597" s="1968"/>
      <c r="AY597" s="1968"/>
      <c r="AZ597" s="1968"/>
      <c r="BA597" s="1968"/>
      <c r="BB597" s="1968"/>
      <c r="BC597" s="1968"/>
      <c r="BD597" s="1968"/>
      <c r="BE597" s="1968"/>
      <c r="BF597" s="1968"/>
      <c r="BG597" s="7235"/>
    </row>
    <row customHeight="1" ht="11.25">
      <c r="A598" s="1312" t="s">
        <v>1069</v>
      </c>
      <c r="B598" s="1312"/>
      <c r="C598" s="1312"/>
      <c r="D598" s="1306"/>
      <c r="E598" s="1316"/>
      <c r="F598" s="1974"/>
      <c r="G598" s="1975"/>
      <c r="H598" s="2674" t="s">
        <v>1224</v>
      </c>
      <c r="I598" s="2675"/>
      <c r="J598" s="8666"/>
      <c r="K598" s="2676"/>
      <c r="L598" s="2266"/>
      <c r="M598" s="2267"/>
      <c r="N598" s="2667"/>
      <c r="O598" s="2668"/>
      <c r="P598" s="2670"/>
      <c r="Q598" s="8645"/>
      <c r="R598" s="2672"/>
      <c r="S598" s="2673"/>
      <c r="T598" s="2672"/>
      <c r="U598" s="2672"/>
      <c r="V598" s="2672"/>
      <c r="W598" s="2672"/>
      <c r="X598" s="2672"/>
      <c r="Y598" s="2672"/>
      <c r="Z598" s="1973"/>
      <c r="AA598" s="1939">
        <v>1</v>
      </c>
      <c r="AB598" s="1325" t="s">
        <v>1131</v>
      </c>
      <c r="AC598" s="1315">
        <v>949</v>
      </c>
      <c r="AD598" s="1325" t="str">
        <f>AB598</f>
        <v>      Прочие амортизационные отчисления</v>
      </c>
      <c r="AE598" s="1315">
        <v>688</v>
      </c>
      <c r="AF598" s="2665"/>
      <c r="AG598" s="2666"/>
      <c r="AH598" s="2666"/>
      <c r="AI598" s="8677"/>
      <c r="AJ598" s="2666"/>
      <c r="AK598" s="2666"/>
      <c r="AL598" s="2131"/>
      <c r="AM598" s="1968"/>
      <c r="AN598" s="1968"/>
      <c r="AO598" s="1968"/>
      <c r="AP598" s="1968"/>
      <c r="AQ598" s="1968"/>
      <c r="AR598" s="1968"/>
      <c r="AS598" s="1968"/>
      <c r="AT598" s="1968"/>
      <c r="AU598" s="1968"/>
      <c r="AV598" s="1968"/>
      <c r="AW598" s="1968"/>
      <c r="AX598" s="1968"/>
      <c r="AY598" s="1968"/>
      <c r="AZ598" s="1968"/>
      <c r="BA598" s="1968"/>
      <c r="BB598" s="1968"/>
      <c r="BC598" s="1968"/>
      <c r="BD598" s="1968"/>
      <c r="BE598" s="1968"/>
      <c r="BF598" s="1968"/>
      <c r="BG598" s="7235"/>
    </row>
    <row customHeight="1" ht="11.25">
      <c r="A599" s="1312" t="s">
        <v>1069</v>
      </c>
      <c r="B599" s="1312"/>
      <c r="C599" s="1312"/>
      <c r="D599" s="1306"/>
      <c r="E599" s="1316"/>
      <c r="F599" s="1974"/>
      <c r="G599" s="1975"/>
      <c r="H599" s="2674" t="s">
        <v>1224</v>
      </c>
      <c r="I599" s="2675"/>
      <c r="J599" s="8666"/>
      <c r="K599" s="2676"/>
      <c r="L599" s="2266"/>
      <c r="M599" s="2267"/>
      <c r="N599" s="2667"/>
      <c r="O599" s="2668"/>
      <c r="P599" s="2671"/>
      <c r="Q599" s="8645"/>
      <c r="R599" s="2672"/>
      <c r="S599" s="2673"/>
      <c r="T599" s="2672"/>
      <c r="U599" s="2672"/>
      <c r="V599" s="2672"/>
      <c r="W599" s="2672"/>
      <c r="X599" s="2672"/>
      <c r="Y599" s="2672"/>
      <c r="Z599" s="1321"/>
      <c r="AA599" s="1322"/>
      <c r="AB599" s="1387" t="s">
        <v>1107</v>
      </c>
      <c r="AC599" s="1326"/>
      <c r="AD599" s="1326"/>
      <c r="AE599" s="1328"/>
      <c r="AF599" s="2665"/>
      <c r="AG599" s="2666"/>
      <c r="AH599" s="2666"/>
      <c r="AI599" s="8677"/>
      <c r="AJ599" s="2666"/>
      <c r="AK599" s="2666"/>
      <c r="AL599" s="2131"/>
      <c r="AM599" s="1968"/>
      <c r="AN599" s="1968"/>
      <c r="AO599" s="1968"/>
      <c r="AP599" s="1968"/>
      <c r="AQ599" s="1968"/>
      <c r="AR599" s="1968"/>
      <c r="AS599" s="1968"/>
      <c r="AT599" s="1968"/>
      <c r="AU599" s="1968"/>
      <c r="AV599" s="1968"/>
      <c r="AW599" s="1968"/>
      <c r="AX599" s="1968"/>
      <c r="AY599" s="1968"/>
      <c r="AZ599" s="1968"/>
      <c r="BA599" s="1968"/>
      <c r="BB599" s="1968"/>
      <c r="BC599" s="1968"/>
      <c r="BD599" s="1968"/>
      <c r="BE599" s="1968"/>
      <c r="BF599" s="1968"/>
      <c r="BG599" s="7235"/>
    </row>
    <row customHeight="1" ht="11.25">
      <c r="A600" s="1312" t="s">
        <v>1069</v>
      </c>
      <c r="B600" s="1312"/>
      <c r="C600" s="1312"/>
      <c r="D600" s="1306"/>
      <c r="E600" s="1316"/>
      <c r="F600" s="1974"/>
      <c r="G600" s="1975"/>
      <c r="H600" s="2674" t="s">
        <v>1224</v>
      </c>
      <c r="I600" s="2675"/>
      <c r="J600" s="8666"/>
      <c r="K600" s="2676"/>
      <c r="L600" s="2266"/>
      <c r="M600" s="2267"/>
      <c r="N600" s="1321"/>
      <c r="O600" s="1322"/>
      <c r="P600" s="1314" t="s">
        <v>1108</v>
      </c>
      <c r="Q600" s="1322"/>
      <c r="R600" s="1322"/>
      <c r="S600" s="1322"/>
      <c r="T600" s="1322"/>
      <c r="U600" s="1322"/>
      <c r="V600" s="1322"/>
      <c r="W600" s="1322"/>
      <c r="X600" s="1322"/>
      <c r="Y600" s="1322"/>
      <c r="Z600" s="1322"/>
      <c r="AA600" s="1322"/>
      <c r="AB600" s="1322"/>
      <c r="AC600" s="1322"/>
      <c r="AD600" s="1322"/>
      <c r="AE600" s="1329"/>
      <c r="AF600" s="2665"/>
      <c r="AG600" s="2666"/>
      <c r="AH600" s="2666"/>
      <c r="AI600" s="8677"/>
      <c r="AJ600" s="2666"/>
      <c r="AK600" s="2666"/>
      <c r="AL600" s="2131"/>
      <c r="AM600" s="1968"/>
      <c r="AN600" s="1968"/>
      <c r="AO600" s="1968"/>
      <c r="AP600" s="1968"/>
      <c r="AQ600" s="1968"/>
      <c r="AR600" s="1968"/>
      <c r="AS600" s="1968"/>
      <c r="AT600" s="1968"/>
      <c r="AU600" s="1968"/>
      <c r="AV600" s="1968"/>
      <c r="AW600" s="1968"/>
      <c r="AX600" s="1968"/>
      <c r="AY600" s="1968"/>
      <c r="AZ600" s="1968"/>
      <c r="BA600" s="1968"/>
      <c r="BB600" s="1968"/>
      <c r="BC600" s="1968"/>
      <c r="BD600" s="1968"/>
      <c r="BE600" s="1968"/>
      <c r="BF600" s="1968"/>
      <c r="BG600" s="7235"/>
    </row>
    <row customHeight="1" ht="11.25">
      <c r="A601" s="1312" t="s">
        <v>1069</v>
      </c>
      <c r="B601" s="1312" t="s">
        <v>22</v>
      </c>
      <c r="C601" s="1312"/>
      <c r="D601" s="1306"/>
      <c r="E601" s="1316"/>
      <c r="F601" s="1974"/>
      <c r="G601" s="7143" t="s">
        <v>106</v>
      </c>
      <c r="H601" s="2674" t="s">
        <v>1229</v>
      </c>
      <c r="I601" s="2675" t="s">
        <v>1109</v>
      </c>
      <c r="J601" s="8650" t="s">
        <v>22</v>
      </c>
      <c r="K601" s="2676" t="s">
        <v>1304</v>
      </c>
      <c r="L601" s="2266" t="s">
        <v>19</v>
      </c>
      <c r="M601" s="2267"/>
      <c r="N601" s="2129"/>
      <c r="O601" s="1323" t="s">
        <v>398</v>
      </c>
      <c r="P601" s="1324"/>
      <c r="Q601" s="1324"/>
      <c r="R601" s="1324"/>
      <c r="S601" s="1324"/>
      <c r="T601" s="1324"/>
      <c r="U601" s="1324"/>
      <c r="V601" s="1324"/>
      <c r="W601" s="1324"/>
      <c r="X601" s="1324"/>
      <c r="Y601" s="1324"/>
      <c r="Z601" s="1324"/>
      <c r="AA601" s="1324"/>
      <c r="AB601" s="1324"/>
      <c r="AC601" s="1324"/>
      <c r="AD601" s="1324"/>
      <c r="AE601" s="1324"/>
      <c r="AF601" s="2665">
        <v>2027</v>
      </c>
      <c r="AG601" s="2666" t="s">
        <v>1103</v>
      </c>
      <c r="AH601" s="2666" t="s">
        <v>1164</v>
      </c>
      <c r="AI601" s="8647"/>
      <c r="AJ601" s="2666" t="s">
        <v>1105</v>
      </c>
      <c r="AK601" s="2666" t="s">
        <v>1105</v>
      </c>
      <c r="AL601" s="2131"/>
      <c r="AM601" s="1968"/>
      <c r="AN601" s="1968"/>
      <c r="AO601" s="1968"/>
      <c r="AP601" s="1968"/>
      <c r="AQ601" s="1968"/>
      <c r="AR601" s="1968"/>
      <c r="AS601" s="1968"/>
      <c r="AT601" s="1968"/>
      <c r="AU601" s="1968"/>
      <c r="AV601" s="1968"/>
      <c r="AW601" s="1968"/>
      <c r="AX601" s="1968"/>
      <c r="AY601" s="1968"/>
      <c r="AZ601" s="1968"/>
      <c r="BA601" s="1968"/>
      <c r="BB601" s="1968"/>
      <c r="BC601" s="1968"/>
      <c r="BD601" s="1968"/>
      <c r="BE601" s="1968"/>
      <c r="BF601" s="1968"/>
      <c r="BG601" s="7235"/>
    </row>
    <row customHeight="1" ht="11.25">
      <c r="A602" s="1312" t="s">
        <v>1069</v>
      </c>
      <c r="B602" s="1312"/>
      <c r="C602" s="1312"/>
      <c r="D602" s="1306"/>
      <c r="E602" s="1316"/>
      <c r="F602" s="1974"/>
      <c r="G602" s="1975"/>
      <c r="H602" s="2674" t="s">
        <v>1226</v>
      </c>
      <c r="I602" s="2675"/>
      <c r="J602" s="8650"/>
      <c r="K602" s="2676"/>
      <c r="L602" s="2266"/>
      <c r="M602" s="2267"/>
      <c r="N602" s="2667"/>
      <c r="O602" s="2668">
        <v>1</v>
      </c>
      <c r="P602" s="2669" t="s">
        <v>63</v>
      </c>
      <c r="Q602" s="8645" t="s">
        <v>1208</v>
      </c>
      <c r="R602" s="8646" t="s">
        <v>1114</v>
      </c>
      <c r="S602" s="8646" t="s">
        <v>113</v>
      </c>
      <c r="T602" s="8646" t="s">
        <v>113</v>
      </c>
      <c r="U602" s="8646" t="s">
        <v>114</v>
      </c>
      <c r="V602" s="8646" t="s">
        <v>1115</v>
      </c>
      <c r="W602" s="8646" t="s">
        <v>1116</v>
      </c>
      <c r="X602" s="8646" t="s">
        <v>1209</v>
      </c>
      <c r="Y602" s="8646" t="s">
        <v>121</v>
      </c>
      <c r="Z602" s="1321"/>
      <c r="AA602" s="1322"/>
      <c r="AB602" s="1322"/>
      <c r="AC602" s="1326"/>
      <c r="AD602" s="1326"/>
      <c r="AE602" s="1327"/>
      <c r="AF602" s="2665"/>
      <c r="AG602" s="2666"/>
      <c r="AH602" s="2666"/>
      <c r="AI602" s="8647"/>
      <c r="AJ602" s="2666"/>
      <c r="AK602" s="2666"/>
      <c r="AL602" s="2131"/>
      <c r="AM602" s="1968"/>
      <c r="AN602" s="1968"/>
      <c r="AO602" s="1968"/>
      <c r="AP602" s="1968"/>
      <c r="AQ602" s="1968"/>
      <c r="AR602" s="1968"/>
      <c r="AS602" s="1968"/>
      <c r="AT602" s="1968"/>
      <c r="AU602" s="1968"/>
      <c r="AV602" s="1968"/>
      <c r="AW602" s="1968"/>
      <c r="AX602" s="1968"/>
      <c r="AY602" s="1968"/>
      <c r="AZ602" s="1968"/>
      <c r="BA602" s="1968"/>
      <c r="BB602" s="1968"/>
      <c r="BC602" s="1968"/>
      <c r="BD602" s="1968"/>
      <c r="BE602" s="1968"/>
      <c r="BF602" s="1968"/>
      <c r="BG602" s="7235"/>
    </row>
    <row customHeight="1" ht="11.25">
      <c r="A603" s="1312" t="s">
        <v>1069</v>
      </c>
      <c r="B603" s="1312"/>
      <c r="C603" s="1312"/>
      <c r="D603" s="1306"/>
      <c r="E603" s="1316"/>
      <c r="F603" s="1974"/>
      <c r="G603" s="1975"/>
      <c r="H603" s="2674" t="s">
        <v>1226</v>
      </c>
      <c r="I603" s="2675"/>
      <c r="J603" s="8650"/>
      <c r="K603" s="2676"/>
      <c r="L603" s="2266"/>
      <c r="M603" s="2267"/>
      <c r="N603" s="2667"/>
      <c r="O603" s="2668"/>
      <c r="P603" s="2670"/>
      <c r="Q603" s="8645"/>
      <c r="R603" s="2672"/>
      <c r="S603" s="2673"/>
      <c r="T603" s="2672"/>
      <c r="U603" s="2672"/>
      <c r="V603" s="2672"/>
      <c r="W603" s="2672"/>
      <c r="X603" s="2672"/>
      <c r="Y603" s="2672"/>
      <c r="Z603" s="1973"/>
      <c r="AA603" s="1939">
        <v>1</v>
      </c>
      <c r="AB603" s="1325" t="s">
        <v>1131</v>
      </c>
      <c r="AC603" s="1315">
        <v>27270</v>
      </c>
      <c r="AD603" s="1325" t="str">
        <f>AB603</f>
        <v>      Прочие амортизационные отчисления</v>
      </c>
      <c r="AE603" s="1315">
        <v>20519</v>
      </c>
      <c r="AF603" s="2665"/>
      <c r="AG603" s="2666"/>
      <c r="AH603" s="2666"/>
      <c r="AI603" s="8647"/>
      <c r="AJ603" s="2666"/>
      <c r="AK603" s="2666"/>
      <c r="AL603" s="2131"/>
      <c r="AM603" s="1968"/>
      <c r="AN603" s="1968"/>
      <c r="AO603" s="1968"/>
      <c r="AP603" s="1968"/>
      <c r="AQ603" s="1968"/>
      <c r="AR603" s="1968"/>
      <c r="AS603" s="1968"/>
      <c r="AT603" s="1968"/>
      <c r="AU603" s="1968"/>
      <c r="AV603" s="1968"/>
      <c r="AW603" s="1968"/>
      <c r="AX603" s="1968"/>
      <c r="AY603" s="1968"/>
      <c r="AZ603" s="1968"/>
      <c r="BA603" s="1968"/>
      <c r="BB603" s="1968"/>
      <c r="BC603" s="1968"/>
      <c r="BD603" s="1968"/>
      <c r="BE603" s="1968"/>
      <c r="BF603" s="1968"/>
      <c r="BG603" s="7235"/>
    </row>
    <row customHeight="1" ht="11.25">
      <c r="A604" s="1312" t="s">
        <v>1069</v>
      </c>
      <c r="B604" s="1312"/>
      <c r="C604" s="1312"/>
      <c r="D604" s="1306"/>
      <c r="E604" s="1316"/>
      <c r="F604" s="1974"/>
      <c r="G604" s="1975"/>
      <c r="H604" s="2674" t="s">
        <v>1226</v>
      </c>
      <c r="I604" s="2675"/>
      <c r="J604" s="8650"/>
      <c r="K604" s="2676"/>
      <c r="L604" s="2266"/>
      <c r="M604" s="2267"/>
      <c r="N604" s="2667"/>
      <c r="O604" s="2668"/>
      <c r="P604" s="2671"/>
      <c r="Q604" s="8645"/>
      <c r="R604" s="2672"/>
      <c r="S604" s="2673"/>
      <c r="T604" s="2672"/>
      <c r="U604" s="2672"/>
      <c r="V604" s="2672"/>
      <c r="W604" s="2672"/>
      <c r="X604" s="2672"/>
      <c r="Y604" s="2672"/>
      <c r="Z604" s="1321"/>
      <c r="AA604" s="1322"/>
      <c r="AB604" s="1387" t="s">
        <v>1107</v>
      </c>
      <c r="AC604" s="1326"/>
      <c r="AD604" s="1326"/>
      <c r="AE604" s="1328"/>
      <c r="AF604" s="2665"/>
      <c r="AG604" s="2666"/>
      <c r="AH604" s="2666"/>
      <c r="AI604" s="8647"/>
      <c r="AJ604" s="2666"/>
      <c r="AK604" s="2666"/>
      <c r="AL604" s="2131"/>
      <c r="AM604" s="1968"/>
      <c r="AN604" s="1968"/>
      <c r="AO604" s="1968"/>
      <c r="AP604" s="1968"/>
      <c r="AQ604" s="1968"/>
      <c r="AR604" s="1968"/>
      <c r="AS604" s="1968"/>
      <c r="AT604" s="1968"/>
      <c r="AU604" s="1968"/>
      <c r="AV604" s="1968"/>
      <c r="AW604" s="1968"/>
      <c r="AX604" s="1968"/>
      <c r="AY604" s="1968"/>
      <c r="AZ604" s="1968"/>
      <c r="BA604" s="1968"/>
      <c r="BB604" s="1968"/>
      <c r="BC604" s="1968"/>
      <c r="BD604" s="1968"/>
      <c r="BE604" s="1968"/>
      <c r="BF604" s="1968"/>
      <c r="BG604" s="7235"/>
    </row>
    <row customHeight="1" ht="11.25">
      <c r="A605" s="1312" t="s">
        <v>1069</v>
      </c>
      <c r="B605" s="1312"/>
      <c r="C605" s="1312"/>
      <c r="D605" s="1306"/>
      <c r="E605" s="1316"/>
      <c r="F605" s="1974"/>
      <c r="G605" s="1975"/>
      <c r="H605" s="2674" t="s">
        <v>1226</v>
      </c>
      <c r="I605" s="2675"/>
      <c r="J605" s="8650"/>
      <c r="K605" s="2676"/>
      <c r="L605" s="2266"/>
      <c r="M605" s="2267"/>
      <c r="N605" s="1321"/>
      <c r="O605" s="1322"/>
      <c r="P605" s="1314" t="s">
        <v>1108</v>
      </c>
      <c r="Q605" s="1322"/>
      <c r="R605" s="1322"/>
      <c r="S605" s="1322"/>
      <c r="T605" s="1322"/>
      <c r="U605" s="1322"/>
      <c r="V605" s="1322"/>
      <c r="W605" s="1322"/>
      <c r="X605" s="1322"/>
      <c r="Y605" s="1322"/>
      <c r="Z605" s="1322"/>
      <c r="AA605" s="1322"/>
      <c r="AB605" s="1322"/>
      <c r="AC605" s="1322"/>
      <c r="AD605" s="1322"/>
      <c r="AE605" s="1329"/>
      <c r="AF605" s="2665"/>
      <c r="AG605" s="2666"/>
      <c r="AH605" s="2666"/>
      <c r="AI605" s="8647"/>
      <c r="AJ605" s="2666"/>
      <c r="AK605" s="2666"/>
      <c r="AL605" s="2131"/>
      <c r="AM605" s="1968"/>
      <c r="AN605" s="1968"/>
      <c r="AO605" s="1968"/>
      <c r="AP605" s="1968"/>
      <c r="AQ605" s="1968"/>
      <c r="AR605" s="1968"/>
      <c r="AS605" s="1968"/>
      <c r="AT605" s="1968"/>
      <c r="AU605" s="1968"/>
      <c r="AV605" s="1968"/>
      <c r="AW605" s="1968"/>
      <c r="AX605" s="1968"/>
      <c r="AY605" s="1968"/>
      <c r="AZ605" s="1968"/>
      <c r="BA605" s="1968"/>
      <c r="BB605" s="1968"/>
      <c r="BC605" s="1968"/>
      <c r="BD605" s="1968"/>
      <c r="BE605" s="1968"/>
      <c r="BF605" s="1968"/>
      <c r="BG605" s="7235"/>
    </row>
    <row customHeight="1" ht="11.25">
      <c r="A606" s="1312" t="s">
        <v>1069</v>
      </c>
      <c r="B606" s="1312" t="s">
        <v>22</v>
      </c>
      <c r="C606" s="1312"/>
      <c r="D606" s="1306"/>
      <c r="E606" s="1316"/>
      <c r="F606" s="1974"/>
      <c r="G606" s="7143" t="s">
        <v>106</v>
      </c>
      <c r="H606" s="2674" t="s">
        <v>1145</v>
      </c>
      <c r="I606" s="2675" t="s">
        <v>1109</v>
      </c>
      <c r="J606" s="8650" t="s">
        <v>22</v>
      </c>
      <c r="K606" s="2676" t="s">
        <v>1305</v>
      </c>
      <c r="L606" s="2266" t="s">
        <v>19</v>
      </c>
      <c r="M606" s="2267"/>
      <c r="N606" s="2129"/>
      <c r="O606" s="1323" t="s">
        <v>398</v>
      </c>
      <c r="P606" s="1324"/>
      <c r="Q606" s="1324"/>
      <c r="R606" s="1324"/>
      <c r="S606" s="1324"/>
      <c r="T606" s="1324"/>
      <c r="U606" s="1324"/>
      <c r="V606" s="1324"/>
      <c r="W606" s="1324"/>
      <c r="X606" s="1324"/>
      <c r="Y606" s="1324"/>
      <c r="Z606" s="1324"/>
      <c r="AA606" s="1324"/>
      <c r="AB606" s="1324"/>
      <c r="AC606" s="1324"/>
      <c r="AD606" s="1324"/>
      <c r="AE606" s="1324"/>
      <c r="AF606" s="2665">
        <v>2025</v>
      </c>
      <c r="AG606" s="2666" t="s">
        <v>1103</v>
      </c>
      <c r="AH606" s="2666" t="s">
        <v>1159</v>
      </c>
      <c r="AI606" s="8677">
        <v>2025</v>
      </c>
      <c r="AJ606" s="2666" t="s">
        <v>1103</v>
      </c>
      <c r="AK606" s="2666" t="s">
        <v>1159</v>
      </c>
      <c r="AL606" s="2131"/>
      <c r="AM606" s="1968"/>
      <c r="AN606" s="1968"/>
      <c r="AO606" s="1968"/>
      <c r="AP606" s="1968"/>
      <c r="AQ606" s="1968"/>
      <c r="AR606" s="1968"/>
      <c r="AS606" s="1968"/>
      <c r="AT606" s="1968"/>
      <c r="AU606" s="1968"/>
      <c r="AV606" s="1968"/>
      <c r="AW606" s="1968"/>
      <c r="AX606" s="1968"/>
      <c r="AY606" s="1968"/>
      <c r="AZ606" s="1968"/>
      <c r="BA606" s="1968"/>
      <c r="BB606" s="1968"/>
      <c r="BC606" s="1968"/>
      <c r="BD606" s="1968"/>
      <c r="BE606" s="1968"/>
      <c r="BF606" s="1968"/>
      <c r="BG606" s="7235"/>
    </row>
    <row customHeight="1" ht="11.25">
      <c r="A607" s="1312" t="s">
        <v>1069</v>
      </c>
      <c r="B607" s="1312"/>
      <c r="C607" s="1312"/>
      <c r="D607" s="1306"/>
      <c r="E607" s="1316"/>
      <c r="F607" s="1974"/>
      <c r="G607" s="1975"/>
      <c r="H607" s="2674" t="s">
        <v>1229</v>
      </c>
      <c r="I607" s="2675"/>
      <c r="J607" s="8650"/>
      <c r="K607" s="2676"/>
      <c r="L607" s="2266"/>
      <c r="M607" s="2267"/>
      <c r="N607" s="2667"/>
      <c r="O607" s="2668">
        <v>1</v>
      </c>
      <c r="P607" s="2669" t="s">
        <v>63</v>
      </c>
      <c r="Q607" s="8645" t="s">
        <v>1208</v>
      </c>
      <c r="R607" s="8646" t="s">
        <v>1114</v>
      </c>
      <c r="S607" s="8646" t="s">
        <v>113</v>
      </c>
      <c r="T607" s="8646" t="s">
        <v>113</v>
      </c>
      <c r="U607" s="8646" t="s">
        <v>114</v>
      </c>
      <c r="V607" s="8646" t="s">
        <v>1115</v>
      </c>
      <c r="W607" s="8646" t="s">
        <v>1116</v>
      </c>
      <c r="X607" s="8646" t="s">
        <v>1209</v>
      </c>
      <c r="Y607" s="8646" t="s">
        <v>121</v>
      </c>
      <c r="Z607" s="1321"/>
      <c r="AA607" s="1322"/>
      <c r="AB607" s="1322"/>
      <c r="AC607" s="1326"/>
      <c r="AD607" s="1326"/>
      <c r="AE607" s="1327"/>
      <c r="AF607" s="2665"/>
      <c r="AG607" s="2666"/>
      <c r="AH607" s="2666"/>
      <c r="AI607" s="8677"/>
      <c r="AJ607" s="2666"/>
      <c r="AK607" s="2666"/>
      <c r="AL607" s="2131"/>
      <c r="AM607" s="1968"/>
      <c r="AN607" s="1968"/>
      <c r="AO607" s="1968"/>
      <c r="AP607" s="1968"/>
      <c r="AQ607" s="1968"/>
      <c r="AR607" s="1968"/>
      <c r="AS607" s="1968"/>
      <c r="AT607" s="1968"/>
      <c r="AU607" s="1968"/>
      <c r="AV607" s="1968"/>
      <c r="AW607" s="1968"/>
      <c r="AX607" s="1968"/>
      <c r="AY607" s="1968"/>
      <c r="AZ607" s="1968"/>
      <c r="BA607" s="1968"/>
      <c r="BB607" s="1968"/>
      <c r="BC607" s="1968"/>
      <c r="BD607" s="1968"/>
      <c r="BE607" s="1968"/>
      <c r="BF607" s="1968"/>
      <c r="BG607" s="7235"/>
    </row>
    <row customHeight="1" ht="11.25">
      <c r="A608" s="1312" t="s">
        <v>1069</v>
      </c>
      <c r="B608" s="1312"/>
      <c r="C608" s="1312"/>
      <c r="D608" s="1306"/>
      <c r="E608" s="1316"/>
      <c r="F608" s="1974"/>
      <c r="G608" s="1975"/>
      <c r="H608" s="2674" t="s">
        <v>1229</v>
      </c>
      <c r="I608" s="2675"/>
      <c r="J608" s="8650"/>
      <c r="K608" s="2676"/>
      <c r="L608" s="2266"/>
      <c r="M608" s="2267"/>
      <c r="N608" s="2667"/>
      <c r="O608" s="2668"/>
      <c r="P608" s="2670"/>
      <c r="Q608" s="8645"/>
      <c r="R608" s="2672"/>
      <c r="S608" s="2673"/>
      <c r="T608" s="2672"/>
      <c r="U608" s="2672"/>
      <c r="V608" s="2672"/>
      <c r="W608" s="2672"/>
      <c r="X608" s="2672"/>
      <c r="Y608" s="2672"/>
      <c r="Z608" s="1973"/>
      <c r="AA608" s="1939">
        <v>1</v>
      </c>
      <c r="AB608" s="1325" t="s">
        <v>1131</v>
      </c>
      <c r="AC608" s="1315">
        <v>748</v>
      </c>
      <c r="AD608" s="1325" t="str">
        <f>AB608</f>
        <v>      Прочие амортизационные отчисления</v>
      </c>
      <c r="AE608" s="1315">
        <v>1297</v>
      </c>
      <c r="AF608" s="2665"/>
      <c r="AG608" s="2666"/>
      <c r="AH608" s="2666"/>
      <c r="AI608" s="8677"/>
      <c r="AJ608" s="2666"/>
      <c r="AK608" s="2666"/>
      <c r="AL608" s="2131"/>
      <c r="AM608" s="1968"/>
      <c r="AN608" s="1968"/>
      <c r="AO608" s="1968"/>
      <c r="AP608" s="1968"/>
      <c r="AQ608" s="1968"/>
      <c r="AR608" s="1968"/>
      <c r="AS608" s="1968"/>
      <c r="AT608" s="1968"/>
      <c r="AU608" s="1968"/>
      <c r="AV608" s="1968"/>
      <c r="AW608" s="1968"/>
      <c r="AX608" s="1968"/>
      <c r="AY608" s="1968"/>
      <c r="AZ608" s="1968"/>
      <c r="BA608" s="1968"/>
      <c r="BB608" s="1968"/>
      <c r="BC608" s="1968"/>
      <c r="BD608" s="1968"/>
      <c r="BE608" s="1968"/>
      <c r="BF608" s="1968"/>
      <c r="BG608" s="7235"/>
    </row>
    <row customHeight="1" ht="11.25">
      <c r="A609" s="1312" t="s">
        <v>1069</v>
      </c>
      <c r="B609" s="1312"/>
      <c r="C609" s="1312"/>
      <c r="D609" s="1306"/>
      <c r="E609" s="1316"/>
      <c r="F609" s="1974"/>
      <c r="G609" s="1975"/>
      <c r="H609" s="2674" t="s">
        <v>1229</v>
      </c>
      <c r="I609" s="2675"/>
      <c r="J609" s="8650"/>
      <c r="K609" s="2676"/>
      <c r="L609" s="2266"/>
      <c r="M609" s="2267"/>
      <c r="N609" s="2667"/>
      <c r="O609" s="2668"/>
      <c r="P609" s="2671"/>
      <c r="Q609" s="8645"/>
      <c r="R609" s="2672"/>
      <c r="S609" s="2673"/>
      <c r="T609" s="2672"/>
      <c r="U609" s="2672"/>
      <c r="V609" s="2672"/>
      <c r="W609" s="2672"/>
      <c r="X609" s="2672"/>
      <c r="Y609" s="2672"/>
      <c r="Z609" s="1321"/>
      <c r="AA609" s="1322"/>
      <c r="AB609" s="1387" t="s">
        <v>1107</v>
      </c>
      <c r="AC609" s="1326"/>
      <c r="AD609" s="1326"/>
      <c r="AE609" s="1328"/>
      <c r="AF609" s="2665"/>
      <c r="AG609" s="2666"/>
      <c r="AH609" s="2666"/>
      <c r="AI609" s="8677"/>
      <c r="AJ609" s="2666"/>
      <c r="AK609" s="2666"/>
      <c r="AL609" s="2131"/>
      <c r="AM609" s="1968"/>
      <c r="AN609" s="1968"/>
      <c r="AO609" s="1968"/>
      <c r="AP609" s="1968"/>
      <c r="AQ609" s="1968"/>
      <c r="AR609" s="1968"/>
      <c r="AS609" s="1968"/>
      <c r="AT609" s="1968"/>
      <c r="AU609" s="1968"/>
      <c r="AV609" s="1968"/>
      <c r="AW609" s="1968"/>
      <c r="AX609" s="1968"/>
      <c r="AY609" s="1968"/>
      <c r="AZ609" s="1968"/>
      <c r="BA609" s="1968"/>
      <c r="BB609" s="1968"/>
      <c r="BC609" s="1968"/>
      <c r="BD609" s="1968"/>
      <c r="BE609" s="1968"/>
      <c r="BF609" s="1968"/>
      <c r="BG609" s="7235"/>
    </row>
    <row customHeight="1" ht="11.25">
      <c r="A610" s="1312" t="s">
        <v>1069</v>
      </c>
      <c r="B610" s="1312"/>
      <c r="C610" s="1312"/>
      <c r="D610" s="1306"/>
      <c r="E610" s="1316"/>
      <c r="F610" s="1974"/>
      <c r="G610" s="1975"/>
      <c r="H610" s="2674" t="s">
        <v>1229</v>
      </c>
      <c r="I610" s="2675"/>
      <c r="J610" s="8650"/>
      <c r="K610" s="2676"/>
      <c r="L610" s="2266"/>
      <c r="M610" s="2267"/>
      <c r="N610" s="1321"/>
      <c r="O610" s="1322"/>
      <c r="P610" s="1314" t="s">
        <v>1108</v>
      </c>
      <c r="Q610" s="1322"/>
      <c r="R610" s="1322"/>
      <c r="S610" s="1322"/>
      <c r="T610" s="1322"/>
      <c r="U610" s="1322"/>
      <c r="V610" s="1322"/>
      <c r="W610" s="1322"/>
      <c r="X610" s="1322"/>
      <c r="Y610" s="1322"/>
      <c r="Z610" s="1322"/>
      <c r="AA610" s="1322"/>
      <c r="AB610" s="1322"/>
      <c r="AC610" s="1322"/>
      <c r="AD610" s="1322"/>
      <c r="AE610" s="1329"/>
      <c r="AF610" s="2665"/>
      <c r="AG610" s="2666"/>
      <c r="AH610" s="2666"/>
      <c r="AI610" s="8677"/>
      <c r="AJ610" s="2666"/>
      <c r="AK610" s="2666"/>
      <c r="AL610" s="2131"/>
      <c r="AM610" s="1968"/>
      <c r="AN610" s="1968"/>
      <c r="AO610" s="1968"/>
      <c r="AP610" s="1968"/>
      <c r="AQ610" s="1968"/>
      <c r="AR610" s="1968"/>
      <c r="AS610" s="1968"/>
      <c r="AT610" s="1968"/>
      <c r="AU610" s="1968"/>
      <c r="AV610" s="1968"/>
      <c r="AW610" s="1968"/>
      <c r="AX610" s="1968"/>
      <c r="AY610" s="1968"/>
      <c r="AZ610" s="1968"/>
      <c r="BA610" s="1968"/>
      <c r="BB610" s="1968"/>
      <c r="BC610" s="1968"/>
      <c r="BD610" s="1968"/>
      <c r="BE610" s="1968"/>
      <c r="BF610" s="1968"/>
      <c r="BG610" s="7235"/>
    </row>
    <row customHeight="1" ht="11.25">
      <c r="A611" s="1312" t="s">
        <v>1069</v>
      </c>
      <c r="B611" s="1312" t="s">
        <v>22</v>
      </c>
      <c r="C611" s="1312"/>
      <c r="D611" s="1306"/>
      <c r="E611" s="1316"/>
      <c r="F611" s="1974"/>
      <c r="G611" s="7143" t="s">
        <v>106</v>
      </c>
      <c r="H611" s="2674" t="s">
        <v>1232</v>
      </c>
      <c r="I611" s="2675" t="s">
        <v>1109</v>
      </c>
      <c r="J611" s="8650" t="s">
        <v>22</v>
      </c>
      <c r="K611" s="2676" t="s">
        <v>1306</v>
      </c>
      <c r="L611" s="2266" t="s">
        <v>19</v>
      </c>
      <c r="M611" s="2267"/>
      <c r="N611" s="2129"/>
      <c r="O611" s="1323" t="s">
        <v>398</v>
      </c>
      <c r="P611" s="1324"/>
      <c r="Q611" s="1324"/>
      <c r="R611" s="1324"/>
      <c r="S611" s="1324"/>
      <c r="T611" s="1324"/>
      <c r="U611" s="1324"/>
      <c r="V611" s="1324"/>
      <c r="W611" s="1324"/>
      <c r="X611" s="1324"/>
      <c r="Y611" s="1324"/>
      <c r="Z611" s="1324"/>
      <c r="AA611" s="1324"/>
      <c r="AB611" s="1324"/>
      <c r="AC611" s="1324"/>
      <c r="AD611" s="1324"/>
      <c r="AE611" s="1324"/>
      <c r="AF611" s="2665">
        <v>2027</v>
      </c>
      <c r="AG611" s="2666" t="s">
        <v>1103</v>
      </c>
      <c r="AH611" s="2666" t="s">
        <v>1164</v>
      </c>
      <c r="AI611" s="8647"/>
      <c r="AJ611" s="2666" t="s">
        <v>1105</v>
      </c>
      <c r="AK611" s="2666" t="s">
        <v>1105</v>
      </c>
      <c r="AL611" s="2131"/>
      <c r="AM611" s="1968"/>
      <c r="AN611" s="1968"/>
      <c r="AO611" s="1968"/>
      <c r="AP611" s="1968"/>
      <c r="AQ611" s="1968"/>
      <c r="AR611" s="1968"/>
      <c r="AS611" s="1968"/>
      <c r="AT611" s="1968"/>
      <c r="AU611" s="1968"/>
      <c r="AV611" s="1968"/>
      <c r="AW611" s="1968"/>
      <c r="AX611" s="1968"/>
      <c r="AY611" s="1968"/>
      <c r="AZ611" s="1968"/>
      <c r="BA611" s="1968"/>
      <c r="BB611" s="1968"/>
      <c r="BC611" s="1968"/>
      <c r="BD611" s="1968"/>
      <c r="BE611" s="1968"/>
      <c r="BF611" s="1968"/>
      <c r="BG611" s="7235"/>
    </row>
    <row customHeight="1" ht="11.25">
      <c r="A612" s="1312" t="s">
        <v>1069</v>
      </c>
      <c r="B612" s="1312"/>
      <c r="C612" s="1312"/>
      <c r="D612" s="1306"/>
      <c r="E612" s="1316"/>
      <c r="F612" s="1974"/>
      <c r="G612" s="1975"/>
      <c r="H612" s="2674" t="s">
        <v>1145</v>
      </c>
      <c r="I612" s="2675"/>
      <c r="J612" s="8650"/>
      <c r="K612" s="2676"/>
      <c r="L612" s="2266"/>
      <c r="M612" s="2267"/>
      <c r="N612" s="2667"/>
      <c r="O612" s="2668">
        <v>1</v>
      </c>
      <c r="P612" s="2669" t="s">
        <v>63</v>
      </c>
      <c r="Q612" s="8645" t="s">
        <v>1208</v>
      </c>
      <c r="R612" s="8646" t="s">
        <v>1114</v>
      </c>
      <c r="S612" s="8646" t="s">
        <v>113</v>
      </c>
      <c r="T612" s="8646" t="s">
        <v>113</v>
      </c>
      <c r="U612" s="8646" t="s">
        <v>114</v>
      </c>
      <c r="V612" s="8646" t="s">
        <v>1115</v>
      </c>
      <c r="W612" s="8646" t="s">
        <v>1116</v>
      </c>
      <c r="X612" s="8646" t="s">
        <v>1209</v>
      </c>
      <c r="Y612" s="8646" t="s">
        <v>121</v>
      </c>
      <c r="Z612" s="1321"/>
      <c r="AA612" s="1322"/>
      <c r="AB612" s="1322"/>
      <c r="AC612" s="1326"/>
      <c r="AD612" s="1326"/>
      <c r="AE612" s="1327"/>
      <c r="AF612" s="2665"/>
      <c r="AG612" s="2666"/>
      <c r="AH612" s="2666"/>
      <c r="AI612" s="8647"/>
      <c r="AJ612" s="2666"/>
      <c r="AK612" s="2666"/>
      <c r="AL612" s="2131"/>
      <c r="AM612" s="1968"/>
      <c r="AN612" s="1968"/>
      <c r="AO612" s="1968"/>
      <c r="AP612" s="1968"/>
      <c r="AQ612" s="1968"/>
      <c r="AR612" s="1968"/>
      <c r="AS612" s="1968"/>
      <c r="AT612" s="1968"/>
      <c r="AU612" s="1968"/>
      <c r="AV612" s="1968"/>
      <c r="AW612" s="1968"/>
      <c r="AX612" s="1968"/>
      <c r="AY612" s="1968"/>
      <c r="AZ612" s="1968"/>
      <c r="BA612" s="1968"/>
      <c r="BB612" s="1968"/>
      <c r="BC612" s="1968"/>
      <c r="BD612" s="1968"/>
      <c r="BE612" s="1968"/>
      <c r="BF612" s="1968"/>
      <c r="BG612" s="7235"/>
    </row>
    <row customHeight="1" ht="11.25">
      <c r="A613" s="1312" t="s">
        <v>1069</v>
      </c>
      <c r="B613" s="1312"/>
      <c r="C613" s="1312"/>
      <c r="D613" s="1306"/>
      <c r="E613" s="1316"/>
      <c r="F613" s="1974"/>
      <c r="G613" s="1975"/>
      <c r="H613" s="2674" t="s">
        <v>1145</v>
      </c>
      <c r="I613" s="2675"/>
      <c r="J613" s="8650"/>
      <c r="K613" s="2676"/>
      <c r="L613" s="2266"/>
      <c r="M613" s="2267"/>
      <c r="N613" s="2667"/>
      <c r="O613" s="2668"/>
      <c r="P613" s="2670"/>
      <c r="Q613" s="8645"/>
      <c r="R613" s="2672"/>
      <c r="S613" s="2673"/>
      <c r="T613" s="2672"/>
      <c r="U613" s="2672"/>
      <c r="V613" s="2672"/>
      <c r="W613" s="2672"/>
      <c r="X613" s="2672"/>
      <c r="Y613" s="2672"/>
      <c r="Z613" s="1973"/>
      <c r="AA613" s="1939">
        <v>1</v>
      </c>
      <c r="AB613" s="1325" t="s">
        <v>1131</v>
      </c>
      <c r="AC613" s="1315">
        <v>14623</v>
      </c>
      <c r="AD613" s="1325" t="str">
        <f>AB613</f>
        <v>      Прочие амортизационные отчисления</v>
      </c>
      <c r="AE613" s="1315">
        <v>14616</v>
      </c>
      <c r="AF613" s="2665"/>
      <c r="AG613" s="2666"/>
      <c r="AH613" s="2666"/>
      <c r="AI613" s="8647"/>
      <c r="AJ613" s="2666"/>
      <c r="AK613" s="2666"/>
      <c r="AL613" s="2131"/>
      <c r="AM613" s="1968"/>
      <c r="AN613" s="1968"/>
      <c r="AO613" s="1968"/>
      <c r="AP613" s="1968"/>
      <c r="AQ613" s="1968"/>
      <c r="AR613" s="1968"/>
      <c r="AS613" s="1968"/>
      <c r="AT613" s="1968"/>
      <c r="AU613" s="1968"/>
      <c r="AV613" s="1968"/>
      <c r="AW613" s="1968"/>
      <c r="AX613" s="1968"/>
      <c r="AY613" s="1968"/>
      <c r="AZ613" s="1968"/>
      <c r="BA613" s="1968"/>
      <c r="BB613" s="1968"/>
      <c r="BC613" s="1968"/>
      <c r="BD613" s="1968"/>
      <c r="BE613" s="1968"/>
      <c r="BF613" s="1968"/>
      <c r="BG613" s="7235"/>
    </row>
    <row customHeight="1" ht="11.25">
      <c r="A614" s="1312" t="s">
        <v>1069</v>
      </c>
      <c r="B614" s="1312"/>
      <c r="C614" s="1312"/>
      <c r="D614" s="1306"/>
      <c r="E614" s="1316"/>
      <c r="F614" s="1974"/>
      <c r="G614" s="1975"/>
      <c r="H614" s="2674" t="s">
        <v>1145</v>
      </c>
      <c r="I614" s="2675"/>
      <c r="J614" s="8650"/>
      <c r="K614" s="2676"/>
      <c r="L614" s="2266"/>
      <c r="M614" s="2267"/>
      <c r="N614" s="2667"/>
      <c r="O614" s="2668"/>
      <c r="P614" s="2671"/>
      <c r="Q614" s="8645"/>
      <c r="R614" s="2672"/>
      <c r="S614" s="2673"/>
      <c r="T614" s="2672"/>
      <c r="U614" s="2672"/>
      <c r="V614" s="2672"/>
      <c r="W614" s="2672"/>
      <c r="X614" s="2672"/>
      <c r="Y614" s="2672"/>
      <c r="Z614" s="1321"/>
      <c r="AA614" s="1322"/>
      <c r="AB614" s="1387" t="s">
        <v>1107</v>
      </c>
      <c r="AC614" s="1326"/>
      <c r="AD614" s="1326"/>
      <c r="AE614" s="1328"/>
      <c r="AF614" s="2665"/>
      <c r="AG614" s="2666"/>
      <c r="AH614" s="2666"/>
      <c r="AI614" s="8647"/>
      <c r="AJ614" s="2666"/>
      <c r="AK614" s="2666"/>
      <c r="AL614" s="2131"/>
      <c r="AM614" s="1968"/>
      <c r="AN614" s="1968"/>
      <c r="AO614" s="1968"/>
      <c r="AP614" s="1968"/>
      <c r="AQ614" s="1968"/>
      <c r="AR614" s="1968"/>
      <c r="AS614" s="1968"/>
      <c r="AT614" s="1968"/>
      <c r="AU614" s="1968"/>
      <c r="AV614" s="1968"/>
      <c r="AW614" s="1968"/>
      <c r="AX614" s="1968"/>
      <c r="AY614" s="1968"/>
      <c r="AZ614" s="1968"/>
      <c r="BA614" s="1968"/>
      <c r="BB614" s="1968"/>
      <c r="BC614" s="1968"/>
      <c r="BD614" s="1968"/>
      <c r="BE614" s="1968"/>
      <c r="BF614" s="1968"/>
      <c r="BG614" s="7235"/>
    </row>
    <row customHeight="1" ht="11.25">
      <c r="A615" s="1312" t="s">
        <v>1069</v>
      </c>
      <c r="B615" s="1312"/>
      <c r="C615" s="1312"/>
      <c r="D615" s="1306"/>
      <c r="E615" s="1316"/>
      <c r="F615" s="1974"/>
      <c r="G615" s="1975"/>
      <c r="H615" s="2674" t="s">
        <v>1145</v>
      </c>
      <c r="I615" s="2675"/>
      <c r="J615" s="8650"/>
      <c r="K615" s="2676"/>
      <c r="L615" s="2266"/>
      <c r="M615" s="2267"/>
      <c r="N615" s="1321"/>
      <c r="O615" s="1322"/>
      <c r="P615" s="1314" t="s">
        <v>1108</v>
      </c>
      <c r="Q615" s="1322"/>
      <c r="R615" s="1322"/>
      <c r="S615" s="1322"/>
      <c r="T615" s="1322"/>
      <c r="U615" s="1322"/>
      <c r="V615" s="1322"/>
      <c r="W615" s="1322"/>
      <c r="X615" s="1322"/>
      <c r="Y615" s="1322"/>
      <c r="Z615" s="1322"/>
      <c r="AA615" s="1322"/>
      <c r="AB615" s="1322"/>
      <c r="AC615" s="1322"/>
      <c r="AD615" s="1322"/>
      <c r="AE615" s="1329"/>
      <c r="AF615" s="2665"/>
      <c r="AG615" s="2666"/>
      <c r="AH615" s="2666"/>
      <c r="AI615" s="8647"/>
      <c r="AJ615" s="2666"/>
      <c r="AK615" s="2666"/>
      <c r="AL615" s="2131"/>
      <c r="AM615" s="1968"/>
      <c r="AN615" s="1968"/>
      <c r="AO615" s="1968"/>
      <c r="AP615" s="1968"/>
      <c r="AQ615" s="1968"/>
      <c r="AR615" s="1968"/>
      <c r="AS615" s="1968"/>
      <c r="AT615" s="1968"/>
      <c r="AU615" s="1968"/>
      <c r="AV615" s="1968"/>
      <c r="AW615" s="1968"/>
      <c r="AX615" s="1968"/>
      <c r="AY615" s="1968"/>
      <c r="AZ615" s="1968"/>
      <c r="BA615" s="1968"/>
      <c r="BB615" s="1968"/>
      <c r="BC615" s="1968"/>
      <c r="BD615" s="1968"/>
      <c r="BE615" s="1968"/>
      <c r="BF615" s="1968"/>
      <c r="BG615" s="7235"/>
    </row>
    <row customHeight="1" ht="11.25">
      <c r="A616" s="1312" t="s">
        <v>1069</v>
      </c>
      <c r="B616" s="1312" t="s">
        <v>22</v>
      </c>
      <c r="C616" s="1312"/>
      <c r="D616" s="1306"/>
      <c r="E616" s="1316"/>
      <c r="F616" s="1974"/>
      <c r="G616" s="7143" t="s">
        <v>106</v>
      </c>
      <c r="H616" s="2674" t="s">
        <v>1234</v>
      </c>
      <c r="I616" s="2675" t="s">
        <v>1109</v>
      </c>
      <c r="J616" s="8650" t="s">
        <v>22</v>
      </c>
      <c r="K616" s="2676" t="s">
        <v>1307</v>
      </c>
      <c r="L616" s="2266" t="s">
        <v>19</v>
      </c>
      <c r="M616" s="2267"/>
      <c r="N616" s="2129"/>
      <c r="O616" s="1323" t="s">
        <v>398</v>
      </c>
      <c r="P616" s="1324"/>
      <c r="Q616" s="1324"/>
      <c r="R616" s="1324"/>
      <c r="S616" s="1324"/>
      <c r="T616" s="1324"/>
      <c r="U616" s="1324"/>
      <c r="V616" s="1324"/>
      <c r="W616" s="1324"/>
      <c r="X616" s="1324"/>
      <c r="Y616" s="1324"/>
      <c r="Z616" s="1324"/>
      <c r="AA616" s="1324"/>
      <c r="AB616" s="1324"/>
      <c r="AC616" s="1324"/>
      <c r="AD616" s="1324"/>
      <c r="AE616" s="1324"/>
      <c r="AF616" s="2665">
        <v>2025</v>
      </c>
      <c r="AG616" s="2666" t="s">
        <v>1103</v>
      </c>
      <c r="AH616" s="2666" t="s">
        <v>1159</v>
      </c>
      <c r="AI616" s="8647"/>
      <c r="AJ616" s="2666" t="s">
        <v>1105</v>
      </c>
      <c r="AK616" s="2666" t="s">
        <v>1105</v>
      </c>
      <c r="AL616" s="2131"/>
      <c r="AM616" s="1968"/>
      <c r="AN616" s="1968"/>
      <c r="AO616" s="1968"/>
      <c r="AP616" s="1968"/>
      <c r="AQ616" s="1968"/>
      <c r="AR616" s="1968"/>
      <c r="AS616" s="1968"/>
      <c r="AT616" s="1968"/>
      <c r="AU616" s="1968"/>
      <c r="AV616" s="1968"/>
      <c r="AW616" s="1968"/>
      <c r="AX616" s="1968"/>
      <c r="AY616" s="1968"/>
      <c r="AZ616" s="1968"/>
      <c r="BA616" s="1968"/>
      <c r="BB616" s="1968"/>
      <c r="BC616" s="1968"/>
      <c r="BD616" s="1968"/>
      <c r="BE616" s="1968"/>
      <c r="BF616" s="1968"/>
      <c r="BG616" s="7235"/>
    </row>
    <row customHeight="1" ht="11.25">
      <c r="A617" s="1312" t="s">
        <v>1069</v>
      </c>
      <c r="B617" s="1312"/>
      <c r="C617" s="1312"/>
      <c r="D617" s="1306"/>
      <c r="E617" s="1316"/>
      <c r="F617" s="1974"/>
      <c r="G617" s="1975"/>
      <c r="H617" s="2674" t="s">
        <v>1232</v>
      </c>
      <c r="I617" s="2675"/>
      <c r="J617" s="8650"/>
      <c r="K617" s="2676"/>
      <c r="L617" s="2266"/>
      <c r="M617" s="2267"/>
      <c r="N617" s="2667"/>
      <c r="O617" s="2668">
        <v>1</v>
      </c>
      <c r="P617" s="2669" t="s">
        <v>63</v>
      </c>
      <c r="Q617" s="8645" t="s">
        <v>1176</v>
      </c>
      <c r="R617" s="8646" t="s">
        <v>1177</v>
      </c>
      <c r="S617" s="8646" t="s">
        <v>113</v>
      </c>
      <c r="T617" s="8646" t="s">
        <v>113</v>
      </c>
      <c r="U617" s="8646" t="s">
        <v>114</v>
      </c>
      <c r="V617" s="8646" t="s">
        <v>1115</v>
      </c>
      <c r="W617" s="8646" t="s">
        <v>1116</v>
      </c>
      <c r="X617" s="8646" t="s">
        <v>1178</v>
      </c>
      <c r="Y617" s="8646" t="s">
        <v>1178</v>
      </c>
      <c r="Z617" s="1321"/>
      <c r="AA617" s="1322"/>
      <c r="AB617" s="1322"/>
      <c r="AC617" s="1326"/>
      <c r="AD617" s="1326"/>
      <c r="AE617" s="1327"/>
      <c r="AF617" s="2665"/>
      <c r="AG617" s="2666"/>
      <c r="AH617" s="2666"/>
      <c r="AI617" s="8647"/>
      <c r="AJ617" s="2666"/>
      <c r="AK617" s="2666"/>
      <c r="AL617" s="2131"/>
      <c r="AM617" s="1968"/>
      <c r="AN617" s="1968"/>
      <c r="AO617" s="1968"/>
      <c r="AP617" s="1968"/>
      <c r="AQ617" s="1968"/>
      <c r="AR617" s="1968"/>
      <c r="AS617" s="1968"/>
      <c r="AT617" s="1968"/>
      <c r="AU617" s="1968"/>
      <c r="AV617" s="1968"/>
      <c r="AW617" s="1968"/>
      <c r="AX617" s="1968"/>
      <c r="AY617" s="1968"/>
      <c r="AZ617" s="1968"/>
      <c r="BA617" s="1968"/>
      <c r="BB617" s="1968"/>
      <c r="BC617" s="1968"/>
      <c r="BD617" s="1968"/>
      <c r="BE617" s="1968"/>
      <c r="BF617" s="1968"/>
      <c r="BG617" s="7235"/>
    </row>
    <row customHeight="1" ht="11.25">
      <c r="A618" s="1312" t="s">
        <v>1069</v>
      </c>
      <c r="B618" s="1312"/>
      <c r="C618" s="1312"/>
      <c r="D618" s="1306"/>
      <c r="E618" s="1316"/>
      <c r="F618" s="1974"/>
      <c r="G618" s="1975"/>
      <c r="H618" s="2674" t="s">
        <v>1232</v>
      </c>
      <c r="I618" s="2675"/>
      <c r="J618" s="8650"/>
      <c r="K618" s="2676"/>
      <c r="L618" s="2266"/>
      <c r="M618" s="2267"/>
      <c r="N618" s="2667"/>
      <c r="O618" s="2668"/>
      <c r="P618" s="2670"/>
      <c r="Q618" s="8645"/>
      <c r="R618" s="2672"/>
      <c r="S618" s="2673"/>
      <c r="T618" s="2672"/>
      <c r="U618" s="2672"/>
      <c r="V618" s="2672"/>
      <c r="W618" s="2672"/>
      <c r="X618" s="2672"/>
      <c r="Y618" s="2672"/>
      <c r="Z618" s="1973"/>
      <c r="AA618" s="1939">
        <v>1</v>
      </c>
      <c r="AB618" s="1325" t="s">
        <v>1131</v>
      </c>
      <c r="AC618" s="1315">
        <v>5200</v>
      </c>
      <c r="AD618" s="1325" t="str">
        <f>AB618</f>
        <v>      Прочие амортизационные отчисления</v>
      </c>
      <c r="AE618" s="1315">
        <v>6107</v>
      </c>
      <c r="AF618" s="2665"/>
      <c r="AG618" s="2666"/>
      <c r="AH618" s="2666"/>
      <c r="AI618" s="8647"/>
      <c r="AJ618" s="2666"/>
      <c r="AK618" s="2666"/>
      <c r="AL618" s="2131"/>
      <c r="AM618" s="1968"/>
      <c r="AN618" s="1968"/>
      <c r="AO618" s="1968"/>
      <c r="AP618" s="1968"/>
      <c r="AQ618" s="1968"/>
      <c r="AR618" s="1968"/>
      <c r="AS618" s="1968"/>
      <c r="AT618" s="1968"/>
      <c r="AU618" s="1968"/>
      <c r="AV618" s="1968"/>
      <c r="AW618" s="1968"/>
      <c r="AX618" s="1968"/>
      <c r="AY618" s="1968"/>
      <c r="AZ618" s="1968"/>
      <c r="BA618" s="1968"/>
      <c r="BB618" s="1968"/>
      <c r="BC618" s="1968"/>
      <c r="BD618" s="1968"/>
      <c r="BE618" s="1968"/>
      <c r="BF618" s="1968"/>
      <c r="BG618" s="7235"/>
    </row>
    <row customHeight="1" ht="11.25">
      <c r="A619" s="1312" t="s">
        <v>1069</v>
      </c>
      <c r="B619" s="1312"/>
      <c r="C619" s="1312"/>
      <c r="D619" s="1306"/>
      <c r="E619" s="1316"/>
      <c r="F619" s="1974"/>
      <c r="G619" s="1975"/>
      <c r="H619" s="2674" t="s">
        <v>1232</v>
      </c>
      <c r="I619" s="2675"/>
      <c r="J619" s="8650"/>
      <c r="K619" s="2676"/>
      <c r="L619" s="2266"/>
      <c r="M619" s="2267"/>
      <c r="N619" s="2667"/>
      <c r="O619" s="2668"/>
      <c r="P619" s="2671"/>
      <c r="Q619" s="8645"/>
      <c r="R619" s="2672"/>
      <c r="S619" s="2673"/>
      <c r="T619" s="2672"/>
      <c r="U619" s="2672"/>
      <c r="V619" s="2672"/>
      <c r="W619" s="2672"/>
      <c r="X619" s="2672"/>
      <c r="Y619" s="2672"/>
      <c r="Z619" s="1321"/>
      <c r="AA619" s="1322"/>
      <c r="AB619" s="1387" t="s">
        <v>1107</v>
      </c>
      <c r="AC619" s="1326"/>
      <c r="AD619" s="1326"/>
      <c r="AE619" s="1328"/>
      <c r="AF619" s="2665"/>
      <c r="AG619" s="2666"/>
      <c r="AH619" s="2666"/>
      <c r="AI619" s="8647"/>
      <c r="AJ619" s="2666"/>
      <c r="AK619" s="2666"/>
      <c r="AL619" s="2131"/>
      <c r="AM619" s="1968"/>
      <c r="AN619" s="1968"/>
      <c r="AO619" s="1968"/>
      <c r="AP619" s="1968"/>
      <c r="AQ619" s="1968"/>
      <c r="AR619" s="1968"/>
      <c r="AS619" s="1968"/>
      <c r="AT619" s="1968"/>
      <c r="AU619" s="1968"/>
      <c r="AV619" s="1968"/>
      <c r="AW619" s="1968"/>
      <c r="AX619" s="1968"/>
      <c r="AY619" s="1968"/>
      <c r="AZ619" s="1968"/>
      <c r="BA619" s="1968"/>
      <c r="BB619" s="1968"/>
      <c r="BC619" s="1968"/>
      <c r="BD619" s="1968"/>
      <c r="BE619" s="1968"/>
      <c r="BF619" s="1968"/>
      <c r="BG619" s="7235"/>
    </row>
    <row customHeight="1" ht="11.25">
      <c r="A620" s="1312" t="s">
        <v>1069</v>
      </c>
      <c r="B620" s="1312"/>
      <c r="C620" s="1312"/>
      <c r="D620" s="1306"/>
      <c r="E620" s="1316"/>
      <c r="F620" s="1974"/>
      <c r="G620" s="1975"/>
      <c r="H620" s="2674" t="s">
        <v>1232</v>
      </c>
      <c r="I620" s="2675"/>
      <c r="J620" s="8650"/>
      <c r="K620" s="2676"/>
      <c r="L620" s="2266"/>
      <c r="M620" s="2267"/>
      <c r="N620" s="1321"/>
      <c r="O620" s="1322"/>
      <c r="P620" s="1314" t="s">
        <v>1108</v>
      </c>
      <c r="Q620" s="1322"/>
      <c r="R620" s="1322"/>
      <c r="S620" s="1322"/>
      <c r="T620" s="1322"/>
      <c r="U620" s="1322"/>
      <c r="V620" s="1322"/>
      <c r="W620" s="1322"/>
      <c r="X620" s="1322"/>
      <c r="Y620" s="1322"/>
      <c r="Z620" s="1322"/>
      <c r="AA620" s="1322"/>
      <c r="AB620" s="1322"/>
      <c r="AC620" s="1322"/>
      <c r="AD620" s="1322"/>
      <c r="AE620" s="1329"/>
      <c r="AF620" s="2665"/>
      <c r="AG620" s="2666"/>
      <c r="AH620" s="2666"/>
      <c r="AI620" s="8647"/>
      <c r="AJ620" s="2666"/>
      <c r="AK620" s="2666"/>
      <c r="AL620" s="2131"/>
      <c r="AM620" s="1968"/>
      <c r="AN620" s="1968"/>
      <c r="AO620" s="1968"/>
      <c r="AP620" s="1968"/>
      <c r="AQ620" s="1968"/>
      <c r="AR620" s="1968"/>
      <c r="AS620" s="1968"/>
      <c r="AT620" s="1968"/>
      <c r="AU620" s="1968"/>
      <c r="AV620" s="1968"/>
      <c r="AW620" s="1968"/>
      <c r="AX620" s="1968"/>
      <c r="AY620" s="1968"/>
      <c r="AZ620" s="1968"/>
      <c r="BA620" s="1968"/>
      <c r="BB620" s="1968"/>
      <c r="BC620" s="1968"/>
      <c r="BD620" s="1968"/>
      <c r="BE620" s="1968"/>
      <c r="BF620" s="1968"/>
      <c r="BG620" s="7235"/>
    </row>
    <row customHeight="1" ht="11.25">
      <c r="A621" s="1312" t="s">
        <v>1069</v>
      </c>
      <c r="B621" s="1312" t="s">
        <v>22</v>
      </c>
      <c r="C621" s="1312"/>
      <c r="D621" s="1306"/>
      <c r="E621" s="1316"/>
      <c r="F621" s="1974"/>
      <c r="G621" s="7143" t="s">
        <v>106</v>
      </c>
      <c r="H621" s="2674" t="s">
        <v>1236</v>
      </c>
      <c r="I621" s="2675" t="s">
        <v>1109</v>
      </c>
      <c r="J621" s="8650" t="s">
        <v>22</v>
      </c>
      <c r="K621" s="2676" t="s">
        <v>1308</v>
      </c>
      <c r="L621" s="2266" t="s">
        <v>19</v>
      </c>
      <c r="M621" s="2267"/>
      <c r="N621" s="2129"/>
      <c r="O621" s="1323" t="s">
        <v>398</v>
      </c>
      <c r="P621" s="1324"/>
      <c r="Q621" s="1324"/>
      <c r="R621" s="1324"/>
      <c r="S621" s="1324"/>
      <c r="T621" s="1324"/>
      <c r="U621" s="1324"/>
      <c r="V621" s="1324"/>
      <c r="W621" s="1324"/>
      <c r="X621" s="1324"/>
      <c r="Y621" s="1324"/>
      <c r="Z621" s="1324"/>
      <c r="AA621" s="1324"/>
      <c r="AB621" s="1324"/>
      <c r="AC621" s="1324"/>
      <c r="AD621" s="1324"/>
      <c r="AE621" s="1324"/>
      <c r="AF621" s="2665">
        <v>2025</v>
      </c>
      <c r="AG621" s="2666" t="s">
        <v>1103</v>
      </c>
      <c r="AH621" s="2666" t="s">
        <v>1159</v>
      </c>
      <c r="AI621" s="8647"/>
      <c r="AJ621" s="2666" t="s">
        <v>1105</v>
      </c>
      <c r="AK621" s="2666" t="s">
        <v>1105</v>
      </c>
      <c r="AL621" s="2131"/>
      <c r="AM621" s="1968"/>
      <c r="AN621" s="1968"/>
      <c r="AO621" s="1968"/>
      <c r="AP621" s="1968"/>
      <c r="AQ621" s="1968"/>
      <c r="AR621" s="1968"/>
      <c r="AS621" s="1968"/>
      <c r="AT621" s="1968"/>
      <c r="AU621" s="1968"/>
      <c r="AV621" s="1968"/>
      <c r="AW621" s="1968"/>
      <c r="AX621" s="1968"/>
      <c r="AY621" s="1968"/>
      <c r="AZ621" s="1968"/>
      <c r="BA621" s="1968"/>
      <c r="BB621" s="1968"/>
      <c r="BC621" s="1968"/>
      <c r="BD621" s="1968"/>
      <c r="BE621" s="1968"/>
      <c r="BF621" s="1968"/>
      <c r="BG621" s="7235"/>
    </row>
    <row customHeight="1" ht="11.25">
      <c r="A622" s="1312" t="s">
        <v>1069</v>
      </c>
      <c r="B622" s="1312"/>
      <c r="C622" s="1312"/>
      <c r="D622" s="1306"/>
      <c r="E622" s="1316"/>
      <c r="F622" s="1974"/>
      <c r="G622" s="1975"/>
      <c r="H622" s="2674" t="s">
        <v>1234</v>
      </c>
      <c r="I622" s="2675"/>
      <c r="J622" s="8650"/>
      <c r="K622" s="2676"/>
      <c r="L622" s="2266"/>
      <c r="M622" s="2267"/>
      <c r="N622" s="2667"/>
      <c r="O622" s="2668">
        <v>1</v>
      </c>
      <c r="P622" s="2669" t="s">
        <v>63</v>
      </c>
      <c r="Q622" s="8645" t="s">
        <v>1176</v>
      </c>
      <c r="R622" s="8646" t="s">
        <v>1177</v>
      </c>
      <c r="S622" s="8646" t="s">
        <v>113</v>
      </c>
      <c r="T622" s="8646" t="s">
        <v>113</v>
      </c>
      <c r="U622" s="8646" t="s">
        <v>114</v>
      </c>
      <c r="V622" s="8646" t="s">
        <v>1115</v>
      </c>
      <c r="W622" s="8646" t="s">
        <v>1116</v>
      </c>
      <c r="X622" s="8646" t="s">
        <v>1178</v>
      </c>
      <c r="Y622" s="8646" t="s">
        <v>1178</v>
      </c>
      <c r="Z622" s="1321"/>
      <c r="AA622" s="1322"/>
      <c r="AB622" s="1322"/>
      <c r="AC622" s="1326"/>
      <c r="AD622" s="1326"/>
      <c r="AE622" s="1327"/>
      <c r="AF622" s="2665"/>
      <c r="AG622" s="2666"/>
      <c r="AH622" s="2666"/>
      <c r="AI622" s="8647"/>
      <c r="AJ622" s="2666"/>
      <c r="AK622" s="2666"/>
      <c r="AL622" s="2131"/>
      <c r="AM622" s="1968"/>
      <c r="AN622" s="1968"/>
      <c r="AO622" s="1968"/>
      <c r="AP622" s="1968"/>
      <c r="AQ622" s="1968"/>
      <c r="AR622" s="1968"/>
      <c r="AS622" s="1968"/>
      <c r="AT622" s="1968"/>
      <c r="AU622" s="1968"/>
      <c r="AV622" s="1968"/>
      <c r="AW622" s="1968"/>
      <c r="AX622" s="1968"/>
      <c r="AY622" s="1968"/>
      <c r="AZ622" s="1968"/>
      <c r="BA622" s="1968"/>
      <c r="BB622" s="1968"/>
      <c r="BC622" s="1968"/>
      <c r="BD622" s="1968"/>
      <c r="BE622" s="1968"/>
      <c r="BF622" s="1968"/>
      <c r="BG622" s="7235"/>
    </row>
    <row customHeight="1" ht="11.25">
      <c r="A623" s="1312" t="s">
        <v>1069</v>
      </c>
      <c r="B623" s="1312"/>
      <c r="C623" s="1312"/>
      <c r="D623" s="1306"/>
      <c r="E623" s="1316"/>
      <c r="F623" s="1974"/>
      <c r="G623" s="1975"/>
      <c r="H623" s="2674" t="s">
        <v>1234</v>
      </c>
      <c r="I623" s="2675"/>
      <c r="J623" s="8650"/>
      <c r="K623" s="2676"/>
      <c r="L623" s="2266"/>
      <c r="M623" s="2267"/>
      <c r="N623" s="2667"/>
      <c r="O623" s="2668"/>
      <c r="P623" s="2670"/>
      <c r="Q623" s="8645"/>
      <c r="R623" s="2672"/>
      <c r="S623" s="2673"/>
      <c r="T623" s="2672"/>
      <c r="U623" s="2672"/>
      <c r="V623" s="2672"/>
      <c r="W623" s="2672"/>
      <c r="X623" s="2672"/>
      <c r="Y623" s="2672"/>
      <c r="Z623" s="1973"/>
      <c r="AA623" s="1939">
        <v>1</v>
      </c>
      <c r="AB623" s="1325" t="s">
        <v>1131</v>
      </c>
      <c r="AC623" s="1315">
        <v>8176</v>
      </c>
      <c r="AD623" s="1325" t="str">
        <f>AB623</f>
        <v>      Прочие амортизационные отчисления</v>
      </c>
      <c r="AE623" s="1315">
        <v>8542</v>
      </c>
      <c r="AF623" s="2665"/>
      <c r="AG623" s="2666"/>
      <c r="AH623" s="2666"/>
      <c r="AI623" s="8647"/>
      <c r="AJ623" s="2666"/>
      <c r="AK623" s="2666"/>
      <c r="AL623" s="2131"/>
      <c r="AM623" s="1968"/>
      <c r="AN623" s="1968"/>
      <c r="AO623" s="1968"/>
      <c r="AP623" s="1968"/>
      <c r="AQ623" s="1968"/>
      <c r="AR623" s="1968"/>
      <c r="AS623" s="1968"/>
      <c r="AT623" s="1968"/>
      <c r="AU623" s="1968"/>
      <c r="AV623" s="1968"/>
      <c r="AW623" s="1968"/>
      <c r="AX623" s="1968"/>
      <c r="AY623" s="1968"/>
      <c r="AZ623" s="1968"/>
      <c r="BA623" s="1968"/>
      <c r="BB623" s="1968"/>
      <c r="BC623" s="1968"/>
      <c r="BD623" s="1968"/>
      <c r="BE623" s="1968"/>
      <c r="BF623" s="1968"/>
      <c r="BG623" s="7235"/>
    </row>
    <row customHeight="1" ht="11.25">
      <c r="A624" s="1312" t="s">
        <v>1069</v>
      </c>
      <c r="B624" s="1312"/>
      <c r="C624" s="1312"/>
      <c r="D624" s="1306"/>
      <c r="E624" s="1316"/>
      <c r="F624" s="1974"/>
      <c r="G624" s="1975"/>
      <c r="H624" s="2674" t="s">
        <v>1234</v>
      </c>
      <c r="I624" s="2675"/>
      <c r="J624" s="8650"/>
      <c r="K624" s="2676"/>
      <c r="L624" s="2266"/>
      <c r="M624" s="2267"/>
      <c r="N624" s="2667"/>
      <c r="O624" s="2668"/>
      <c r="P624" s="2671"/>
      <c r="Q624" s="8645"/>
      <c r="R624" s="2672"/>
      <c r="S624" s="2673"/>
      <c r="T624" s="2672"/>
      <c r="U624" s="2672"/>
      <c r="V624" s="2672"/>
      <c r="W624" s="2672"/>
      <c r="X624" s="2672"/>
      <c r="Y624" s="2672"/>
      <c r="Z624" s="1321"/>
      <c r="AA624" s="1322"/>
      <c r="AB624" s="1387" t="s">
        <v>1107</v>
      </c>
      <c r="AC624" s="1326"/>
      <c r="AD624" s="1326"/>
      <c r="AE624" s="1328"/>
      <c r="AF624" s="2665"/>
      <c r="AG624" s="2666"/>
      <c r="AH624" s="2666"/>
      <c r="AI624" s="8647"/>
      <c r="AJ624" s="2666"/>
      <c r="AK624" s="2666"/>
      <c r="AL624" s="2131"/>
      <c r="AM624" s="1968"/>
      <c r="AN624" s="1968"/>
      <c r="AO624" s="1968"/>
      <c r="AP624" s="1968"/>
      <c r="AQ624" s="1968"/>
      <c r="AR624" s="1968"/>
      <c r="AS624" s="1968"/>
      <c r="AT624" s="1968"/>
      <c r="AU624" s="1968"/>
      <c r="AV624" s="1968"/>
      <c r="AW624" s="1968"/>
      <c r="AX624" s="1968"/>
      <c r="AY624" s="1968"/>
      <c r="AZ624" s="1968"/>
      <c r="BA624" s="1968"/>
      <c r="BB624" s="1968"/>
      <c r="BC624" s="1968"/>
      <c r="BD624" s="1968"/>
      <c r="BE624" s="1968"/>
      <c r="BF624" s="1968"/>
      <c r="BG624" s="7235"/>
    </row>
    <row customHeight="1" ht="11.25">
      <c r="A625" s="1312" t="s">
        <v>1069</v>
      </c>
      <c r="B625" s="1312"/>
      <c r="C625" s="1312"/>
      <c r="D625" s="1306"/>
      <c r="E625" s="1316"/>
      <c r="F625" s="1974"/>
      <c r="G625" s="1975"/>
      <c r="H625" s="2674" t="s">
        <v>1234</v>
      </c>
      <c r="I625" s="2675"/>
      <c r="J625" s="8650"/>
      <c r="K625" s="2676"/>
      <c r="L625" s="2266"/>
      <c r="M625" s="2267"/>
      <c r="N625" s="1321"/>
      <c r="O625" s="1322"/>
      <c r="P625" s="1314" t="s">
        <v>1108</v>
      </c>
      <c r="Q625" s="1322"/>
      <c r="R625" s="1322"/>
      <c r="S625" s="1322"/>
      <c r="T625" s="1322"/>
      <c r="U625" s="1322"/>
      <c r="V625" s="1322"/>
      <c r="W625" s="1322"/>
      <c r="X625" s="1322"/>
      <c r="Y625" s="1322"/>
      <c r="Z625" s="1322"/>
      <c r="AA625" s="1322"/>
      <c r="AB625" s="1322"/>
      <c r="AC625" s="1322"/>
      <c r="AD625" s="1322"/>
      <c r="AE625" s="1329"/>
      <c r="AF625" s="2665"/>
      <c r="AG625" s="2666"/>
      <c r="AH625" s="2666"/>
      <c r="AI625" s="8647"/>
      <c r="AJ625" s="2666"/>
      <c r="AK625" s="2666"/>
      <c r="AL625" s="2131"/>
      <c r="AM625" s="1968"/>
      <c r="AN625" s="1968"/>
      <c r="AO625" s="1968"/>
      <c r="AP625" s="1968"/>
      <c r="AQ625" s="1968"/>
      <c r="AR625" s="1968"/>
      <c r="AS625" s="1968"/>
      <c r="AT625" s="1968"/>
      <c r="AU625" s="1968"/>
      <c r="AV625" s="1968"/>
      <c r="AW625" s="1968"/>
      <c r="AX625" s="1968"/>
      <c r="AY625" s="1968"/>
      <c r="AZ625" s="1968"/>
      <c r="BA625" s="1968"/>
      <c r="BB625" s="1968"/>
      <c r="BC625" s="1968"/>
      <c r="BD625" s="1968"/>
      <c r="BE625" s="1968"/>
      <c r="BF625" s="1968"/>
      <c r="BG625" s="7235"/>
    </row>
    <row customHeight="1" ht="11.25">
      <c r="A626" s="1312" t="s">
        <v>1069</v>
      </c>
      <c r="B626" s="1312" t="s">
        <v>22</v>
      </c>
      <c r="C626" s="1312"/>
      <c r="D626" s="1306"/>
      <c r="E626" s="1316"/>
      <c r="F626" s="1974"/>
      <c r="G626" s="7143" t="s">
        <v>106</v>
      </c>
      <c r="H626" s="2674" t="s">
        <v>1241</v>
      </c>
      <c r="I626" s="2675" t="s">
        <v>1109</v>
      </c>
      <c r="J626" s="8650" t="s">
        <v>22</v>
      </c>
      <c r="K626" s="2676" t="s">
        <v>1309</v>
      </c>
      <c r="L626" s="2266" t="s">
        <v>19</v>
      </c>
      <c r="M626" s="2267"/>
      <c r="N626" s="2129"/>
      <c r="O626" s="1323" t="s">
        <v>398</v>
      </c>
      <c r="P626" s="1324"/>
      <c r="Q626" s="1324"/>
      <c r="R626" s="1324"/>
      <c r="S626" s="1324"/>
      <c r="T626" s="1324"/>
      <c r="U626" s="1324"/>
      <c r="V626" s="1324"/>
      <c r="W626" s="1324"/>
      <c r="X626" s="1324"/>
      <c r="Y626" s="1324"/>
      <c r="Z626" s="1324"/>
      <c r="AA626" s="1324"/>
      <c r="AB626" s="1324"/>
      <c r="AC626" s="1324"/>
      <c r="AD626" s="1324"/>
      <c r="AE626" s="1324"/>
      <c r="AF626" s="2665">
        <v>2025</v>
      </c>
      <c r="AG626" s="2666" t="s">
        <v>1103</v>
      </c>
      <c r="AH626" s="2666" t="s">
        <v>1159</v>
      </c>
      <c r="AI626" s="8647"/>
      <c r="AJ626" s="2666" t="s">
        <v>1105</v>
      </c>
      <c r="AK626" s="2666" t="s">
        <v>1105</v>
      </c>
      <c r="AL626" s="2131"/>
      <c r="AM626" s="1968"/>
      <c r="AN626" s="1968"/>
      <c r="AO626" s="1968"/>
      <c r="AP626" s="1968"/>
      <c r="AQ626" s="1968"/>
      <c r="AR626" s="1968"/>
      <c r="AS626" s="1968"/>
      <c r="AT626" s="1968"/>
      <c r="AU626" s="1968"/>
      <c r="AV626" s="1968"/>
      <c r="AW626" s="1968"/>
      <c r="AX626" s="1968"/>
      <c r="AY626" s="1968"/>
      <c r="AZ626" s="1968"/>
      <c r="BA626" s="1968"/>
      <c r="BB626" s="1968"/>
      <c r="BC626" s="1968"/>
      <c r="BD626" s="1968"/>
      <c r="BE626" s="1968"/>
      <c r="BF626" s="1968"/>
      <c r="BG626" s="7235"/>
    </row>
    <row customHeight="1" ht="11.25">
      <c r="A627" s="1312" t="s">
        <v>1069</v>
      </c>
      <c r="B627" s="1312"/>
      <c r="C627" s="1312"/>
      <c r="D627" s="1306"/>
      <c r="E627" s="1316"/>
      <c r="F627" s="1974"/>
      <c r="G627" s="1975"/>
      <c r="H627" s="2674" t="s">
        <v>1236</v>
      </c>
      <c r="I627" s="2675"/>
      <c r="J627" s="8650"/>
      <c r="K627" s="2676"/>
      <c r="L627" s="2266"/>
      <c r="M627" s="2267"/>
      <c r="N627" s="2667"/>
      <c r="O627" s="2668">
        <v>1</v>
      </c>
      <c r="P627" s="2669" t="s">
        <v>63</v>
      </c>
      <c r="Q627" s="8664" t="s">
        <v>1208</v>
      </c>
      <c r="R627" s="8665" t="s">
        <v>1114</v>
      </c>
      <c r="S627" s="8665" t="s">
        <v>113</v>
      </c>
      <c r="T627" s="8665" t="s">
        <v>113</v>
      </c>
      <c r="U627" s="8665" t="s">
        <v>114</v>
      </c>
      <c r="V627" s="8665" t="s">
        <v>1115</v>
      </c>
      <c r="W627" s="8665" t="s">
        <v>1116</v>
      </c>
      <c r="X627" s="8665" t="s">
        <v>1209</v>
      </c>
      <c r="Y627" s="8665" t="s">
        <v>121</v>
      </c>
      <c r="Z627" s="1321"/>
      <c r="AA627" s="1322"/>
      <c r="AB627" s="1322"/>
      <c r="AC627" s="1326"/>
      <c r="AD627" s="1326"/>
      <c r="AE627" s="1327"/>
      <c r="AF627" s="2665"/>
      <c r="AG627" s="2666"/>
      <c r="AH627" s="2666"/>
      <c r="AI627" s="8647"/>
      <c r="AJ627" s="2666"/>
      <c r="AK627" s="2666"/>
      <c r="AL627" s="2131"/>
      <c r="AM627" s="1968"/>
      <c r="AN627" s="1968"/>
      <c r="AO627" s="1968"/>
      <c r="AP627" s="1968"/>
      <c r="AQ627" s="1968"/>
      <c r="AR627" s="1968"/>
      <c r="AS627" s="1968"/>
      <c r="AT627" s="1968"/>
      <c r="AU627" s="1968"/>
      <c r="AV627" s="1968"/>
      <c r="AW627" s="1968"/>
      <c r="AX627" s="1968"/>
      <c r="AY627" s="1968"/>
      <c r="AZ627" s="1968"/>
      <c r="BA627" s="1968"/>
      <c r="BB627" s="1968"/>
      <c r="BC627" s="1968"/>
      <c r="BD627" s="1968"/>
      <c r="BE627" s="1968"/>
      <c r="BF627" s="1968"/>
      <c r="BG627" s="7235"/>
    </row>
    <row customHeight="1" ht="11.25">
      <c r="A628" s="1312" t="s">
        <v>1069</v>
      </c>
      <c r="B628" s="1312"/>
      <c r="C628" s="1312"/>
      <c r="D628" s="1306"/>
      <c r="E628" s="1316"/>
      <c r="F628" s="1974"/>
      <c r="G628" s="1975"/>
      <c r="H628" s="2674" t="s">
        <v>1236</v>
      </c>
      <c r="I628" s="2675"/>
      <c r="J628" s="8650"/>
      <c r="K628" s="2676"/>
      <c r="L628" s="2266"/>
      <c r="M628" s="2267"/>
      <c r="N628" s="2667"/>
      <c r="O628" s="2668"/>
      <c r="P628" s="2670"/>
      <c r="Q628" s="8664"/>
      <c r="R628" s="2672"/>
      <c r="S628" s="2673"/>
      <c r="T628" s="2672"/>
      <c r="U628" s="2672"/>
      <c r="V628" s="2672"/>
      <c r="W628" s="2672"/>
      <c r="X628" s="2672"/>
      <c r="Y628" s="2672"/>
      <c r="Z628" s="1973"/>
      <c r="AA628" s="1939">
        <v>1</v>
      </c>
      <c r="AB628" s="1325" t="s">
        <v>1131</v>
      </c>
      <c r="AC628" s="1315">
        <v>0</v>
      </c>
      <c r="AD628" s="1325" t="str">
        <f>AB628</f>
        <v>      Прочие амортизационные отчисления</v>
      </c>
      <c r="AE628" s="1315">
        <v>6</v>
      </c>
      <c r="AF628" s="2665"/>
      <c r="AG628" s="2666"/>
      <c r="AH628" s="2666"/>
      <c r="AI628" s="8647"/>
      <c r="AJ628" s="2666"/>
      <c r="AK628" s="2666"/>
      <c r="AL628" s="2131"/>
      <c r="AM628" s="1968"/>
      <c r="AN628" s="1968"/>
      <c r="AO628" s="1968"/>
      <c r="AP628" s="1968"/>
      <c r="AQ628" s="1968"/>
      <c r="AR628" s="1968"/>
      <c r="AS628" s="1968"/>
      <c r="AT628" s="1968"/>
      <c r="AU628" s="1968"/>
      <c r="AV628" s="1968"/>
      <c r="AW628" s="1968"/>
      <c r="AX628" s="1968"/>
      <c r="AY628" s="1968"/>
      <c r="AZ628" s="1968"/>
      <c r="BA628" s="1968"/>
      <c r="BB628" s="1968"/>
      <c r="BC628" s="1968"/>
      <c r="BD628" s="1968"/>
      <c r="BE628" s="1968"/>
      <c r="BF628" s="1968"/>
      <c r="BG628" s="7235"/>
    </row>
    <row customHeight="1" ht="11.25">
      <c r="A629" s="1312" t="s">
        <v>1069</v>
      </c>
      <c r="B629" s="1312"/>
      <c r="C629" s="1312"/>
      <c r="D629" s="1306"/>
      <c r="E629" s="1316"/>
      <c r="F629" s="1974"/>
      <c r="G629" s="1975"/>
      <c r="H629" s="2674" t="s">
        <v>1236</v>
      </c>
      <c r="I629" s="2675"/>
      <c r="J629" s="8650"/>
      <c r="K629" s="2676"/>
      <c r="L629" s="2266"/>
      <c r="M629" s="2267"/>
      <c r="N629" s="2667"/>
      <c r="O629" s="2668"/>
      <c r="P629" s="2671"/>
      <c r="Q629" s="8664"/>
      <c r="R629" s="2672"/>
      <c r="S629" s="2673"/>
      <c r="T629" s="2672"/>
      <c r="U629" s="2672"/>
      <c r="V629" s="2672"/>
      <c r="W629" s="2672"/>
      <c r="X629" s="2672"/>
      <c r="Y629" s="2672"/>
      <c r="Z629" s="1321"/>
      <c r="AA629" s="1322"/>
      <c r="AB629" s="1387" t="s">
        <v>1107</v>
      </c>
      <c r="AC629" s="1326"/>
      <c r="AD629" s="1326"/>
      <c r="AE629" s="1328"/>
      <c r="AF629" s="2665"/>
      <c r="AG629" s="2666"/>
      <c r="AH629" s="2666"/>
      <c r="AI629" s="8647"/>
      <c r="AJ629" s="2666"/>
      <c r="AK629" s="2666"/>
      <c r="AL629" s="2131"/>
      <c r="AM629" s="1968"/>
      <c r="AN629" s="1968"/>
      <c r="AO629" s="1968"/>
      <c r="AP629" s="1968"/>
      <c r="AQ629" s="1968"/>
      <c r="AR629" s="1968"/>
      <c r="AS629" s="1968"/>
      <c r="AT629" s="1968"/>
      <c r="AU629" s="1968"/>
      <c r="AV629" s="1968"/>
      <c r="AW629" s="1968"/>
      <c r="AX629" s="1968"/>
      <c r="AY629" s="1968"/>
      <c r="AZ629" s="1968"/>
      <c r="BA629" s="1968"/>
      <c r="BB629" s="1968"/>
      <c r="BC629" s="1968"/>
      <c r="BD629" s="1968"/>
      <c r="BE629" s="1968"/>
      <c r="BF629" s="1968"/>
      <c r="BG629" s="7235"/>
    </row>
    <row customHeight="1" ht="14.25">
      <c r="A630" s="1312" t="s">
        <v>1069</v>
      </c>
      <c r="B630" s="1312"/>
      <c r="C630" s="1312"/>
      <c r="D630" s="1306"/>
      <c r="E630" s="1316"/>
      <c r="F630" s="1974"/>
      <c r="G630" s="1975"/>
      <c r="H630" s="2674" t="s">
        <v>1236</v>
      </c>
      <c r="I630" s="2675"/>
      <c r="J630" s="8650"/>
      <c r="K630" s="2676"/>
      <c r="L630" s="2266"/>
      <c r="M630" s="2267"/>
      <c r="N630" s="1321"/>
      <c r="O630" s="1322"/>
      <c r="P630" s="1314" t="s">
        <v>1108</v>
      </c>
      <c r="Q630" s="1322"/>
      <c r="R630" s="1322"/>
      <c r="S630" s="1322"/>
      <c r="T630" s="1322"/>
      <c r="U630" s="1322"/>
      <c r="V630" s="1322"/>
      <c r="W630" s="1322"/>
      <c r="X630" s="1322"/>
      <c r="Y630" s="1322"/>
      <c r="Z630" s="1322"/>
      <c r="AA630" s="1322"/>
      <c r="AB630" s="1322"/>
      <c r="AC630" s="1322"/>
      <c r="AD630" s="1322"/>
      <c r="AE630" s="1329"/>
      <c r="AF630" s="2665"/>
      <c r="AG630" s="2666"/>
      <c r="AH630" s="2666"/>
      <c r="AI630" s="8647"/>
      <c r="AJ630" s="2666"/>
      <c r="AK630" s="2666"/>
      <c r="AL630" s="2131"/>
      <c r="AM630" s="1968"/>
      <c r="AN630" s="1968"/>
      <c r="AO630" s="1968"/>
      <c r="AP630" s="1968"/>
      <c r="AQ630" s="1968"/>
      <c r="AR630" s="1968"/>
      <c r="AS630" s="1968"/>
      <c r="AT630" s="1968"/>
      <c r="AU630" s="1968"/>
      <c r="AV630" s="1968"/>
      <c r="AW630" s="1968"/>
      <c r="AX630" s="1968"/>
      <c r="AY630" s="1968"/>
      <c r="AZ630" s="1968"/>
      <c r="BA630" s="1968"/>
      <c r="BB630" s="1968"/>
      <c r="BC630" s="1968"/>
      <c r="BD630" s="1968"/>
      <c r="BE630" s="1968"/>
      <c r="BF630" s="1968"/>
      <c r="BG630" s="7235"/>
    </row>
    <row customHeight="1" ht="11.25">
      <c r="A631" s="1312" t="s">
        <v>1069</v>
      </c>
      <c r="B631" s="1312" t="s">
        <v>22</v>
      </c>
      <c r="C631" s="1312"/>
      <c r="D631" s="1306"/>
      <c r="E631" s="1316"/>
      <c r="F631" s="1974"/>
      <c r="G631" s="7143" t="s">
        <v>106</v>
      </c>
      <c r="H631" s="2674" t="s">
        <v>1243</v>
      </c>
      <c r="I631" s="2675" t="s">
        <v>1268</v>
      </c>
      <c r="J631" s="8675" t="s">
        <v>22</v>
      </c>
      <c r="K631" s="2676" t="s">
        <v>1310</v>
      </c>
      <c r="L631" s="2266" t="s">
        <v>19</v>
      </c>
      <c r="M631" s="2267"/>
      <c r="N631" s="2129"/>
      <c r="O631" s="1323" t="s">
        <v>398</v>
      </c>
      <c r="P631" s="1324"/>
      <c r="Q631" s="1324"/>
      <c r="R631" s="1324"/>
      <c r="S631" s="1324"/>
      <c r="T631" s="1324"/>
      <c r="U631" s="1324"/>
      <c r="V631" s="1324"/>
      <c r="W631" s="1324"/>
      <c r="X631" s="1324"/>
      <c r="Y631" s="1324"/>
      <c r="Z631" s="1324"/>
      <c r="AA631" s="1324"/>
      <c r="AB631" s="1324"/>
      <c r="AC631" s="1324"/>
      <c r="AD631" s="1324"/>
      <c r="AE631" s="1324"/>
      <c r="AF631" s="2665">
        <v>2026</v>
      </c>
      <c r="AG631" s="2666" t="s">
        <v>1103</v>
      </c>
      <c r="AH631" s="2666" t="s">
        <v>1162</v>
      </c>
      <c r="AI631" s="8678"/>
      <c r="AJ631" s="2666" t="s">
        <v>1105</v>
      </c>
      <c r="AK631" s="2666" t="s">
        <v>1105</v>
      </c>
      <c r="AL631" s="2131"/>
      <c r="AM631" s="1968"/>
      <c r="AN631" s="1968"/>
      <c r="AO631" s="1968"/>
      <c r="AP631" s="1968"/>
      <c r="AQ631" s="1968"/>
      <c r="AR631" s="1968"/>
      <c r="AS631" s="1968"/>
      <c r="AT631" s="1968"/>
      <c r="AU631" s="1968"/>
      <c r="AV631" s="1968"/>
      <c r="AW631" s="1968"/>
      <c r="AX631" s="1968"/>
      <c r="AY631" s="1968"/>
      <c r="AZ631" s="1968"/>
      <c r="BA631" s="1968"/>
      <c r="BB631" s="1968"/>
      <c r="BC631" s="1968"/>
      <c r="BD631" s="1968"/>
      <c r="BE631" s="1968"/>
      <c r="BF631" s="1968"/>
      <c r="BG631" s="7235"/>
    </row>
    <row customHeight="1" ht="11.25">
      <c r="A632" s="1312" t="s">
        <v>1069</v>
      </c>
      <c r="B632" s="1312"/>
      <c r="C632" s="1312"/>
      <c r="D632" s="1306"/>
      <c r="E632" s="1316"/>
      <c r="F632" s="1974"/>
      <c r="G632" s="1975"/>
      <c r="H632" s="2674" t="s">
        <v>1241</v>
      </c>
      <c r="I632" s="2675"/>
      <c r="J632" s="8675"/>
      <c r="K632" s="2676"/>
      <c r="L632" s="2266"/>
      <c r="M632" s="2267"/>
      <c r="N632" s="2667"/>
      <c r="O632" s="2668">
        <v>1</v>
      </c>
      <c r="P632" s="2669" t="s">
        <v>63</v>
      </c>
      <c r="Q632" s="8679" t="s">
        <v>1208</v>
      </c>
      <c r="R632" s="8680" t="s">
        <v>1114</v>
      </c>
      <c r="S632" s="8680" t="s">
        <v>113</v>
      </c>
      <c r="T632" s="8680" t="s">
        <v>113</v>
      </c>
      <c r="U632" s="8680" t="s">
        <v>114</v>
      </c>
      <c r="V632" s="8680" t="s">
        <v>1115</v>
      </c>
      <c r="W632" s="8680" t="s">
        <v>1116</v>
      </c>
      <c r="X632" s="8680" t="s">
        <v>1209</v>
      </c>
      <c r="Y632" s="8680" t="s">
        <v>121</v>
      </c>
      <c r="Z632" s="1321"/>
      <c r="AA632" s="1322"/>
      <c r="AB632" s="1322"/>
      <c r="AC632" s="1326"/>
      <c r="AD632" s="1326"/>
      <c r="AE632" s="1327"/>
      <c r="AF632" s="2665"/>
      <c r="AG632" s="2666"/>
      <c r="AH632" s="2666"/>
      <c r="AI632" s="8678"/>
      <c r="AJ632" s="2666"/>
      <c r="AK632" s="2666"/>
      <c r="AL632" s="2131"/>
      <c r="AM632" s="1968"/>
      <c r="AN632" s="1968"/>
      <c r="AO632" s="1968"/>
      <c r="AP632" s="1968"/>
      <c r="AQ632" s="1968"/>
      <c r="AR632" s="1968"/>
      <c r="AS632" s="1968"/>
      <c r="AT632" s="1968"/>
      <c r="AU632" s="1968"/>
      <c r="AV632" s="1968"/>
      <c r="AW632" s="1968"/>
      <c r="AX632" s="1968"/>
      <c r="AY632" s="1968"/>
      <c r="AZ632" s="1968"/>
      <c r="BA632" s="1968"/>
      <c r="BB632" s="1968"/>
      <c r="BC632" s="1968"/>
      <c r="BD632" s="1968"/>
      <c r="BE632" s="1968"/>
      <c r="BF632" s="1968"/>
      <c r="BG632" s="7235"/>
    </row>
    <row customHeight="1" ht="11.25">
      <c r="A633" s="1312" t="s">
        <v>1069</v>
      </c>
      <c r="B633" s="1312"/>
      <c r="C633" s="1312"/>
      <c r="D633" s="1306"/>
      <c r="E633" s="1316"/>
      <c r="F633" s="1974"/>
      <c r="G633" s="1975"/>
      <c r="H633" s="2674" t="s">
        <v>1241</v>
      </c>
      <c r="I633" s="2675"/>
      <c r="J633" s="8675"/>
      <c r="K633" s="2676"/>
      <c r="L633" s="2266"/>
      <c r="M633" s="2267"/>
      <c r="N633" s="2667"/>
      <c r="O633" s="2668"/>
      <c r="P633" s="2670"/>
      <c r="Q633" s="8679"/>
      <c r="R633" s="2672"/>
      <c r="S633" s="2673"/>
      <c r="T633" s="2672"/>
      <c r="U633" s="2672"/>
      <c r="V633" s="2672"/>
      <c r="W633" s="2672"/>
      <c r="X633" s="2672"/>
      <c r="Y633" s="2672"/>
      <c r="Z633" s="1973"/>
      <c r="AA633" s="1939">
        <v>1</v>
      </c>
      <c r="AB633" s="1325" t="s">
        <v>1131</v>
      </c>
      <c r="AC633" s="1315">
        <v>0</v>
      </c>
      <c r="AD633" s="1325" t="str">
        <f>AB633</f>
        <v>      Прочие амортизационные отчисления</v>
      </c>
      <c r="AE633" s="1315">
        <v>872</v>
      </c>
      <c r="AF633" s="2665"/>
      <c r="AG633" s="2666"/>
      <c r="AH633" s="2666"/>
      <c r="AI633" s="8678"/>
      <c r="AJ633" s="2666"/>
      <c r="AK633" s="2666"/>
      <c r="AL633" s="2131"/>
      <c r="AM633" s="1968"/>
      <c r="AN633" s="1968"/>
      <c r="AO633" s="1968"/>
      <c r="AP633" s="1968"/>
      <c r="AQ633" s="1968"/>
      <c r="AR633" s="1968"/>
      <c r="AS633" s="1968"/>
      <c r="AT633" s="1968"/>
      <c r="AU633" s="1968"/>
      <c r="AV633" s="1968"/>
      <c r="AW633" s="1968"/>
      <c r="AX633" s="1968"/>
      <c r="AY633" s="1968"/>
      <c r="AZ633" s="1968"/>
      <c r="BA633" s="1968"/>
      <c r="BB633" s="1968"/>
      <c r="BC633" s="1968"/>
      <c r="BD633" s="1968"/>
      <c r="BE633" s="1968"/>
      <c r="BF633" s="1968"/>
      <c r="BG633" s="7235"/>
    </row>
    <row customHeight="1" ht="11.25">
      <c r="A634" s="1312" t="s">
        <v>1069</v>
      </c>
      <c r="B634" s="1312"/>
      <c r="C634" s="1312"/>
      <c r="D634" s="1306"/>
      <c r="E634" s="1316"/>
      <c r="F634" s="1974"/>
      <c r="G634" s="1975"/>
      <c r="H634" s="2674" t="s">
        <v>1241</v>
      </c>
      <c r="I634" s="2675"/>
      <c r="J634" s="8675"/>
      <c r="K634" s="2676"/>
      <c r="L634" s="2266"/>
      <c r="M634" s="2267"/>
      <c r="N634" s="2667"/>
      <c r="O634" s="2668"/>
      <c r="P634" s="2671"/>
      <c r="Q634" s="8679"/>
      <c r="R634" s="2672"/>
      <c r="S634" s="2673"/>
      <c r="T634" s="2672"/>
      <c r="U634" s="2672"/>
      <c r="V634" s="2672"/>
      <c r="W634" s="2672"/>
      <c r="X634" s="2672"/>
      <c r="Y634" s="2672"/>
      <c r="Z634" s="1321"/>
      <c r="AA634" s="1322"/>
      <c r="AB634" s="1387" t="s">
        <v>1107</v>
      </c>
      <c r="AC634" s="1326"/>
      <c r="AD634" s="1326"/>
      <c r="AE634" s="1328"/>
      <c r="AF634" s="2665"/>
      <c r="AG634" s="2666"/>
      <c r="AH634" s="2666"/>
      <c r="AI634" s="8678"/>
      <c r="AJ634" s="2666"/>
      <c r="AK634" s="2666"/>
      <c r="AL634" s="2131"/>
      <c r="AM634" s="1968"/>
      <c r="AN634" s="1968"/>
      <c r="AO634" s="1968"/>
      <c r="AP634" s="1968"/>
      <c r="AQ634" s="1968"/>
      <c r="AR634" s="1968"/>
      <c r="AS634" s="1968"/>
      <c r="AT634" s="1968"/>
      <c r="AU634" s="1968"/>
      <c r="AV634" s="1968"/>
      <c r="AW634" s="1968"/>
      <c r="AX634" s="1968"/>
      <c r="AY634" s="1968"/>
      <c r="AZ634" s="1968"/>
      <c r="BA634" s="1968"/>
      <c r="BB634" s="1968"/>
      <c r="BC634" s="1968"/>
      <c r="BD634" s="1968"/>
      <c r="BE634" s="1968"/>
      <c r="BF634" s="1968"/>
      <c r="BG634" s="7235"/>
    </row>
    <row customHeight="1" ht="11.25">
      <c r="A635" s="1312" t="s">
        <v>1069</v>
      </c>
      <c r="B635" s="1312"/>
      <c r="C635" s="1312"/>
      <c r="D635" s="1306"/>
      <c r="E635" s="1316"/>
      <c r="F635" s="1974"/>
      <c r="G635" s="1975"/>
      <c r="H635" s="2674" t="s">
        <v>1241</v>
      </c>
      <c r="I635" s="2675"/>
      <c r="J635" s="8675"/>
      <c r="K635" s="2676"/>
      <c r="L635" s="2266"/>
      <c r="M635" s="2267"/>
      <c r="N635" s="1321"/>
      <c r="O635" s="1322"/>
      <c r="P635" s="1314" t="s">
        <v>1108</v>
      </c>
      <c r="Q635" s="1322"/>
      <c r="R635" s="1322"/>
      <c r="S635" s="1322"/>
      <c r="T635" s="1322"/>
      <c r="U635" s="1322"/>
      <c r="V635" s="1322"/>
      <c r="W635" s="1322"/>
      <c r="X635" s="1322"/>
      <c r="Y635" s="1322"/>
      <c r="Z635" s="1322"/>
      <c r="AA635" s="1322"/>
      <c r="AB635" s="1322"/>
      <c r="AC635" s="1322"/>
      <c r="AD635" s="1322"/>
      <c r="AE635" s="1329"/>
      <c r="AF635" s="2665"/>
      <c r="AG635" s="2666"/>
      <c r="AH635" s="2666"/>
      <c r="AI635" s="8678"/>
      <c r="AJ635" s="2666"/>
      <c r="AK635" s="2666"/>
      <c r="AL635" s="2131"/>
      <c r="AM635" s="1968"/>
      <c r="AN635" s="1968"/>
      <c r="AO635" s="1968"/>
      <c r="AP635" s="1968"/>
      <c r="AQ635" s="1968"/>
      <c r="AR635" s="1968"/>
      <c r="AS635" s="1968"/>
      <c r="AT635" s="1968"/>
      <c r="AU635" s="1968"/>
      <c r="AV635" s="1968"/>
      <c r="AW635" s="1968"/>
      <c r="AX635" s="1968"/>
      <c r="AY635" s="1968"/>
      <c r="AZ635" s="1968"/>
      <c r="BA635" s="1968"/>
      <c r="BB635" s="1968"/>
      <c r="BC635" s="1968"/>
      <c r="BD635" s="1968"/>
      <c r="BE635" s="1968"/>
      <c r="BF635" s="1968"/>
      <c r="BG635" s="7235"/>
    </row>
    <row customHeight="1" ht="11.25">
      <c r="A636" s="1312" t="s">
        <v>1069</v>
      </c>
      <c r="B636" s="1312" t="s">
        <v>22</v>
      </c>
      <c r="C636" s="1312"/>
      <c r="D636" s="1306"/>
      <c r="E636" s="1316"/>
      <c r="F636" s="1974"/>
      <c r="G636" s="7143" t="s">
        <v>106</v>
      </c>
      <c r="H636" s="2674" t="s">
        <v>1245</v>
      </c>
      <c r="I636" s="2675" t="s">
        <v>1268</v>
      </c>
      <c r="J636" s="8675" t="s">
        <v>22</v>
      </c>
      <c r="K636" s="2676" t="s">
        <v>1311</v>
      </c>
      <c r="L636" s="2266" t="s">
        <v>19</v>
      </c>
      <c r="M636" s="2267"/>
      <c r="N636" s="2129"/>
      <c r="O636" s="1323" t="s">
        <v>398</v>
      </c>
      <c r="P636" s="1324"/>
      <c r="Q636" s="1324"/>
      <c r="R636" s="1324"/>
      <c r="S636" s="1324"/>
      <c r="T636" s="1324"/>
      <c r="U636" s="1324"/>
      <c r="V636" s="1324"/>
      <c r="W636" s="1324"/>
      <c r="X636" s="1324"/>
      <c r="Y636" s="1324"/>
      <c r="Z636" s="1324"/>
      <c r="AA636" s="1324"/>
      <c r="AB636" s="1324"/>
      <c r="AC636" s="1324"/>
      <c r="AD636" s="1324"/>
      <c r="AE636" s="1324"/>
      <c r="AF636" s="2665">
        <v>2025</v>
      </c>
      <c r="AG636" s="2666" t="s">
        <v>1103</v>
      </c>
      <c r="AH636" s="2666" t="s">
        <v>1159</v>
      </c>
      <c r="AI636" s="2665">
        <v>2025</v>
      </c>
      <c r="AJ636" s="2666" t="s">
        <v>1103</v>
      </c>
      <c r="AK636" s="2666" t="s">
        <v>1159</v>
      </c>
      <c r="AL636" s="2131"/>
      <c r="AM636" s="1968"/>
      <c r="AN636" s="1968"/>
      <c r="AO636" s="1968"/>
      <c r="AP636" s="1968"/>
      <c r="AQ636" s="1968"/>
      <c r="AR636" s="1968"/>
      <c r="AS636" s="1968"/>
      <c r="AT636" s="1968"/>
      <c r="AU636" s="1968"/>
      <c r="AV636" s="1968"/>
      <c r="AW636" s="1968"/>
      <c r="AX636" s="1968"/>
      <c r="AY636" s="1968"/>
      <c r="AZ636" s="1968"/>
      <c r="BA636" s="1968"/>
      <c r="BB636" s="1968"/>
      <c r="BC636" s="1968"/>
      <c r="BD636" s="1968"/>
      <c r="BE636" s="1968"/>
      <c r="BF636" s="1968"/>
      <c r="BG636" s="7235"/>
    </row>
    <row customHeight="1" ht="11.25">
      <c r="A637" s="1312" t="s">
        <v>1069</v>
      </c>
      <c r="B637" s="1312"/>
      <c r="C637" s="1312"/>
      <c r="D637" s="1306"/>
      <c r="E637" s="1316"/>
      <c r="F637" s="1974"/>
      <c r="G637" s="1975"/>
      <c r="H637" s="2674" t="s">
        <v>1243</v>
      </c>
      <c r="I637" s="2675"/>
      <c r="J637" s="8675"/>
      <c r="K637" s="2676"/>
      <c r="L637" s="2266"/>
      <c r="M637" s="2267"/>
      <c r="N637" s="2667"/>
      <c r="O637" s="2668">
        <v>1</v>
      </c>
      <c r="P637" s="2669" t="s">
        <v>63</v>
      </c>
      <c r="Q637" s="8679" t="s">
        <v>1274</v>
      </c>
      <c r="R637" s="8680" t="s">
        <v>1114</v>
      </c>
      <c r="S637" s="8680" t="s">
        <v>113</v>
      </c>
      <c r="T637" s="8680" t="s">
        <v>113</v>
      </c>
      <c r="U637" s="8680" t="s">
        <v>114</v>
      </c>
      <c r="V637" s="8680" t="s">
        <v>1115</v>
      </c>
      <c r="W637" s="8680" t="s">
        <v>1116</v>
      </c>
      <c r="X637" s="8680" t="s">
        <v>1275</v>
      </c>
      <c r="Y637" s="8680" t="s">
        <v>121</v>
      </c>
      <c r="Z637" s="1321"/>
      <c r="AA637" s="1322"/>
      <c r="AB637" s="1322"/>
      <c r="AC637" s="1326"/>
      <c r="AD637" s="1326"/>
      <c r="AE637" s="1327"/>
      <c r="AF637" s="2665"/>
      <c r="AG637" s="2666"/>
      <c r="AH637" s="2666"/>
      <c r="AI637" s="2665"/>
      <c r="AJ637" s="2666"/>
      <c r="AK637" s="2666"/>
      <c r="AL637" s="2131"/>
      <c r="AM637" s="1968"/>
      <c r="AN637" s="1968"/>
      <c r="AO637" s="1968"/>
      <c r="AP637" s="1968"/>
      <c r="AQ637" s="1968"/>
      <c r="AR637" s="1968"/>
      <c r="AS637" s="1968"/>
      <c r="AT637" s="1968"/>
      <c r="AU637" s="1968"/>
      <c r="AV637" s="1968"/>
      <c r="AW637" s="1968"/>
      <c r="AX637" s="1968"/>
      <c r="AY637" s="1968"/>
      <c r="AZ637" s="1968"/>
      <c r="BA637" s="1968"/>
      <c r="BB637" s="1968"/>
      <c r="BC637" s="1968"/>
      <c r="BD637" s="1968"/>
      <c r="BE637" s="1968"/>
      <c r="BF637" s="1968"/>
      <c r="BG637" s="7235"/>
    </row>
    <row customHeight="1" ht="11.25">
      <c r="A638" s="1312" t="s">
        <v>1069</v>
      </c>
      <c r="B638" s="1312"/>
      <c r="C638" s="1312"/>
      <c r="D638" s="1306"/>
      <c r="E638" s="1316"/>
      <c r="F638" s="1974"/>
      <c r="G638" s="1975"/>
      <c r="H638" s="2674" t="s">
        <v>1243</v>
      </c>
      <c r="I638" s="2675"/>
      <c r="J638" s="8675"/>
      <c r="K638" s="2676"/>
      <c r="L638" s="2266"/>
      <c r="M638" s="2267"/>
      <c r="N638" s="2667"/>
      <c r="O638" s="2668"/>
      <c r="P638" s="2670"/>
      <c r="Q638" s="8679"/>
      <c r="R638" s="2672"/>
      <c r="S638" s="2673"/>
      <c r="T638" s="2672"/>
      <c r="U638" s="2672"/>
      <c r="V638" s="2672"/>
      <c r="W638" s="2672"/>
      <c r="X638" s="2672"/>
      <c r="Y638" s="2672"/>
      <c r="Z638" s="1973"/>
      <c r="AA638" s="1939">
        <v>1</v>
      </c>
      <c r="AB638" s="1325" t="s">
        <v>1131</v>
      </c>
      <c r="AC638" s="1315">
        <v>1769</v>
      </c>
      <c r="AD638" s="1325" t="str">
        <f>AB638</f>
        <v>      Прочие амортизационные отчисления</v>
      </c>
      <c r="AE638" s="1315">
        <v>576</v>
      </c>
      <c r="AF638" s="2665"/>
      <c r="AG638" s="2666"/>
      <c r="AH638" s="2666"/>
      <c r="AI638" s="2665"/>
      <c r="AJ638" s="2666"/>
      <c r="AK638" s="2666"/>
      <c r="AL638" s="2131"/>
      <c r="AM638" s="1968"/>
      <c r="AN638" s="1968"/>
      <c r="AO638" s="1968"/>
      <c r="AP638" s="1968"/>
      <c r="AQ638" s="1968"/>
      <c r="AR638" s="1968"/>
      <c r="AS638" s="1968"/>
      <c r="AT638" s="1968"/>
      <c r="AU638" s="1968"/>
      <c r="AV638" s="1968"/>
      <c r="AW638" s="1968"/>
      <c r="AX638" s="1968"/>
      <c r="AY638" s="1968"/>
      <c r="AZ638" s="1968"/>
      <c r="BA638" s="1968"/>
      <c r="BB638" s="1968"/>
      <c r="BC638" s="1968"/>
      <c r="BD638" s="1968"/>
      <c r="BE638" s="1968"/>
      <c r="BF638" s="1968"/>
      <c r="BG638" s="7235"/>
    </row>
    <row customHeight="1" ht="11.25">
      <c r="A639" s="1312" t="s">
        <v>1069</v>
      </c>
      <c r="B639" s="1312"/>
      <c r="C639" s="1312"/>
      <c r="D639" s="1306"/>
      <c r="E639" s="1316"/>
      <c r="F639" s="1974"/>
      <c r="G639" s="1975"/>
      <c r="H639" s="2674" t="s">
        <v>1243</v>
      </c>
      <c r="I639" s="2675"/>
      <c r="J639" s="8675"/>
      <c r="K639" s="2676"/>
      <c r="L639" s="2266"/>
      <c r="M639" s="2267"/>
      <c r="N639" s="2667"/>
      <c r="O639" s="2668"/>
      <c r="P639" s="2671"/>
      <c r="Q639" s="8679"/>
      <c r="R639" s="2672"/>
      <c r="S639" s="2673"/>
      <c r="T639" s="2672"/>
      <c r="U639" s="2672"/>
      <c r="V639" s="2672"/>
      <c r="W639" s="2672"/>
      <c r="X639" s="2672"/>
      <c r="Y639" s="2672"/>
      <c r="Z639" s="1321"/>
      <c r="AA639" s="1322"/>
      <c r="AB639" s="1387" t="s">
        <v>1107</v>
      </c>
      <c r="AC639" s="1326"/>
      <c r="AD639" s="1326"/>
      <c r="AE639" s="1328"/>
      <c r="AF639" s="2665"/>
      <c r="AG639" s="2666"/>
      <c r="AH639" s="2666"/>
      <c r="AI639" s="2665"/>
      <c r="AJ639" s="2666"/>
      <c r="AK639" s="2666"/>
      <c r="AL639" s="2131"/>
      <c r="AM639" s="1968"/>
      <c r="AN639" s="1968"/>
      <c r="AO639" s="1968"/>
      <c r="AP639" s="1968"/>
      <c r="AQ639" s="1968"/>
      <c r="AR639" s="1968"/>
      <c r="AS639" s="1968"/>
      <c r="AT639" s="1968"/>
      <c r="AU639" s="1968"/>
      <c r="AV639" s="1968"/>
      <c r="AW639" s="1968"/>
      <c r="AX639" s="1968"/>
      <c r="AY639" s="1968"/>
      <c r="AZ639" s="1968"/>
      <c r="BA639" s="1968"/>
      <c r="BB639" s="1968"/>
      <c r="BC639" s="1968"/>
      <c r="BD639" s="1968"/>
      <c r="BE639" s="1968"/>
      <c r="BF639" s="1968"/>
      <c r="BG639" s="7235"/>
    </row>
    <row customHeight="1" ht="11.25">
      <c r="A640" s="1312" t="s">
        <v>1069</v>
      </c>
      <c r="B640" s="1312"/>
      <c r="C640" s="1312"/>
      <c r="D640" s="1306"/>
      <c r="E640" s="1316"/>
      <c r="F640" s="1974"/>
      <c r="G640" s="1975"/>
      <c r="H640" s="2674" t="s">
        <v>1243</v>
      </c>
      <c r="I640" s="2675"/>
      <c r="J640" s="8675"/>
      <c r="K640" s="2676"/>
      <c r="L640" s="2266"/>
      <c r="M640" s="2267"/>
      <c r="N640" s="1321"/>
      <c r="O640" s="1322"/>
      <c r="P640" s="1314" t="s">
        <v>1108</v>
      </c>
      <c r="Q640" s="1322"/>
      <c r="R640" s="1322"/>
      <c r="S640" s="1322"/>
      <c r="T640" s="1322"/>
      <c r="U640" s="1322"/>
      <c r="V640" s="1322"/>
      <c r="W640" s="1322"/>
      <c r="X640" s="1322"/>
      <c r="Y640" s="1322"/>
      <c r="Z640" s="1322"/>
      <c r="AA640" s="1322"/>
      <c r="AB640" s="1322"/>
      <c r="AC640" s="1322"/>
      <c r="AD640" s="1322"/>
      <c r="AE640" s="1329"/>
      <c r="AF640" s="2665"/>
      <c r="AG640" s="2666"/>
      <c r="AH640" s="2666"/>
      <c r="AI640" s="2665"/>
      <c r="AJ640" s="2666"/>
      <c r="AK640" s="2666"/>
      <c r="AL640" s="2131"/>
      <c r="AM640" s="1968"/>
      <c r="AN640" s="1968"/>
      <c r="AO640" s="1968"/>
      <c r="AP640" s="1968"/>
      <c r="AQ640" s="1968"/>
      <c r="AR640" s="1968"/>
      <c r="AS640" s="1968"/>
      <c r="AT640" s="1968"/>
      <c r="AU640" s="1968"/>
      <c r="AV640" s="1968"/>
      <c r="AW640" s="1968"/>
      <c r="AX640" s="1968"/>
      <c r="AY640" s="1968"/>
      <c r="AZ640" s="1968"/>
      <c r="BA640" s="1968"/>
      <c r="BB640" s="1968"/>
      <c r="BC640" s="1968"/>
      <c r="BD640" s="1968"/>
      <c r="BE640" s="1968"/>
      <c r="BF640" s="1968"/>
      <c r="BG640" s="7235"/>
    </row>
    <row customHeight="1" ht="11.25">
      <c r="A641" s="1312" t="s">
        <v>1069</v>
      </c>
      <c r="B641" s="1312" t="s">
        <v>22</v>
      </c>
      <c r="C641" s="1312"/>
      <c r="D641" s="1306"/>
      <c r="E641" s="1316"/>
      <c r="F641" s="1974"/>
      <c r="G641" s="7143" t="s">
        <v>106</v>
      </c>
      <c r="H641" s="2674" t="s">
        <v>1247</v>
      </c>
      <c r="I641" s="2675" t="s">
        <v>1268</v>
      </c>
      <c r="J641" s="8675" t="s">
        <v>22</v>
      </c>
      <c r="K641" s="2676" t="s">
        <v>1312</v>
      </c>
      <c r="L641" s="2266" t="s">
        <v>19</v>
      </c>
      <c r="M641" s="2267"/>
      <c r="N641" s="2129"/>
      <c r="O641" s="1323" t="s">
        <v>398</v>
      </c>
      <c r="P641" s="1324"/>
      <c r="Q641" s="1324"/>
      <c r="R641" s="1324"/>
      <c r="S641" s="1324"/>
      <c r="T641" s="1324"/>
      <c r="U641" s="1324"/>
      <c r="V641" s="1324"/>
      <c r="W641" s="1324"/>
      <c r="X641" s="1324"/>
      <c r="Y641" s="1324"/>
      <c r="Z641" s="1324"/>
      <c r="AA641" s="1324"/>
      <c r="AB641" s="1324"/>
      <c r="AC641" s="1324"/>
      <c r="AD641" s="1324"/>
      <c r="AE641" s="1324"/>
      <c r="AF641" s="2665">
        <v>2026</v>
      </c>
      <c r="AG641" s="2666" t="s">
        <v>1103</v>
      </c>
      <c r="AH641" s="2666" t="s">
        <v>1162</v>
      </c>
      <c r="AI641" s="8678"/>
      <c r="AJ641" s="2666" t="s">
        <v>1105</v>
      </c>
      <c r="AK641" s="2666" t="s">
        <v>1105</v>
      </c>
      <c r="AL641" s="2131"/>
      <c r="AM641" s="1968"/>
      <c r="AN641" s="1968"/>
      <c r="AO641" s="1968"/>
      <c r="AP641" s="1968"/>
      <c r="AQ641" s="1968"/>
      <c r="AR641" s="1968"/>
      <c r="AS641" s="1968"/>
      <c r="AT641" s="1968"/>
      <c r="AU641" s="1968"/>
      <c r="AV641" s="1968"/>
      <c r="AW641" s="1968"/>
      <c r="AX641" s="1968"/>
      <c r="AY641" s="1968"/>
      <c r="AZ641" s="1968"/>
      <c r="BA641" s="1968"/>
      <c r="BB641" s="1968"/>
      <c r="BC641" s="1968"/>
      <c r="BD641" s="1968"/>
      <c r="BE641" s="1968"/>
      <c r="BF641" s="1968"/>
      <c r="BG641" s="7235"/>
    </row>
    <row customHeight="1" ht="11.25">
      <c r="A642" s="1312" t="s">
        <v>1069</v>
      </c>
      <c r="B642" s="1312"/>
      <c r="C642" s="1312"/>
      <c r="D642" s="1306"/>
      <c r="E642" s="1316"/>
      <c r="F642" s="1974"/>
      <c r="G642" s="1975"/>
      <c r="H642" s="2674" t="s">
        <v>1245</v>
      </c>
      <c r="I642" s="2675"/>
      <c r="J642" s="8675"/>
      <c r="K642" s="2676"/>
      <c r="L642" s="2266"/>
      <c r="M642" s="2267"/>
      <c r="N642" s="2667"/>
      <c r="O642" s="2668">
        <v>1</v>
      </c>
      <c r="P642" s="2669" t="s">
        <v>63</v>
      </c>
      <c r="Q642" s="8679" t="s">
        <v>133</v>
      </c>
      <c r="R642" s="8680" t="s">
        <v>1114</v>
      </c>
      <c r="S642" s="8680" t="s">
        <v>109</v>
      </c>
      <c r="T642" s="8680" t="s">
        <v>109</v>
      </c>
      <c r="U642" s="8680" t="s">
        <v>110</v>
      </c>
      <c r="V642" s="8680" t="s">
        <v>1192</v>
      </c>
      <c r="W642" s="8680" t="s">
        <v>1193</v>
      </c>
      <c r="X642" s="8680" t="s">
        <v>1194</v>
      </c>
      <c r="Y642" s="8680" t="s">
        <v>1195</v>
      </c>
      <c r="Z642" s="1321"/>
      <c r="AA642" s="1322"/>
      <c r="AB642" s="1322"/>
      <c r="AC642" s="1326"/>
      <c r="AD642" s="1326"/>
      <c r="AE642" s="1327"/>
      <c r="AF642" s="2665"/>
      <c r="AG642" s="2666"/>
      <c r="AH642" s="2666"/>
      <c r="AI642" s="8678"/>
      <c r="AJ642" s="2666"/>
      <c r="AK642" s="2666"/>
      <c r="AL642" s="2131"/>
      <c r="AM642" s="1968"/>
      <c r="AN642" s="1968"/>
      <c r="AO642" s="1968"/>
      <c r="AP642" s="1968"/>
      <c r="AQ642" s="1968"/>
      <c r="AR642" s="1968"/>
      <c r="AS642" s="1968"/>
      <c r="AT642" s="1968"/>
      <c r="AU642" s="1968"/>
      <c r="AV642" s="1968"/>
      <c r="AW642" s="1968"/>
      <c r="AX642" s="1968"/>
      <c r="AY642" s="1968"/>
      <c r="AZ642" s="1968"/>
      <c r="BA642" s="1968"/>
      <c r="BB642" s="1968"/>
      <c r="BC642" s="1968"/>
      <c r="BD642" s="1968"/>
      <c r="BE642" s="1968"/>
      <c r="BF642" s="1968"/>
      <c r="BG642" s="7235"/>
    </row>
    <row customHeight="1" ht="11.25">
      <c r="A643" s="1312" t="s">
        <v>1069</v>
      </c>
      <c r="B643" s="1312"/>
      <c r="C643" s="1312"/>
      <c r="D643" s="1306"/>
      <c r="E643" s="1316"/>
      <c r="F643" s="1974"/>
      <c r="G643" s="1975"/>
      <c r="H643" s="2674" t="s">
        <v>1245</v>
      </c>
      <c r="I643" s="2675"/>
      <c r="J643" s="8675"/>
      <c r="K643" s="2676"/>
      <c r="L643" s="2266"/>
      <c r="M643" s="2267"/>
      <c r="N643" s="2667"/>
      <c r="O643" s="2668"/>
      <c r="P643" s="2670"/>
      <c r="Q643" s="8679"/>
      <c r="R643" s="2672"/>
      <c r="S643" s="2673"/>
      <c r="T643" s="2672"/>
      <c r="U643" s="2672"/>
      <c r="V643" s="2672"/>
      <c r="W643" s="2672"/>
      <c r="X643" s="2672"/>
      <c r="Y643" s="2672"/>
      <c r="Z643" s="1973"/>
      <c r="AA643" s="1939">
        <v>1</v>
      </c>
      <c r="AB643" s="1325" t="s">
        <v>1131</v>
      </c>
      <c r="AC643" s="1315">
        <v>50</v>
      </c>
      <c r="AD643" s="1325" t="str">
        <f>AB643</f>
        <v>      Прочие амортизационные отчисления</v>
      </c>
      <c r="AE643" s="1315">
        <v>559</v>
      </c>
      <c r="AF643" s="2665"/>
      <c r="AG643" s="2666"/>
      <c r="AH643" s="2666"/>
      <c r="AI643" s="8678"/>
      <c r="AJ643" s="2666"/>
      <c r="AK643" s="2666"/>
      <c r="AL643" s="2131"/>
      <c r="AM643" s="1968"/>
      <c r="AN643" s="1968"/>
      <c r="AO643" s="1968"/>
      <c r="AP643" s="1968"/>
      <c r="AQ643" s="1968"/>
      <c r="AR643" s="1968"/>
      <c r="AS643" s="1968"/>
      <c r="AT643" s="1968"/>
      <c r="AU643" s="1968"/>
      <c r="AV643" s="1968"/>
      <c r="AW643" s="1968"/>
      <c r="AX643" s="1968"/>
      <c r="AY643" s="1968"/>
      <c r="AZ643" s="1968"/>
      <c r="BA643" s="1968"/>
      <c r="BB643" s="1968"/>
      <c r="BC643" s="1968"/>
      <c r="BD643" s="1968"/>
      <c r="BE643" s="1968"/>
      <c r="BF643" s="1968"/>
      <c r="BG643" s="7235"/>
    </row>
    <row customHeight="1" ht="11.25">
      <c r="A644" s="1312" t="s">
        <v>1069</v>
      </c>
      <c r="B644" s="1312"/>
      <c r="C644" s="1312"/>
      <c r="D644" s="1306"/>
      <c r="E644" s="1316"/>
      <c r="F644" s="1974"/>
      <c r="G644" s="1975"/>
      <c r="H644" s="2674" t="s">
        <v>1245</v>
      </c>
      <c r="I644" s="2675"/>
      <c r="J644" s="8675"/>
      <c r="K644" s="2676"/>
      <c r="L644" s="2266"/>
      <c r="M644" s="2267"/>
      <c r="N644" s="2667"/>
      <c r="O644" s="2668"/>
      <c r="P644" s="2671"/>
      <c r="Q644" s="8679"/>
      <c r="R644" s="2672"/>
      <c r="S644" s="2673"/>
      <c r="T644" s="2672"/>
      <c r="U644" s="2672"/>
      <c r="V644" s="2672"/>
      <c r="W644" s="2672"/>
      <c r="X644" s="2672"/>
      <c r="Y644" s="2672"/>
      <c r="Z644" s="1321"/>
      <c r="AA644" s="1322"/>
      <c r="AB644" s="1387" t="s">
        <v>1107</v>
      </c>
      <c r="AC644" s="1326"/>
      <c r="AD644" s="1326"/>
      <c r="AE644" s="1328"/>
      <c r="AF644" s="2665"/>
      <c r="AG644" s="2666"/>
      <c r="AH644" s="2666"/>
      <c r="AI644" s="8678"/>
      <c r="AJ644" s="2666"/>
      <c r="AK644" s="2666"/>
      <c r="AL644" s="2131"/>
      <c r="AM644" s="1968"/>
      <c r="AN644" s="1968"/>
      <c r="AO644" s="1968"/>
      <c r="AP644" s="1968"/>
      <c r="AQ644" s="1968"/>
      <c r="AR644" s="1968"/>
      <c r="AS644" s="1968"/>
      <c r="AT644" s="1968"/>
      <c r="AU644" s="1968"/>
      <c r="AV644" s="1968"/>
      <c r="AW644" s="1968"/>
      <c r="AX644" s="1968"/>
      <c r="AY644" s="1968"/>
      <c r="AZ644" s="1968"/>
      <c r="BA644" s="1968"/>
      <c r="BB644" s="1968"/>
      <c r="BC644" s="1968"/>
      <c r="BD644" s="1968"/>
      <c r="BE644" s="1968"/>
      <c r="BF644" s="1968"/>
      <c r="BG644" s="7235"/>
    </row>
    <row customHeight="1" ht="11.25">
      <c r="A645" s="1312" t="s">
        <v>1069</v>
      </c>
      <c r="B645" s="1312"/>
      <c r="C645" s="1312"/>
      <c r="D645" s="1306"/>
      <c r="E645" s="1316"/>
      <c r="F645" s="1974"/>
      <c r="G645" s="1975"/>
      <c r="H645" s="2674" t="s">
        <v>1245</v>
      </c>
      <c r="I645" s="2675"/>
      <c r="J645" s="8675"/>
      <c r="K645" s="2676"/>
      <c r="L645" s="2266"/>
      <c r="M645" s="2267"/>
      <c r="N645" s="1321"/>
      <c r="O645" s="1322"/>
      <c r="P645" s="1314" t="s">
        <v>1108</v>
      </c>
      <c r="Q645" s="1322"/>
      <c r="R645" s="1322"/>
      <c r="S645" s="1322"/>
      <c r="T645" s="1322"/>
      <c r="U645" s="1322"/>
      <c r="V645" s="1322"/>
      <c r="W645" s="1322"/>
      <c r="X645" s="1322"/>
      <c r="Y645" s="1322"/>
      <c r="Z645" s="1322"/>
      <c r="AA645" s="1322"/>
      <c r="AB645" s="1322"/>
      <c r="AC645" s="1322"/>
      <c r="AD645" s="1322"/>
      <c r="AE645" s="1329"/>
      <c r="AF645" s="2665"/>
      <c r="AG645" s="2666"/>
      <c r="AH645" s="2666"/>
      <c r="AI645" s="8678"/>
      <c r="AJ645" s="2666"/>
      <c r="AK645" s="2666"/>
      <c r="AL645" s="2131"/>
      <c r="AM645" s="1968"/>
      <c r="AN645" s="1968"/>
      <c r="AO645" s="1968"/>
      <c r="AP645" s="1968"/>
      <c r="AQ645" s="1968"/>
      <c r="AR645" s="1968"/>
      <c r="AS645" s="1968"/>
      <c r="AT645" s="1968"/>
      <c r="AU645" s="1968"/>
      <c r="AV645" s="1968"/>
      <c r="AW645" s="1968"/>
      <c r="AX645" s="1968"/>
      <c r="AY645" s="1968"/>
      <c r="AZ645" s="1968"/>
      <c r="BA645" s="1968"/>
      <c r="BB645" s="1968"/>
      <c r="BC645" s="1968"/>
      <c r="BD645" s="1968"/>
      <c r="BE645" s="1968"/>
      <c r="BF645" s="1968"/>
      <c r="BG645" s="7235"/>
    </row>
    <row customHeight="1" ht="11.25">
      <c r="A646" s="1312" t="s">
        <v>1069</v>
      </c>
      <c r="B646" s="1312" t="s">
        <v>22</v>
      </c>
      <c r="C646" s="1312"/>
      <c r="D646" s="1306"/>
      <c r="E646" s="1316"/>
      <c r="F646" s="1974"/>
      <c r="G646" s="7143" t="s">
        <v>106</v>
      </c>
      <c r="H646" s="2674" t="s">
        <v>1249</v>
      </c>
      <c r="I646" s="2675" t="s">
        <v>1268</v>
      </c>
      <c r="J646" s="8675" t="s">
        <v>22</v>
      </c>
      <c r="K646" s="2676" t="s">
        <v>1313</v>
      </c>
      <c r="L646" s="2266" t="s">
        <v>19</v>
      </c>
      <c r="M646" s="2267"/>
      <c r="N646" s="2129"/>
      <c r="O646" s="1323" t="s">
        <v>398</v>
      </c>
      <c r="P646" s="1324"/>
      <c r="Q646" s="1324"/>
      <c r="R646" s="1324"/>
      <c r="S646" s="1324"/>
      <c r="T646" s="1324"/>
      <c r="U646" s="1324"/>
      <c r="V646" s="1324"/>
      <c r="W646" s="1324"/>
      <c r="X646" s="1324"/>
      <c r="Y646" s="1324"/>
      <c r="Z646" s="1324"/>
      <c r="AA646" s="1324"/>
      <c r="AB646" s="1324"/>
      <c r="AC646" s="1324"/>
      <c r="AD646" s="1324"/>
      <c r="AE646" s="1324"/>
      <c r="AF646" s="2665">
        <v>2026</v>
      </c>
      <c r="AG646" s="2666" t="s">
        <v>1103</v>
      </c>
      <c r="AH646" s="2666" t="s">
        <v>1162</v>
      </c>
      <c r="AI646" s="8678"/>
      <c r="AJ646" s="2666" t="s">
        <v>1105</v>
      </c>
      <c r="AK646" s="2666" t="s">
        <v>1105</v>
      </c>
      <c r="AL646" s="2131"/>
      <c r="AM646" s="1968"/>
      <c r="AN646" s="1968"/>
      <c r="AO646" s="1968"/>
      <c r="AP646" s="1968"/>
      <c r="AQ646" s="1968"/>
      <c r="AR646" s="1968"/>
      <c r="AS646" s="1968"/>
      <c r="AT646" s="1968"/>
      <c r="AU646" s="1968"/>
      <c r="AV646" s="1968"/>
      <c r="AW646" s="1968"/>
      <c r="AX646" s="1968"/>
      <c r="AY646" s="1968"/>
      <c r="AZ646" s="1968"/>
      <c r="BA646" s="1968"/>
      <c r="BB646" s="1968"/>
      <c r="BC646" s="1968"/>
      <c r="BD646" s="1968"/>
      <c r="BE646" s="1968"/>
      <c r="BF646" s="1968"/>
      <c r="BG646" s="7235"/>
    </row>
    <row customHeight="1" ht="11.25">
      <c r="A647" s="1312" t="s">
        <v>1069</v>
      </c>
      <c r="B647" s="1312"/>
      <c r="C647" s="1312"/>
      <c r="D647" s="1306"/>
      <c r="E647" s="1316"/>
      <c r="F647" s="1974"/>
      <c r="G647" s="1975"/>
      <c r="H647" s="2674" t="s">
        <v>1247</v>
      </c>
      <c r="I647" s="2675"/>
      <c r="J647" s="8675"/>
      <c r="K647" s="2676"/>
      <c r="L647" s="2266"/>
      <c r="M647" s="2267"/>
      <c r="N647" s="2667"/>
      <c r="O647" s="2668">
        <v>1</v>
      </c>
      <c r="P647" s="2669" t="s">
        <v>63</v>
      </c>
      <c r="Q647" s="8679" t="s">
        <v>128</v>
      </c>
      <c r="R647" s="8680" t="s">
        <v>1114</v>
      </c>
      <c r="S647" s="8680" t="s">
        <v>101</v>
      </c>
      <c r="T647" s="8680" t="s">
        <v>102</v>
      </c>
      <c r="U647" s="8680" t="s">
        <v>103</v>
      </c>
      <c r="V647" s="8680" t="s">
        <v>1238</v>
      </c>
      <c r="W647" s="8680" t="s">
        <v>1239</v>
      </c>
      <c r="X647" s="8680" t="s">
        <v>1240</v>
      </c>
      <c r="Y647" s="8680" t="s">
        <v>1190</v>
      </c>
      <c r="Z647" s="1321"/>
      <c r="AA647" s="1322"/>
      <c r="AB647" s="1322"/>
      <c r="AC647" s="1326"/>
      <c r="AD647" s="1326"/>
      <c r="AE647" s="1327"/>
      <c r="AF647" s="2665"/>
      <c r="AG647" s="2666"/>
      <c r="AH647" s="2666"/>
      <c r="AI647" s="8678"/>
      <c r="AJ647" s="2666"/>
      <c r="AK647" s="2666"/>
      <c r="AL647" s="2131"/>
      <c r="AM647" s="1968"/>
      <c r="AN647" s="1968"/>
      <c r="AO647" s="1968"/>
      <c r="AP647" s="1968"/>
      <c r="AQ647" s="1968"/>
      <c r="AR647" s="1968"/>
      <c r="AS647" s="1968"/>
      <c r="AT647" s="1968"/>
      <c r="AU647" s="1968"/>
      <c r="AV647" s="1968"/>
      <c r="AW647" s="1968"/>
      <c r="AX647" s="1968"/>
      <c r="AY647" s="1968"/>
      <c r="AZ647" s="1968"/>
      <c r="BA647" s="1968"/>
      <c r="BB647" s="1968"/>
      <c r="BC647" s="1968"/>
      <c r="BD647" s="1968"/>
      <c r="BE647" s="1968"/>
      <c r="BF647" s="1968"/>
      <c r="BG647" s="7235"/>
    </row>
    <row customHeight="1" ht="11.25">
      <c r="A648" s="1312" t="s">
        <v>1069</v>
      </c>
      <c r="B648" s="1312"/>
      <c r="C648" s="1312"/>
      <c r="D648" s="1306"/>
      <c r="E648" s="1316"/>
      <c r="F648" s="1974"/>
      <c r="G648" s="1975"/>
      <c r="H648" s="2674" t="s">
        <v>1247</v>
      </c>
      <c r="I648" s="2675"/>
      <c r="J648" s="8675"/>
      <c r="K648" s="2676"/>
      <c r="L648" s="2266"/>
      <c r="M648" s="2267"/>
      <c r="N648" s="2667"/>
      <c r="O648" s="2668"/>
      <c r="P648" s="2670"/>
      <c r="Q648" s="8679"/>
      <c r="R648" s="2672"/>
      <c r="S648" s="2673"/>
      <c r="T648" s="2672"/>
      <c r="U648" s="2672"/>
      <c r="V648" s="2672"/>
      <c r="W648" s="2672"/>
      <c r="X648" s="2672"/>
      <c r="Y648" s="2672"/>
      <c r="Z648" s="1973"/>
      <c r="AA648" s="1939">
        <v>1</v>
      </c>
      <c r="AB648" s="1325" t="s">
        <v>1131</v>
      </c>
      <c r="AC648" s="1315">
        <v>34</v>
      </c>
      <c r="AD648" s="1325" t="str">
        <f>AB648</f>
        <v>      Прочие амортизационные отчисления</v>
      </c>
      <c r="AE648" s="1315">
        <v>474</v>
      </c>
      <c r="AF648" s="2665"/>
      <c r="AG648" s="2666"/>
      <c r="AH648" s="2666"/>
      <c r="AI648" s="8678"/>
      <c r="AJ648" s="2666"/>
      <c r="AK648" s="2666"/>
      <c r="AL648" s="2131"/>
      <c r="AM648" s="1968"/>
      <c r="AN648" s="1968"/>
      <c r="AO648" s="1968"/>
      <c r="AP648" s="1968"/>
      <c r="AQ648" s="1968"/>
      <c r="AR648" s="1968"/>
      <c r="AS648" s="1968"/>
      <c r="AT648" s="1968"/>
      <c r="AU648" s="1968"/>
      <c r="AV648" s="1968"/>
      <c r="AW648" s="1968"/>
      <c r="AX648" s="1968"/>
      <c r="AY648" s="1968"/>
      <c r="AZ648" s="1968"/>
      <c r="BA648" s="1968"/>
      <c r="BB648" s="1968"/>
      <c r="BC648" s="1968"/>
      <c r="BD648" s="1968"/>
      <c r="BE648" s="1968"/>
      <c r="BF648" s="1968"/>
      <c r="BG648" s="7235"/>
    </row>
    <row customHeight="1" ht="11.25">
      <c r="A649" s="1312" t="s">
        <v>1069</v>
      </c>
      <c r="B649" s="1312"/>
      <c r="C649" s="1312"/>
      <c r="D649" s="1306"/>
      <c r="E649" s="1316"/>
      <c r="F649" s="1974"/>
      <c r="G649" s="1975"/>
      <c r="H649" s="2674" t="s">
        <v>1247</v>
      </c>
      <c r="I649" s="2675"/>
      <c r="J649" s="8675"/>
      <c r="K649" s="2676"/>
      <c r="L649" s="2266"/>
      <c r="M649" s="2267"/>
      <c r="N649" s="2667"/>
      <c r="O649" s="2668"/>
      <c r="P649" s="2671"/>
      <c r="Q649" s="8679"/>
      <c r="R649" s="2672"/>
      <c r="S649" s="2673"/>
      <c r="T649" s="2672"/>
      <c r="U649" s="2672"/>
      <c r="V649" s="2672"/>
      <c r="W649" s="2672"/>
      <c r="X649" s="2672"/>
      <c r="Y649" s="2672"/>
      <c r="Z649" s="1321"/>
      <c r="AA649" s="1322"/>
      <c r="AB649" s="1387" t="s">
        <v>1107</v>
      </c>
      <c r="AC649" s="1326"/>
      <c r="AD649" s="1326"/>
      <c r="AE649" s="1328"/>
      <c r="AF649" s="2665"/>
      <c r="AG649" s="2666"/>
      <c r="AH649" s="2666"/>
      <c r="AI649" s="8678"/>
      <c r="AJ649" s="2666"/>
      <c r="AK649" s="2666"/>
      <c r="AL649" s="2131"/>
      <c r="AM649" s="1968"/>
      <c r="AN649" s="1968"/>
      <c r="AO649" s="1968"/>
      <c r="AP649" s="1968"/>
      <c r="AQ649" s="1968"/>
      <c r="AR649" s="1968"/>
      <c r="AS649" s="1968"/>
      <c r="AT649" s="1968"/>
      <c r="AU649" s="1968"/>
      <c r="AV649" s="1968"/>
      <c r="AW649" s="1968"/>
      <c r="AX649" s="1968"/>
      <c r="AY649" s="1968"/>
      <c r="AZ649" s="1968"/>
      <c r="BA649" s="1968"/>
      <c r="BB649" s="1968"/>
      <c r="BC649" s="1968"/>
      <c r="BD649" s="1968"/>
      <c r="BE649" s="1968"/>
      <c r="BF649" s="1968"/>
      <c r="BG649" s="7235"/>
    </row>
    <row customHeight="1" ht="11.25">
      <c r="A650" s="1312" t="s">
        <v>1069</v>
      </c>
      <c r="B650" s="1312"/>
      <c r="C650" s="1312"/>
      <c r="D650" s="1306"/>
      <c r="E650" s="1316"/>
      <c r="F650" s="1974"/>
      <c r="G650" s="1975"/>
      <c r="H650" s="2674" t="s">
        <v>1247</v>
      </c>
      <c r="I650" s="2675"/>
      <c r="J650" s="8675"/>
      <c r="K650" s="2676"/>
      <c r="L650" s="2266"/>
      <c r="M650" s="2267"/>
      <c r="N650" s="1321"/>
      <c r="O650" s="1322"/>
      <c r="P650" s="1314" t="s">
        <v>1108</v>
      </c>
      <c r="Q650" s="1322"/>
      <c r="R650" s="1322"/>
      <c r="S650" s="1322"/>
      <c r="T650" s="1322"/>
      <c r="U650" s="1322"/>
      <c r="V650" s="1322"/>
      <c r="W650" s="1322"/>
      <c r="X650" s="1322"/>
      <c r="Y650" s="1322"/>
      <c r="Z650" s="1322"/>
      <c r="AA650" s="1322"/>
      <c r="AB650" s="1322"/>
      <c r="AC650" s="1322"/>
      <c r="AD650" s="1322"/>
      <c r="AE650" s="1329"/>
      <c r="AF650" s="2665"/>
      <c r="AG650" s="2666"/>
      <c r="AH650" s="2666"/>
      <c r="AI650" s="8678"/>
      <c r="AJ650" s="2666"/>
      <c r="AK650" s="2666"/>
      <c r="AL650" s="2131"/>
      <c r="AM650" s="1968"/>
      <c r="AN650" s="1968"/>
      <c r="AO650" s="1968"/>
      <c r="AP650" s="1968"/>
      <c r="AQ650" s="1968"/>
      <c r="AR650" s="1968"/>
      <c r="AS650" s="1968"/>
      <c r="AT650" s="1968"/>
      <c r="AU650" s="1968"/>
      <c r="AV650" s="1968"/>
      <c r="AW650" s="1968"/>
      <c r="AX650" s="1968"/>
      <c r="AY650" s="1968"/>
      <c r="AZ650" s="1968"/>
      <c r="BA650" s="1968"/>
      <c r="BB650" s="1968"/>
      <c r="BC650" s="1968"/>
      <c r="BD650" s="1968"/>
      <c r="BE650" s="1968"/>
      <c r="BF650" s="1968"/>
      <c r="BG650" s="7235"/>
    </row>
    <row customHeight="1" ht="11.25">
      <c r="A651" s="1312" t="s">
        <v>1069</v>
      </c>
      <c r="B651" s="1312" t="s">
        <v>22</v>
      </c>
      <c r="C651" s="1312"/>
      <c r="D651" s="1306"/>
      <c r="E651" s="1316"/>
      <c r="F651" s="1974"/>
      <c r="G651" s="7143" t="s">
        <v>106</v>
      </c>
      <c r="H651" s="2674" t="s">
        <v>1252</v>
      </c>
      <c r="I651" s="2675" t="s">
        <v>1268</v>
      </c>
      <c r="J651" s="8675" t="s">
        <v>22</v>
      </c>
      <c r="K651" s="2676" t="s">
        <v>1314</v>
      </c>
      <c r="L651" s="2266" t="s">
        <v>19</v>
      </c>
      <c r="M651" s="2267"/>
      <c r="N651" s="2129"/>
      <c r="O651" s="1323" t="s">
        <v>398</v>
      </c>
      <c r="P651" s="1324"/>
      <c r="Q651" s="1324"/>
      <c r="R651" s="1324"/>
      <c r="S651" s="1324"/>
      <c r="T651" s="1324"/>
      <c r="U651" s="1324"/>
      <c r="V651" s="1324"/>
      <c r="W651" s="1324"/>
      <c r="X651" s="1324"/>
      <c r="Y651" s="1324"/>
      <c r="Z651" s="1324"/>
      <c r="AA651" s="1324"/>
      <c r="AB651" s="1324"/>
      <c r="AC651" s="1324"/>
      <c r="AD651" s="1324"/>
      <c r="AE651" s="1324"/>
      <c r="AF651" s="2665">
        <v>2025</v>
      </c>
      <c r="AG651" s="2666" t="s">
        <v>1103</v>
      </c>
      <c r="AH651" s="2666" t="s">
        <v>1159</v>
      </c>
      <c r="AI651" s="8678"/>
      <c r="AJ651" s="2666" t="s">
        <v>1105</v>
      </c>
      <c r="AK651" s="2666" t="s">
        <v>1105</v>
      </c>
      <c r="AL651" s="2131"/>
      <c r="AM651" s="1968"/>
      <c r="AN651" s="1968"/>
      <c r="AO651" s="1968"/>
      <c r="AP651" s="1968"/>
      <c r="AQ651" s="1968"/>
      <c r="AR651" s="1968"/>
      <c r="AS651" s="1968"/>
      <c r="AT651" s="1968"/>
      <c r="AU651" s="1968"/>
      <c r="AV651" s="1968"/>
      <c r="AW651" s="1968"/>
      <c r="AX651" s="1968"/>
      <c r="AY651" s="1968"/>
      <c r="AZ651" s="1968"/>
      <c r="BA651" s="1968"/>
      <c r="BB651" s="1968"/>
      <c r="BC651" s="1968"/>
      <c r="BD651" s="1968"/>
      <c r="BE651" s="1968"/>
      <c r="BF651" s="1968"/>
      <c r="BG651" s="7235"/>
    </row>
    <row customHeight="1" ht="11.25">
      <c r="A652" s="1312" t="s">
        <v>1069</v>
      </c>
      <c r="B652" s="1312"/>
      <c r="C652" s="1312"/>
      <c r="D652" s="1306"/>
      <c r="E652" s="1316"/>
      <c r="F652" s="1974"/>
      <c r="G652" s="1975"/>
      <c r="H652" s="2674" t="s">
        <v>1249</v>
      </c>
      <c r="I652" s="2675"/>
      <c r="J652" s="8675"/>
      <c r="K652" s="2676"/>
      <c r="L652" s="2266"/>
      <c r="M652" s="2267"/>
      <c r="N652" s="2667"/>
      <c r="O652" s="2668">
        <v>1</v>
      </c>
      <c r="P652" s="2669" t="s">
        <v>63</v>
      </c>
      <c r="Q652" s="8679" t="s">
        <v>1165</v>
      </c>
      <c r="R652" s="8680" t="s">
        <v>1114</v>
      </c>
      <c r="S652" s="8680" t="s">
        <v>113</v>
      </c>
      <c r="T652" s="8680" t="s">
        <v>113</v>
      </c>
      <c r="U652" s="8680" t="s">
        <v>114</v>
      </c>
      <c r="V652" s="8680" t="s">
        <v>1115</v>
      </c>
      <c r="W652" s="8680" t="s">
        <v>1116</v>
      </c>
      <c r="X652" s="8680" t="s">
        <v>1166</v>
      </c>
      <c r="Y652" s="8680" t="s">
        <v>1167</v>
      </c>
      <c r="Z652" s="1321"/>
      <c r="AA652" s="1322"/>
      <c r="AB652" s="1322"/>
      <c r="AC652" s="1326"/>
      <c r="AD652" s="1326"/>
      <c r="AE652" s="1327"/>
      <c r="AF652" s="2665"/>
      <c r="AG652" s="2666"/>
      <c r="AH652" s="2666"/>
      <c r="AI652" s="8678"/>
      <c r="AJ652" s="2666"/>
      <c r="AK652" s="2666"/>
      <c r="AL652" s="2131"/>
      <c r="AM652" s="1968"/>
      <c r="AN652" s="1968"/>
      <c r="AO652" s="1968"/>
      <c r="AP652" s="1968"/>
      <c r="AQ652" s="1968"/>
      <c r="AR652" s="1968"/>
      <c r="AS652" s="1968"/>
      <c r="AT652" s="1968"/>
      <c r="AU652" s="1968"/>
      <c r="AV652" s="1968"/>
      <c r="AW652" s="1968"/>
      <c r="AX652" s="1968"/>
      <c r="AY652" s="1968"/>
      <c r="AZ652" s="1968"/>
      <c r="BA652" s="1968"/>
      <c r="BB652" s="1968"/>
      <c r="BC652" s="1968"/>
      <c r="BD652" s="1968"/>
      <c r="BE652" s="1968"/>
      <c r="BF652" s="1968"/>
      <c r="BG652" s="7235"/>
    </row>
    <row customHeight="1" ht="11.25">
      <c r="A653" s="1312" t="s">
        <v>1069</v>
      </c>
      <c r="B653" s="1312"/>
      <c r="C653" s="1312"/>
      <c r="D653" s="1306"/>
      <c r="E653" s="1316"/>
      <c r="F653" s="1974"/>
      <c r="G653" s="1975"/>
      <c r="H653" s="2674" t="s">
        <v>1249</v>
      </c>
      <c r="I653" s="2675"/>
      <c r="J653" s="8675"/>
      <c r="K653" s="2676"/>
      <c r="L653" s="2266"/>
      <c r="M653" s="2267"/>
      <c r="N653" s="2667"/>
      <c r="O653" s="2668"/>
      <c r="P653" s="2670"/>
      <c r="Q653" s="8679"/>
      <c r="R653" s="2672"/>
      <c r="S653" s="2673"/>
      <c r="T653" s="2672"/>
      <c r="U653" s="2672"/>
      <c r="V653" s="2672"/>
      <c r="W653" s="2672"/>
      <c r="X653" s="2672"/>
      <c r="Y653" s="2672"/>
      <c r="Z653" s="1973"/>
      <c r="AA653" s="1939">
        <v>1</v>
      </c>
      <c r="AB653" s="1325" t="s">
        <v>1131</v>
      </c>
      <c r="AC653" s="1315">
        <v>1070</v>
      </c>
      <c r="AD653" s="1325" t="str">
        <f>AB653</f>
        <v>      Прочие амортизационные отчисления</v>
      </c>
      <c r="AE653" s="1315">
        <v>829</v>
      </c>
      <c r="AF653" s="2665"/>
      <c r="AG653" s="2666"/>
      <c r="AH653" s="2666"/>
      <c r="AI653" s="8678"/>
      <c r="AJ653" s="2666"/>
      <c r="AK653" s="2666"/>
      <c r="AL653" s="2131"/>
      <c r="AM653" s="1968"/>
      <c r="AN653" s="1968"/>
      <c r="AO653" s="1968"/>
      <c r="AP653" s="1968"/>
      <c r="AQ653" s="1968"/>
      <c r="AR653" s="1968"/>
      <c r="AS653" s="1968"/>
      <c r="AT653" s="1968"/>
      <c r="AU653" s="1968"/>
      <c r="AV653" s="1968"/>
      <c r="AW653" s="1968"/>
      <c r="AX653" s="1968"/>
      <c r="AY653" s="1968"/>
      <c r="AZ653" s="1968"/>
      <c r="BA653" s="1968"/>
      <c r="BB653" s="1968"/>
      <c r="BC653" s="1968"/>
      <c r="BD653" s="1968"/>
      <c r="BE653" s="1968"/>
      <c r="BF653" s="1968"/>
      <c r="BG653" s="7235"/>
    </row>
    <row customHeight="1" ht="11.25">
      <c r="A654" s="1312" t="s">
        <v>1069</v>
      </c>
      <c r="B654" s="1312"/>
      <c r="C654" s="1312"/>
      <c r="D654" s="1306"/>
      <c r="E654" s="1316"/>
      <c r="F654" s="1974"/>
      <c r="G654" s="1975"/>
      <c r="H654" s="2674" t="s">
        <v>1249</v>
      </c>
      <c r="I654" s="2675"/>
      <c r="J654" s="8675"/>
      <c r="K654" s="2676"/>
      <c r="L654" s="2266"/>
      <c r="M654" s="2267"/>
      <c r="N654" s="2667"/>
      <c r="O654" s="2668"/>
      <c r="P654" s="2671"/>
      <c r="Q654" s="8679"/>
      <c r="R654" s="2672"/>
      <c r="S654" s="2673"/>
      <c r="T654" s="2672"/>
      <c r="U654" s="2672"/>
      <c r="V654" s="2672"/>
      <c r="W654" s="2672"/>
      <c r="X654" s="2672"/>
      <c r="Y654" s="2672"/>
      <c r="Z654" s="1321"/>
      <c r="AA654" s="1322"/>
      <c r="AB654" s="1387" t="s">
        <v>1107</v>
      </c>
      <c r="AC654" s="1326"/>
      <c r="AD654" s="1326"/>
      <c r="AE654" s="1328"/>
      <c r="AF654" s="2665"/>
      <c r="AG654" s="2666"/>
      <c r="AH654" s="2666"/>
      <c r="AI654" s="8678"/>
      <c r="AJ654" s="2666"/>
      <c r="AK654" s="2666"/>
      <c r="AL654" s="2131"/>
      <c r="AM654" s="1968"/>
      <c r="AN654" s="1968"/>
      <c r="AO654" s="1968"/>
      <c r="AP654" s="1968"/>
      <c r="AQ654" s="1968"/>
      <c r="AR654" s="1968"/>
      <c r="AS654" s="1968"/>
      <c r="AT654" s="1968"/>
      <c r="AU654" s="1968"/>
      <c r="AV654" s="1968"/>
      <c r="AW654" s="1968"/>
      <c r="AX654" s="1968"/>
      <c r="AY654" s="1968"/>
      <c r="AZ654" s="1968"/>
      <c r="BA654" s="1968"/>
      <c r="BB654" s="1968"/>
      <c r="BC654" s="1968"/>
      <c r="BD654" s="1968"/>
      <c r="BE654" s="1968"/>
      <c r="BF654" s="1968"/>
      <c r="BG654" s="7235"/>
    </row>
    <row customHeight="1" ht="11.25">
      <c r="A655" s="1312" t="s">
        <v>1069</v>
      </c>
      <c r="B655" s="1312"/>
      <c r="C655" s="1312"/>
      <c r="D655" s="1306"/>
      <c r="E655" s="1316"/>
      <c r="F655" s="1974"/>
      <c r="G655" s="1975"/>
      <c r="H655" s="2674" t="s">
        <v>1249</v>
      </c>
      <c r="I655" s="2675"/>
      <c r="J655" s="8675"/>
      <c r="K655" s="2676"/>
      <c r="L655" s="2266"/>
      <c r="M655" s="2267"/>
      <c r="N655" s="1321"/>
      <c r="O655" s="1322"/>
      <c r="P655" s="1314" t="s">
        <v>1108</v>
      </c>
      <c r="Q655" s="1322"/>
      <c r="R655" s="1322"/>
      <c r="S655" s="1322"/>
      <c r="T655" s="1322"/>
      <c r="U655" s="1322"/>
      <c r="V655" s="1322"/>
      <c r="W655" s="1322"/>
      <c r="X655" s="1322"/>
      <c r="Y655" s="1322"/>
      <c r="Z655" s="1322"/>
      <c r="AA655" s="1322"/>
      <c r="AB655" s="1322"/>
      <c r="AC655" s="1322"/>
      <c r="AD655" s="1322"/>
      <c r="AE655" s="1329"/>
      <c r="AF655" s="2665"/>
      <c r="AG655" s="2666"/>
      <c r="AH655" s="2666"/>
      <c r="AI655" s="8678"/>
      <c r="AJ655" s="2666"/>
      <c r="AK655" s="2666"/>
      <c r="AL655" s="2131"/>
      <c r="AM655" s="1968"/>
      <c r="AN655" s="1968"/>
      <c r="AO655" s="1968"/>
      <c r="AP655" s="1968"/>
      <c r="AQ655" s="1968"/>
      <c r="AR655" s="1968"/>
      <c r="AS655" s="1968"/>
      <c r="AT655" s="1968"/>
      <c r="AU655" s="1968"/>
      <c r="AV655" s="1968"/>
      <c r="AW655" s="1968"/>
      <c r="AX655" s="1968"/>
      <c r="AY655" s="1968"/>
      <c r="AZ655" s="1968"/>
      <c r="BA655" s="1968"/>
      <c r="BB655" s="1968"/>
      <c r="BC655" s="1968"/>
      <c r="BD655" s="1968"/>
      <c r="BE655" s="1968"/>
      <c r="BF655" s="1968"/>
      <c r="BG655" s="7235"/>
    </row>
    <row customHeight="1" ht="12">
      <c r="A656" s="1312" t="s">
        <v>1069</v>
      </c>
      <c r="B656" s="1312"/>
      <c r="C656" s="1312"/>
      <c r="D656" s="1306"/>
      <c r="E656" s="1316"/>
      <c r="F656" s="2696"/>
      <c r="G656" s="1336"/>
      <c r="H656" s="1336"/>
      <c r="I656" s="2694" t="s">
        <v>1100</v>
      </c>
      <c r="J656" s="2694"/>
      <c r="K656" s="2694"/>
      <c r="L656" s="1319"/>
      <c r="M656" s="1319"/>
      <c r="N656" s="1320"/>
      <c r="O656" s="1320"/>
      <c r="P656" s="1320"/>
      <c r="Q656" s="1320"/>
      <c r="R656" s="1320"/>
      <c r="S656" s="1320"/>
      <c r="T656" s="1320"/>
      <c r="U656" s="1320"/>
      <c r="V656" s="1320"/>
      <c r="W656" s="1320"/>
      <c r="X656" s="1320"/>
      <c r="Y656" s="1320"/>
      <c r="Z656" s="1320"/>
      <c r="AA656" s="1320"/>
      <c r="AB656" s="1320"/>
      <c r="AC656" s="1320"/>
      <c r="AD656" s="1320"/>
      <c r="AE656" s="1320"/>
      <c r="AF656" s="1320"/>
      <c r="AG656" s="1319"/>
      <c r="AH656" s="1319"/>
      <c r="AI656" s="1320"/>
      <c r="AJ656" s="1319"/>
      <c r="AK656" s="1320"/>
      <c r="AL656" s="2131"/>
      <c r="AM656" s="1968"/>
      <c r="AN656" s="1968"/>
      <c r="AO656" s="1968"/>
      <c r="AP656" s="1968"/>
      <c r="AQ656" s="1968"/>
      <c r="AR656" s="1968"/>
      <c r="AS656" s="1968"/>
      <c r="AT656" s="1968"/>
      <c r="AU656" s="1968"/>
      <c r="AV656" s="1968"/>
      <c r="AW656" s="1968"/>
      <c r="AX656" s="1968"/>
      <c r="AY656" s="1968"/>
      <c r="AZ656" s="1968"/>
      <c r="BA656" s="1968"/>
      <c r="BB656" s="1968"/>
      <c r="BC656" s="1968"/>
      <c r="BD656" s="1968"/>
      <c r="BE656" s="1968"/>
      <c r="BF656" s="1968"/>
      <c r="BG656" s="7235"/>
    </row>
    <row customHeight="1" ht="0.75">
      <c r="A657" s="1312" t="s">
        <v>1069</v>
      </c>
      <c r="B657" s="1312"/>
      <c r="C657" s="1312"/>
      <c r="D657" s="1306"/>
      <c r="E657" s="1316"/>
      <c r="F657" s="2695">
        <v>2026</v>
      </c>
      <c r="G657" s="2674"/>
      <c r="H657" s="2699" t="s">
        <v>398</v>
      </c>
      <c r="I657" s="2700"/>
      <c r="J657" s="2701"/>
      <c r="K657" s="2701"/>
      <c r="L657" s="2693"/>
      <c r="M657" s="2427"/>
      <c r="N657" s="2179"/>
      <c r="O657" s="2178"/>
      <c r="P657" s="2179"/>
      <c r="Q657" s="2179"/>
      <c r="R657" s="2179"/>
      <c r="S657" s="2179"/>
      <c r="T657" s="2179"/>
      <c r="U657" s="2179"/>
      <c r="V657" s="2179"/>
      <c r="W657" s="2179"/>
      <c r="X657" s="2179"/>
      <c r="Y657" s="2179"/>
      <c r="Z657" s="2179"/>
      <c r="AA657" s="2179"/>
      <c r="AB657" s="2179"/>
      <c r="AC657" s="2179"/>
      <c r="AD657" s="2179"/>
      <c r="AE657" s="2179"/>
      <c r="AF657" s="2697"/>
      <c r="AG657" s="2693"/>
      <c r="AH657" s="2693"/>
      <c r="AI657" s="2697"/>
      <c r="AJ657" s="2693"/>
      <c r="AK657" s="2693"/>
      <c r="AL657" s="2131"/>
      <c r="AM657" s="1968"/>
      <c r="AN657" s="1968"/>
      <c r="AO657" s="1968"/>
      <c r="AP657" s="1968"/>
      <c r="AQ657" s="1968"/>
      <c r="AR657" s="1968"/>
      <c r="AS657" s="1968"/>
      <c r="AT657" s="1968"/>
      <c r="AU657" s="1968"/>
      <c r="AV657" s="1968"/>
      <c r="AW657" s="1968"/>
      <c r="AX657" s="1968"/>
      <c r="AY657" s="1968"/>
      <c r="AZ657" s="1968"/>
      <c r="BA657" s="1968"/>
      <c r="BB657" s="1968"/>
      <c r="BC657" s="1968"/>
      <c r="BD657" s="1968"/>
      <c r="BE657" s="1968"/>
      <c r="BF657" s="1968"/>
      <c r="BG657" s="7235"/>
    </row>
    <row customHeight="1" ht="0.75">
      <c r="A658" s="1312" t="s">
        <v>1069</v>
      </c>
      <c r="B658" s="1312"/>
      <c r="C658" s="1312"/>
      <c r="D658" s="1306"/>
      <c r="E658" s="1316"/>
      <c r="F658" s="2695"/>
      <c r="G658" s="2674"/>
      <c r="H658" s="2699"/>
      <c r="I658" s="2700"/>
      <c r="J658" s="2701"/>
      <c r="K658" s="2701"/>
      <c r="L658" s="2693"/>
      <c r="M658" s="2427"/>
      <c r="N658" s="2702"/>
      <c r="O658" s="2703"/>
      <c r="P658" s="2747"/>
      <c r="Q658" s="2698"/>
      <c r="R658" s="2698"/>
      <c r="S658" s="2698"/>
      <c r="T658" s="2698"/>
      <c r="U658" s="2698"/>
      <c r="V658" s="2698"/>
      <c r="W658" s="2698"/>
      <c r="X658" s="2698"/>
      <c r="Y658" s="2698"/>
      <c r="Z658" s="2180"/>
      <c r="AA658" s="2181"/>
      <c r="AB658" s="2181"/>
      <c r="AC658" s="2182"/>
      <c r="AD658" s="2182"/>
      <c r="AE658" s="2183"/>
      <c r="AF658" s="2697"/>
      <c r="AG658" s="2693"/>
      <c r="AH658" s="2693"/>
      <c r="AI658" s="2697"/>
      <c r="AJ658" s="2693"/>
      <c r="AK658" s="2693"/>
      <c r="AL658" s="2131"/>
      <c r="AM658" s="1968"/>
      <c r="AN658" s="1968"/>
      <c r="AO658" s="1968"/>
      <c r="AP658" s="1968"/>
      <c r="AQ658" s="1968"/>
      <c r="AR658" s="1968"/>
      <c r="AS658" s="1968"/>
      <c r="AT658" s="1968"/>
      <c r="AU658" s="1968"/>
      <c r="AV658" s="1968"/>
      <c r="AW658" s="1968"/>
      <c r="AX658" s="1968"/>
      <c r="AY658" s="1968"/>
      <c r="AZ658" s="1968"/>
      <c r="BA658" s="1968"/>
      <c r="BB658" s="1968"/>
      <c r="BC658" s="1968"/>
      <c r="BD658" s="1968"/>
      <c r="BE658" s="1968"/>
      <c r="BF658" s="1968"/>
      <c r="BG658" s="7235"/>
    </row>
    <row customHeight="1" ht="0.75">
      <c r="A659" s="1312" t="s">
        <v>1069</v>
      </c>
      <c r="B659" s="1312"/>
      <c r="C659" s="1312"/>
      <c r="D659" s="1306"/>
      <c r="E659" s="1316"/>
      <c r="F659" s="2695"/>
      <c r="G659" s="2674"/>
      <c r="H659" s="2699"/>
      <c r="I659" s="2700"/>
      <c r="J659" s="2701"/>
      <c r="K659" s="2701"/>
      <c r="L659" s="2693"/>
      <c r="M659" s="2427"/>
      <c r="N659" s="2702"/>
      <c r="O659" s="2703"/>
      <c r="P659" s="2748"/>
      <c r="Q659" s="2698"/>
      <c r="R659" s="2698"/>
      <c r="S659" s="2698"/>
      <c r="T659" s="2698"/>
      <c r="U659" s="2698"/>
      <c r="V659" s="2698"/>
      <c r="W659" s="2698"/>
      <c r="X659" s="2698"/>
      <c r="Y659" s="2698"/>
      <c r="Z659" s="2184"/>
      <c r="AA659" s="2185"/>
      <c r="AB659" s="2186"/>
      <c r="AC659" s="2187"/>
      <c r="AD659" s="2186"/>
      <c r="AE659" s="2187"/>
      <c r="AF659" s="2697"/>
      <c r="AG659" s="2693"/>
      <c r="AH659" s="2693"/>
      <c r="AI659" s="2697"/>
      <c r="AJ659" s="2693"/>
      <c r="AK659" s="2693"/>
      <c r="AL659" s="2131"/>
      <c r="AM659" s="1968"/>
      <c r="AN659" s="1968"/>
      <c r="AO659" s="1968"/>
      <c r="AP659" s="1968"/>
      <c r="AQ659" s="1968"/>
      <c r="AR659" s="1968"/>
      <c r="AS659" s="1968"/>
      <c r="AT659" s="1968"/>
      <c r="AU659" s="1968"/>
      <c r="AV659" s="1968"/>
      <c r="AW659" s="1968"/>
      <c r="AX659" s="1968"/>
      <c r="AY659" s="1968"/>
      <c r="AZ659" s="1968"/>
      <c r="BA659" s="1968"/>
      <c r="BB659" s="1968"/>
      <c r="BC659" s="1968"/>
      <c r="BD659" s="1968"/>
      <c r="BE659" s="1968"/>
      <c r="BF659" s="1968"/>
      <c r="BG659" s="7235"/>
    </row>
    <row customHeight="1" ht="0.75">
      <c r="A660" s="1312" t="s">
        <v>1069</v>
      </c>
      <c r="B660" s="1312"/>
      <c r="C660" s="1312"/>
      <c r="D660" s="1306"/>
      <c r="E660" s="1316"/>
      <c r="F660" s="2695"/>
      <c r="G660" s="2674"/>
      <c r="H660" s="2699"/>
      <c r="I660" s="2700"/>
      <c r="J660" s="2701"/>
      <c r="K660" s="2701"/>
      <c r="L660" s="2693"/>
      <c r="M660" s="2427"/>
      <c r="N660" s="2702"/>
      <c r="O660" s="2703"/>
      <c r="P660" s="2749"/>
      <c r="Q660" s="2698"/>
      <c r="R660" s="2698"/>
      <c r="S660" s="2698"/>
      <c r="T660" s="2698"/>
      <c r="U660" s="2698"/>
      <c r="V660" s="2698"/>
      <c r="W660" s="2698"/>
      <c r="X660" s="2698"/>
      <c r="Y660" s="2698"/>
      <c r="Z660" s="2180"/>
      <c r="AA660" s="2181"/>
      <c r="AB660" s="2188"/>
      <c r="AC660" s="2182"/>
      <c r="AD660" s="2182"/>
      <c r="AE660" s="2189"/>
      <c r="AF660" s="2697"/>
      <c r="AG660" s="2693"/>
      <c r="AH660" s="2693"/>
      <c r="AI660" s="2697"/>
      <c r="AJ660" s="2693"/>
      <c r="AK660" s="2693"/>
      <c r="AL660" s="2131"/>
      <c r="AM660" s="1968"/>
      <c r="AN660" s="1968"/>
      <c r="AO660" s="1968"/>
      <c r="AP660" s="1968"/>
      <c r="AQ660" s="1968"/>
      <c r="AR660" s="1968"/>
      <c r="AS660" s="1968"/>
      <c r="AT660" s="1968"/>
      <c r="AU660" s="1968"/>
      <c r="AV660" s="1968"/>
      <c r="AW660" s="1968"/>
      <c r="AX660" s="1968"/>
      <c r="AY660" s="1968"/>
      <c r="AZ660" s="1968"/>
      <c r="BA660" s="1968"/>
      <c r="BB660" s="1968"/>
      <c r="BC660" s="1968"/>
      <c r="BD660" s="1968"/>
      <c r="BE660" s="1968"/>
      <c r="BF660" s="1968"/>
      <c r="BG660" s="7235"/>
    </row>
    <row customHeight="1" ht="0.75">
      <c r="A661" s="1312" t="s">
        <v>1069</v>
      </c>
      <c r="B661" s="1312"/>
      <c r="C661" s="1312"/>
      <c r="D661" s="1306"/>
      <c r="E661" s="1316"/>
      <c r="F661" s="2695"/>
      <c r="G661" s="2674"/>
      <c r="H661" s="2699"/>
      <c r="I661" s="2700"/>
      <c r="J661" s="2701"/>
      <c r="K661" s="2701"/>
      <c r="L661" s="2693"/>
      <c r="M661" s="2427"/>
      <c r="N661" s="2181"/>
      <c r="O661" s="2181"/>
      <c r="P661" s="2188"/>
      <c r="Q661" s="2181"/>
      <c r="R661" s="2181"/>
      <c r="S661" s="2181"/>
      <c r="T661" s="2181"/>
      <c r="U661" s="2181"/>
      <c r="V661" s="2181"/>
      <c r="W661" s="2181"/>
      <c r="X661" s="2181"/>
      <c r="Y661" s="2181"/>
      <c r="Z661" s="2181"/>
      <c r="AA661" s="2181"/>
      <c r="AB661" s="2181"/>
      <c r="AC661" s="2181"/>
      <c r="AD661" s="2181"/>
      <c r="AE661" s="2190"/>
      <c r="AF661" s="2697"/>
      <c r="AG661" s="2693"/>
      <c r="AH661" s="2693"/>
      <c r="AI661" s="2697"/>
      <c r="AJ661" s="2693"/>
      <c r="AK661" s="2693"/>
      <c r="AL661" s="2131"/>
      <c r="AM661" s="1968"/>
      <c r="AN661" s="1968"/>
      <c r="AO661" s="1968"/>
      <c r="AP661" s="1968"/>
      <c r="AQ661" s="1968"/>
      <c r="AR661" s="1968"/>
      <c r="AS661" s="1968"/>
      <c r="AT661" s="1968"/>
      <c r="AU661" s="1968"/>
      <c r="AV661" s="1968"/>
      <c r="AW661" s="1968"/>
      <c r="AX661" s="1968"/>
      <c r="AY661" s="1968"/>
      <c r="AZ661" s="1968"/>
      <c r="BA661" s="1968"/>
      <c r="BB661" s="1968"/>
      <c r="BC661" s="1968"/>
      <c r="BD661" s="1968"/>
      <c r="BE661" s="1968"/>
      <c r="BF661" s="1968"/>
      <c r="BG661" s="7235"/>
    </row>
    <row customHeight="1" ht="11.25">
      <c r="A662" s="1312" t="s">
        <v>1069</v>
      </c>
      <c r="B662" s="1312" t="s">
        <v>1168</v>
      </c>
      <c r="C662" s="1312"/>
      <c r="D662" s="1306"/>
      <c r="E662" s="1316"/>
      <c r="F662" s="1974"/>
      <c r="G662" s="7143" t="s">
        <v>106</v>
      </c>
      <c r="H662" s="2674" t="s">
        <v>121</v>
      </c>
      <c r="I662" s="2675" t="s">
        <v>1169</v>
      </c>
      <c r="J662" s="2644" t="s">
        <v>1170</v>
      </c>
      <c r="K662" s="2676" t="s">
        <v>1171</v>
      </c>
      <c r="L662" s="2266" t="s">
        <v>19</v>
      </c>
      <c r="M662" s="2267"/>
      <c r="N662" s="2129"/>
      <c r="O662" s="1323" t="s">
        <v>398</v>
      </c>
      <c r="P662" s="1324"/>
      <c r="Q662" s="1324"/>
      <c r="R662" s="1324"/>
      <c r="S662" s="1324"/>
      <c r="T662" s="1324"/>
      <c r="U662" s="1324"/>
      <c r="V662" s="1324"/>
      <c r="W662" s="1324"/>
      <c r="X662" s="1324"/>
      <c r="Y662" s="1324"/>
      <c r="Z662" s="1324"/>
      <c r="AA662" s="1324"/>
      <c r="AB662" s="1324"/>
      <c r="AC662" s="1324"/>
      <c r="AD662" s="1324"/>
      <c r="AE662" s="1324"/>
      <c r="AF662" s="2665">
        <v>2026</v>
      </c>
      <c r="AG662" s="2666" t="s">
        <v>1103</v>
      </c>
      <c r="AH662" s="2666" t="s">
        <v>1162</v>
      </c>
      <c r="AI662" s="8647"/>
      <c r="AJ662" s="2666" t="s">
        <v>1105</v>
      </c>
      <c r="AK662" s="2666" t="s">
        <v>1105</v>
      </c>
      <c r="AL662" s="2131"/>
      <c r="AM662" s="1968"/>
      <c r="AN662" s="1968"/>
      <c r="AO662" s="1968"/>
      <c r="AP662" s="1968"/>
      <c r="AQ662" s="1968"/>
      <c r="AR662" s="1968"/>
      <c r="AS662" s="1968"/>
      <c r="AT662" s="1968"/>
      <c r="AU662" s="1968"/>
      <c r="AV662" s="1968"/>
      <c r="AW662" s="1968"/>
      <c r="AX662" s="1968"/>
      <c r="AY662" s="1968"/>
      <c r="AZ662" s="1968"/>
      <c r="BA662" s="1968"/>
      <c r="BB662" s="1968"/>
      <c r="BC662" s="1968"/>
      <c r="BD662" s="1968"/>
      <c r="BE662" s="1968"/>
      <c r="BF662" s="1968"/>
      <c r="BG662" s="7235"/>
    </row>
    <row customHeight="1" ht="11.25">
      <c r="A663" s="1312" t="s">
        <v>1069</v>
      </c>
      <c r="B663" s="1312"/>
      <c r="C663" s="1312"/>
      <c r="D663" s="1306"/>
      <c r="E663" s="1316"/>
      <c r="F663" s="1974"/>
      <c r="G663" s="1975"/>
      <c r="H663" s="2674" t="s">
        <v>398</v>
      </c>
      <c r="I663" s="2675"/>
      <c r="J663" s="2644"/>
      <c r="K663" s="2676"/>
      <c r="L663" s="2266"/>
      <c r="M663" s="2267"/>
      <c r="N663" s="2667"/>
      <c r="O663" s="2668">
        <v>1</v>
      </c>
      <c r="P663" s="2669" t="s">
        <v>63</v>
      </c>
      <c r="Q663" s="8679" t="s">
        <v>1176</v>
      </c>
      <c r="R663" s="8680" t="s">
        <v>1177</v>
      </c>
      <c r="S663" s="8680" t="s">
        <v>113</v>
      </c>
      <c r="T663" s="8680" t="s">
        <v>113</v>
      </c>
      <c r="U663" s="8680" t="s">
        <v>114</v>
      </c>
      <c r="V663" s="8680" t="s">
        <v>1115</v>
      </c>
      <c r="W663" s="8680" t="s">
        <v>1116</v>
      </c>
      <c r="X663" s="8680" t="s">
        <v>1178</v>
      </c>
      <c r="Y663" s="8680" t="s">
        <v>1178</v>
      </c>
      <c r="Z663" s="1321"/>
      <c r="AA663" s="1322"/>
      <c r="AB663" s="1322"/>
      <c r="AC663" s="1326"/>
      <c r="AD663" s="1326"/>
      <c r="AE663" s="1327"/>
      <c r="AF663" s="2665"/>
      <c r="AG663" s="2666"/>
      <c r="AH663" s="2666"/>
      <c r="AI663" s="8647"/>
      <c r="AJ663" s="2666"/>
      <c r="AK663" s="2666"/>
      <c r="AL663" s="2131"/>
      <c r="AM663" s="1968"/>
      <c r="AN663" s="1968"/>
      <c r="AO663" s="1968"/>
      <c r="AP663" s="1968"/>
      <c r="AQ663" s="1968"/>
      <c r="AR663" s="1968"/>
      <c r="AS663" s="1968"/>
      <c r="AT663" s="1968"/>
      <c r="AU663" s="1968"/>
      <c r="AV663" s="1968"/>
      <c r="AW663" s="1968"/>
      <c r="AX663" s="1968"/>
      <c r="AY663" s="1968"/>
      <c r="AZ663" s="1968"/>
      <c r="BA663" s="1968"/>
      <c r="BB663" s="1968"/>
      <c r="BC663" s="1968"/>
      <c r="BD663" s="1968"/>
      <c r="BE663" s="1968"/>
      <c r="BF663" s="1968"/>
      <c r="BG663" s="7235"/>
    </row>
    <row customHeight="1" ht="11.25">
      <c r="A664" s="1312" t="s">
        <v>1069</v>
      </c>
      <c r="B664" s="1312"/>
      <c r="C664" s="1312"/>
      <c r="D664" s="1306"/>
      <c r="E664" s="1316"/>
      <c r="F664" s="1974"/>
      <c r="G664" s="1975"/>
      <c r="H664" s="2674" t="s">
        <v>398</v>
      </c>
      <c r="I664" s="2675"/>
      <c r="J664" s="2644"/>
      <c r="K664" s="2676"/>
      <c r="L664" s="2266"/>
      <c r="M664" s="2267"/>
      <c r="N664" s="2667"/>
      <c r="O664" s="2668"/>
      <c r="P664" s="2670"/>
      <c r="Q664" s="8679"/>
      <c r="R664" s="2672"/>
      <c r="S664" s="2673"/>
      <c r="T664" s="2672"/>
      <c r="U664" s="2672"/>
      <c r="V664" s="2672"/>
      <c r="W664" s="2672"/>
      <c r="X664" s="2672"/>
      <c r="Y664" s="2672"/>
      <c r="Z664" s="1973"/>
      <c r="AA664" s="1939">
        <v>1</v>
      </c>
      <c r="AB664" s="1325" t="s">
        <v>1172</v>
      </c>
      <c r="AC664" s="1315">
        <v>115994</v>
      </c>
      <c r="AD664" s="1325" t="str">
        <f>AB664</f>
        <v>  За счет платы за технологическое присоединение</v>
      </c>
      <c r="AE664" s="1315">
        <v>0</v>
      </c>
      <c r="AF664" s="2665"/>
      <c r="AG664" s="2666"/>
      <c r="AH664" s="2666"/>
      <c r="AI664" s="8647"/>
      <c r="AJ664" s="2666"/>
      <c r="AK664" s="2666"/>
      <c r="AL664" s="2131"/>
      <c r="AM664" s="1968"/>
      <c r="AN664" s="1968"/>
      <c r="AO664" s="1968"/>
      <c r="AP664" s="1968"/>
      <c r="AQ664" s="1968"/>
      <c r="AR664" s="1968"/>
      <c r="AS664" s="1968"/>
      <c r="AT664" s="1968"/>
      <c r="AU664" s="1968"/>
      <c r="AV664" s="1968"/>
      <c r="AW664" s="1968"/>
      <c r="AX664" s="1968"/>
      <c r="AY664" s="1968"/>
      <c r="AZ664" s="1968"/>
      <c r="BA664" s="1968"/>
      <c r="BB664" s="1968"/>
      <c r="BC664" s="1968"/>
      <c r="BD664" s="1968"/>
      <c r="BE664" s="1968"/>
      <c r="BF664" s="1968"/>
      <c r="BG664" s="7235"/>
    </row>
    <row customHeight="1" ht="11.25">
      <c r="A665" s="1312" t="s">
        <v>1069</v>
      </c>
      <c r="B665" s="1312"/>
      <c r="C665" s="1312"/>
      <c r="D665" s="1306"/>
      <c r="E665" s="1316"/>
      <c r="F665" s="1974"/>
      <c r="G665" s="1975"/>
      <c r="H665" s="2674" t="s">
        <v>398</v>
      </c>
      <c r="I665" s="2675"/>
      <c r="J665" s="2644"/>
      <c r="K665" s="2676"/>
      <c r="L665" s="2266"/>
      <c r="M665" s="2267"/>
      <c r="N665" s="2667"/>
      <c r="O665" s="2668"/>
      <c r="P665" s="2671"/>
      <c r="Q665" s="8679"/>
      <c r="R665" s="2672"/>
      <c r="S665" s="2673"/>
      <c r="T665" s="2672"/>
      <c r="U665" s="2672"/>
      <c r="V665" s="2672"/>
      <c r="W665" s="2672"/>
      <c r="X665" s="2672"/>
      <c r="Y665" s="2672"/>
      <c r="Z665" s="1321"/>
      <c r="AA665" s="1322"/>
      <c r="AB665" s="1387" t="s">
        <v>1107</v>
      </c>
      <c r="AC665" s="1326"/>
      <c r="AD665" s="1326"/>
      <c r="AE665" s="1328"/>
      <c r="AF665" s="2665"/>
      <c r="AG665" s="2666"/>
      <c r="AH665" s="2666"/>
      <c r="AI665" s="8647"/>
      <c r="AJ665" s="2666"/>
      <c r="AK665" s="2666"/>
      <c r="AL665" s="2131"/>
      <c r="AM665" s="1968"/>
      <c r="AN665" s="1968"/>
      <c r="AO665" s="1968"/>
      <c r="AP665" s="1968"/>
      <c r="AQ665" s="1968"/>
      <c r="AR665" s="1968"/>
      <c r="AS665" s="1968"/>
      <c r="AT665" s="1968"/>
      <c r="AU665" s="1968"/>
      <c r="AV665" s="1968"/>
      <c r="AW665" s="1968"/>
      <c r="AX665" s="1968"/>
      <c r="AY665" s="1968"/>
      <c r="AZ665" s="1968"/>
      <c r="BA665" s="1968"/>
      <c r="BB665" s="1968"/>
      <c r="BC665" s="1968"/>
      <c r="BD665" s="1968"/>
      <c r="BE665" s="1968"/>
      <c r="BF665" s="1968"/>
      <c r="BG665" s="7235"/>
    </row>
    <row customHeight="1" ht="11.25">
      <c r="A666" s="1312" t="s">
        <v>1069</v>
      </c>
      <c r="B666" s="1312"/>
      <c r="C666" s="1312"/>
      <c r="D666" s="1306"/>
      <c r="E666" s="1316"/>
      <c r="F666" s="1974"/>
      <c r="G666" s="1975"/>
      <c r="H666" s="2674" t="s">
        <v>398</v>
      </c>
      <c r="I666" s="2675"/>
      <c r="J666" s="2644"/>
      <c r="K666" s="2676"/>
      <c r="L666" s="2266"/>
      <c r="M666" s="2267"/>
      <c r="N666" s="1321"/>
      <c r="O666" s="1322"/>
      <c r="P666" s="1314" t="s">
        <v>1108</v>
      </c>
      <c r="Q666" s="1322"/>
      <c r="R666" s="1322"/>
      <c r="S666" s="1322"/>
      <c r="T666" s="1322"/>
      <c r="U666" s="1322"/>
      <c r="V666" s="1322"/>
      <c r="W666" s="1322"/>
      <c r="X666" s="1322"/>
      <c r="Y666" s="1322"/>
      <c r="Z666" s="1322"/>
      <c r="AA666" s="1322"/>
      <c r="AB666" s="1322"/>
      <c r="AC666" s="1322"/>
      <c r="AD666" s="1322"/>
      <c r="AE666" s="1329"/>
      <c r="AF666" s="2665"/>
      <c r="AG666" s="2666"/>
      <c r="AH666" s="2666"/>
      <c r="AI666" s="8647"/>
      <c r="AJ666" s="2666"/>
      <c r="AK666" s="2666"/>
      <c r="AL666" s="2131"/>
      <c r="AM666" s="1968"/>
      <c r="AN666" s="1968"/>
      <c r="AO666" s="1968"/>
      <c r="AP666" s="1968"/>
      <c r="AQ666" s="1968"/>
      <c r="AR666" s="1968"/>
      <c r="AS666" s="1968"/>
      <c r="AT666" s="1968"/>
      <c r="AU666" s="1968"/>
      <c r="AV666" s="1968"/>
      <c r="AW666" s="1968"/>
      <c r="AX666" s="1968"/>
      <c r="AY666" s="1968"/>
      <c r="AZ666" s="1968"/>
      <c r="BA666" s="1968"/>
      <c r="BB666" s="1968"/>
      <c r="BC666" s="1968"/>
      <c r="BD666" s="1968"/>
      <c r="BE666" s="1968"/>
      <c r="BF666" s="1968"/>
      <c r="BG666" s="7235"/>
    </row>
    <row customHeight="1" ht="11.25">
      <c r="A667" s="1312" t="s">
        <v>1069</v>
      </c>
      <c r="B667" s="1312" t="s">
        <v>1168</v>
      </c>
      <c r="C667" s="1312"/>
      <c r="D667" s="1306"/>
      <c r="E667" s="1316"/>
      <c r="F667" s="1974"/>
      <c r="G667" s="7143" t="s">
        <v>106</v>
      </c>
      <c r="H667" s="2674" t="s">
        <v>105</v>
      </c>
      <c r="I667" s="2675" t="s">
        <v>1169</v>
      </c>
      <c r="J667" s="2644" t="s">
        <v>1174</v>
      </c>
      <c r="K667" s="2676" t="s">
        <v>1279</v>
      </c>
      <c r="L667" s="2266" t="s">
        <v>19</v>
      </c>
      <c r="M667" s="2267"/>
      <c r="N667" s="2129"/>
      <c r="O667" s="1323" t="s">
        <v>398</v>
      </c>
      <c r="P667" s="1324"/>
      <c r="Q667" s="1324"/>
      <c r="R667" s="1324"/>
      <c r="S667" s="1324"/>
      <c r="T667" s="1324"/>
      <c r="U667" s="1324"/>
      <c r="V667" s="1324"/>
      <c r="W667" s="1324"/>
      <c r="X667" s="1324"/>
      <c r="Y667" s="1324"/>
      <c r="Z667" s="1324"/>
      <c r="AA667" s="1324"/>
      <c r="AB667" s="1324"/>
      <c r="AC667" s="1324"/>
      <c r="AD667" s="1324"/>
      <c r="AE667" s="1324"/>
      <c r="AF667" s="2665">
        <v>2026</v>
      </c>
      <c r="AG667" s="2666" t="s">
        <v>1103</v>
      </c>
      <c r="AH667" s="2666" t="s">
        <v>1162</v>
      </c>
      <c r="AI667" s="8647"/>
      <c r="AJ667" s="2666" t="s">
        <v>1105</v>
      </c>
      <c r="AK667" s="2666" t="s">
        <v>1105</v>
      </c>
      <c r="AL667" s="2131"/>
      <c r="AM667" s="1968"/>
      <c r="AN667" s="1968"/>
      <c r="AO667" s="1968"/>
      <c r="AP667" s="1968"/>
      <c r="AQ667" s="1968"/>
      <c r="AR667" s="1968"/>
      <c r="AS667" s="1968"/>
      <c r="AT667" s="1968"/>
      <c r="AU667" s="1968"/>
      <c r="AV667" s="1968"/>
      <c r="AW667" s="1968"/>
      <c r="AX667" s="1968"/>
      <c r="AY667" s="1968"/>
      <c r="AZ667" s="1968"/>
      <c r="BA667" s="1968"/>
      <c r="BB667" s="1968"/>
      <c r="BC667" s="1968"/>
      <c r="BD667" s="1968"/>
      <c r="BE667" s="1968"/>
      <c r="BF667" s="1968"/>
      <c r="BG667" s="7235"/>
    </row>
    <row customHeight="1" ht="11.25">
      <c r="A668" s="1312" t="s">
        <v>1069</v>
      </c>
      <c r="B668" s="1312"/>
      <c r="C668" s="1312"/>
      <c r="D668" s="1306"/>
      <c r="E668" s="1316"/>
      <c r="F668" s="1974"/>
      <c r="G668" s="1975"/>
      <c r="H668" s="2674" t="s">
        <v>105</v>
      </c>
      <c r="I668" s="2675"/>
      <c r="J668" s="2644"/>
      <c r="K668" s="2676"/>
      <c r="L668" s="2266"/>
      <c r="M668" s="2267"/>
      <c r="N668" s="2667"/>
      <c r="O668" s="2668">
        <v>1</v>
      </c>
      <c r="P668" s="2669" t="s">
        <v>63</v>
      </c>
      <c r="Q668" s="8645" t="s">
        <v>1176</v>
      </c>
      <c r="R668" s="8646" t="s">
        <v>1177</v>
      </c>
      <c r="S668" s="8646" t="s">
        <v>113</v>
      </c>
      <c r="T668" s="8646" t="s">
        <v>113</v>
      </c>
      <c r="U668" s="8646" t="s">
        <v>114</v>
      </c>
      <c r="V668" s="8646" t="s">
        <v>1115</v>
      </c>
      <c r="W668" s="8646" t="s">
        <v>1116</v>
      </c>
      <c r="X668" s="8646" t="s">
        <v>1178</v>
      </c>
      <c r="Y668" s="8646" t="s">
        <v>1178</v>
      </c>
      <c r="Z668" s="1321"/>
      <c r="AA668" s="1322"/>
      <c r="AB668" s="1322"/>
      <c r="AC668" s="1326"/>
      <c r="AD668" s="1326"/>
      <c r="AE668" s="1327"/>
      <c r="AF668" s="2665"/>
      <c r="AG668" s="2666"/>
      <c r="AH668" s="2666"/>
      <c r="AI668" s="8647"/>
      <c r="AJ668" s="2666"/>
      <c r="AK668" s="2666"/>
      <c r="AL668" s="2131"/>
      <c r="AM668" s="1968"/>
      <c r="AN668" s="1968"/>
      <c r="AO668" s="1968"/>
      <c r="AP668" s="1968"/>
      <c r="AQ668" s="1968"/>
      <c r="AR668" s="1968"/>
      <c r="AS668" s="1968"/>
      <c r="AT668" s="1968"/>
      <c r="AU668" s="1968"/>
      <c r="AV668" s="1968"/>
      <c r="AW668" s="1968"/>
      <c r="AX668" s="1968"/>
      <c r="AY668" s="1968"/>
      <c r="AZ668" s="1968"/>
      <c r="BA668" s="1968"/>
      <c r="BB668" s="1968"/>
      <c r="BC668" s="1968"/>
      <c r="BD668" s="1968"/>
      <c r="BE668" s="1968"/>
      <c r="BF668" s="1968"/>
      <c r="BG668" s="7235"/>
    </row>
    <row customHeight="1" ht="11.25">
      <c r="A669" s="1312" t="s">
        <v>1069</v>
      </c>
      <c r="B669" s="1312"/>
      <c r="C669" s="1312"/>
      <c r="D669" s="1306"/>
      <c r="E669" s="1316"/>
      <c r="F669" s="1974"/>
      <c r="G669" s="1975"/>
      <c r="H669" s="2674" t="s">
        <v>105</v>
      </c>
      <c r="I669" s="2675"/>
      <c r="J669" s="2644"/>
      <c r="K669" s="2676"/>
      <c r="L669" s="2266"/>
      <c r="M669" s="2267"/>
      <c r="N669" s="2667"/>
      <c r="O669" s="2668"/>
      <c r="P669" s="2670"/>
      <c r="Q669" s="8645"/>
      <c r="R669" s="2672"/>
      <c r="S669" s="2673"/>
      <c r="T669" s="2672"/>
      <c r="U669" s="2672"/>
      <c r="V669" s="2672"/>
      <c r="W669" s="2672"/>
      <c r="X669" s="2672"/>
      <c r="Y669" s="2672"/>
      <c r="Z669" s="1973"/>
      <c r="AA669" s="1939">
        <v>1</v>
      </c>
      <c r="AB669" s="1325" t="s">
        <v>1172</v>
      </c>
      <c r="AC669" s="1315">
        <v>107782</v>
      </c>
      <c r="AD669" s="1325" t="str">
        <f>AB669</f>
        <v>  За счет платы за технологическое присоединение</v>
      </c>
      <c r="AE669" s="1315">
        <v>0</v>
      </c>
      <c r="AF669" s="2665"/>
      <c r="AG669" s="2666"/>
      <c r="AH669" s="2666"/>
      <c r="AI669" s="8647"/>
      <c r="AJ669" s="2666"/>
      <c r="AK669" s="2666"/>
      <c r="AL669" s="2131"/>
      <c r="AM669" s="1968"/>
      <c r="AN669" s="1968"/>
      <c r="AO669" s="1968"/>
      <c r="AP669" s="1968"/>
      <c r="AQ669" s="1968"/>
      <c r="AR669" s="1968"/>
      <c r="AS669" s="1968"/>
      <c r="AT669" s="1968"/>
      <c r="AU669" s="1968"/>
      <c r="AV669" s="1968"/>
      <c r="AW669" s="1968"/>
      <c r="AX669" s="1968"/>
      <c r="AY669" s="1968"/>
      <c r="AZ669" s="1968"/>
      <c r="BA669" s="1968"/>
      <c r="BB669" s="1968"/>
      <c r="BC669" s="1968"/>
      <c r="BD669" s="1968"/>
      <c r="BE669" s="1968"/>
      <c r="BF669" s="1968"/>
      <c r="BG669" s="7235"/>
    </row>
    <row customHeight="1" ht="11.25">
      <c r="A670" s="1312" t="s">
        <v>1069</v>
      </c>
      <c r="B670" s="1312"/>
      <c r="C670" s="1312"/>
      <c r="D670" s="1306"/>
      <c r="E670" s="1316"/>
      <c r="F670" s="1974"/>
      <c r="G670" s="1975"/>
      <c r="H670" s="2674" t="s">
        <v>105</v>
      </c>
      <c r="I670" s="2675"/>
      <c r="J670" s="2644"/>
      <c r="K670" s="2676"/>
      <c r="L670" s="2266"/>
      <c r="M670" s="2267"/>
      <c r="N670" s="2667"/>
      <c r="O670" s="2668"/>
      <c r="P670" s="2671"/>
      <c r="Q670" s="8645"/>
      <c r="R670" s="2672"/>
      <c r="S670" s="2673"/>
      <c r="T670" s="2672"/>
      <c r="U670" s="2672"/>
      <c r="V670" s="2672"/>
      <c r="W670" s="2672"/>
      <c r="X670" s="2672"/>
      <c r="Y670" s="2672"/>
      <c r="Z670" s="1321"/>
      <c r="AA670" s="1322"/>
      <c r="AB670" s="1387" t="s">
        <v>1107</v>
      </c>
      <c r="AC670" s="1326"/>
      <c r="AD670" s="1326"/>
      <c r="AE670" s="1328"/>
      <c r="AF670" s="2665"/>
      <c r="AG670" s="2666"/>
      <c r="AH670" s="2666"/>
      <c r="AI670" s="8647"/>
      <c r="AJ670" s="2666"/>
      <c r="AK670" s="2666"/>
      <c r="AL670" s="2131"/>
      <c r="AM670" s="1968"/>
      <c r="AN670" s="1968"/>
      <c r="AO670" s="1968"/>
      <c r="AP670" s="1968"/>
      <c r="AQ670" s="1968"/>
      <c r="AR670" s="1968"/>
      <c r="AS670" s="1968"/>
      <c r="AT670" s="1968"/>
      <c r="AU670" s="1968"/>
      <c r="AV670" s="1968"/>
      <c r="AW670" s="1968"/>
      <c r="AX670" s="1968"/>
      <c r="AY670" s="1968"/>
      <c r="AZ670" s="1968"/>
      <c r="BA670" s="1968"/>
      <c r="BB670" s="1968"/>
      <c r="BC670" s="1968"/>
      <c r="BD670" s="1968"/>
      <c r="BE670" s="1968"/>
      <c r="BF670" s="1968"/>
      <c r="BG670" s="7235"/>
    </row>
    <row customHeight="1" ht="24.75">
      <c r="A671" s="1312" t="s">
        <v>1069</v>
      </c>
      <c r="B671" s="1312"/>
      <c r="C671" s="1312"/>
      <c r="D671" s="1306"/>
      <c r="E671" s="1316"/>
      <c r="F671" s="1974"/>
      <c r="G671" s="1975"/>
      <c r="H671" s="2674" t="s">
        <v>105</v>
      </c>
      <c r="I671" s="2675"/>
      <c r="J671" s="2644"/>
      <c r="K671" s="2676"/>
      <c r="L671" s="2266"/>
      <c r="M671" s="2267"/>
      <c r="N671" s="1321"/>
      <c r="O671" s="1322"/>
      <c r="P671" s="1314" t="s">
        <v>1108</v>
      </c>
      <c r="Q671" s="1322"/>
      <c r="R671" s="1322"/>
      <c r="S671" s="1322"/>
      <c r="T671" s="1322"/>
      <c r="U671" s="1322"/>
      <c r="V671" s="1322"/>
      <c r="W671" s="1322"/>
      <c r="X671" s="1322"/>
      <c r="Y671" s="1322"/>
      <c r="Z671" s="1322"/>
      <c r="AA671" s="1322"/>
      <c r="AB671" s="1322"/>
      <c r="AC671" s="1322"/>
      <c r="AD671" s="1322"/>
      <c r="AE671" s="1329"/>
      <c r="AF671" s="2665"/>
      <c r="AG671" s="2666"/>
      <c r="AH671" s="2666"/>
      <c r="AI671" s="8647"/>
      <c r="AJ671" s="2666"/>
      <c r="AK671" s="2666"/>
      <c r="AL671" s="2131"/>
      <c r="AM671" s="1968"/>
      <c r="AN671" s="1968"/>
      <c r="AO671" s="1968"/>
      <c r="AP671" s="1968"/>
      <c r="AQ671" s="1968"/>
      <c r="AR671" s="1968"/>
      <c r="AS671" s="1968"/>
      <c r="AT671" s="1968"/>
      <c r="AU671" s="1968"/>
      <c r="AV671" s="1968"/>
      <c r="AW671" s="1968"/>
      <c r="AX671" s="1968"/>
      <c r="AY671" s="1968"/>
      <c r="AZ671" s="1968"/>
      <c r="BA671" s="1968"/>
      <c r="BB671" s="1968"/>
      <c r="BC671" s="1968"/>
      <c r="BD671" s="1968"/>
      <c r="BE671" s="1968"/>
      <c r="BF671" s="1968"/>
      <c r="BG671" s="7235"/>
    </row>
    <row customHeight="1" ht="11.25">
      <c r="A672" s="1312" t="s">
        <v>1069</v>
      </c>
      <c r="B672" s="1312" t="s">
        <v>1168</v>
      </c>
      <c r="C672" s="1312"/>
      <c r="D672" s="1306"/>
      <c r="E672" s="1316"/>
      <c r="F672" s="1974"/>
      <c r="G672" s="7143" t="s">
        <v>106</v>
      </c>
      <c r="H672" s="2674" t="s">
        <v>91</v>
      </c>
      <c r="I672" s="2675" t="s">
        <v>1169</v>
      </c>
      <c r="J672" s="2644" t="s">
        <v>1174</v>
      </c>
      <c r="K672" s="2676" t="s">
        <v>1315</v>
      </c>
      <c r="L672" s="2266" t="s">
        <v>19</v>
      </c>
      <c r="M672" s="2267"/>
      <c r="N672" s="2129"/>
      <c r="O672" s="1323" t="s">
        <v>398</v>
      </c>
      <c r="P672" s="1324"/>
      <c r="Q672" s="1324"/>
      <c r="R672" s="1324"/>
      <c r="S672" s="1324"/>
      <c r="T672" s="1324"/>
      <c r="U672" s="1324"/>
      <c r="V672" s="1324"/>
      <c r="W672" s="1324"/>
      <c r="X672" s="1324"/>
      <c r="Y672" s="1324"/>
      <c r="Z672" s="1324"/>
      <c r="AA672" s="1324"/>
      <c r="AB672" s="1324"/>
      <c r="AC672" s="1324"/>
      <c r="AD672" s="1324"/>
      <c r="AE672" s="1324"/>
      <c r="AF672" s="2665">
        <v>2026</v>
      </c>
      <c r="AG672" s="2666" t="s">
        <v>1103</v>
      </c>
      <c r="AH672" s="2666" t="s">
        <v>1162</v>
      </c>
      <c r="AI672" s="8647"/>
      <c r="AJ672" s="2666" t="s">
        <v>1105</v>
      </c>
      <c r="AK672" s="2666" t="s">
        <v>1105</v>
      </c>
      <c r="AL672" s="2131"/>
      <c r="AM672" s="1968"/>
      <c r="AN672" s="1968"/>
      <c r="AO672" s="1968"/>
      <c r="AP672" s="1968"/>
      <c r="AQ672" s="1968"/>
      <c r="AR672" s="1968"/>
      <c r="AS672" s="1968"/>
      <c r="AT672" s="1968"/>
      <c r="AU672" s="1968"/>
      <c r="AV672" s="1968"/>
      <c r="AW672" s="1968"/>
      <c r="AX672" s="1968"/>
      <c r="AY672" s="1968"/>
      <c r="AZ672" s="1968"/>
      <c r="BA672" s="1968"/>
      <c r="BB672" s="1968"/>
      <c r="BC672" s="1968"/>
      <c r="BD672" s="1968"/>
      <c r="BE672" s="1968"/>
      <c r="BF672" s="1968"/>
      <c r="BG672" s="7235"/>
    </row>
    <row customHeight="1" ht="11.25">
      <c r="A673" s="1312" t="s">
        <v>1069</v>
      </c>
      <c r="B673" s="1312"/>
      <c r="C673" s="1312"/>
      <c r="D673" s="1306"/>
      <c r="E673" s="1316"/>
      <c r="F673" s="1974"/>
      <c r="G673" s="1975"/>
      <c r="H673" s="2674" t="s">
        <v>91</v>
      </c>
      <c r="I673" s="2675"/>
      <c r="J673" s="2644"/>
      <c r="K673" s="2676"/>
      <c r="L673" s="2266"/>
      <c r="M673" s="2267"/>
      <c r="N673" s="2667"/>
      <c r="O673" s="2668">
        <v>1</v>
      </c>
      <c r="P673" s="2669" t="s">
        <v>63</v>
      </c>
      <c r="Q673" s="8645" t="s">
        <v>1176</v>
      </c>
      <c r="R673" s="8646" t="s">
        <v>1177</v>
      </c>
      <c r="S673" s="8646" t="s">
        <v>113</v>
      </c>
      <c r="T673" s="8646" t="s">
        <v>113</v>
      </c>
      <c r="U673" s="8646" t="s">
        <v>114</v>
      </c>
      <c r="V673" s="8646" t="s">
        <v>1115</v>
      </c>
      <c r="W673" s="8646" t="s">
        <v>1116</v>
      </c>
      <c r="X673" s="8646" t="s">
        <v>1178</v>
      </c>
      <c r="Y673" s="8646" t="s">
        <v>1178</v>
      </c>
      <c r="Z673" s="1321"/>
      <c r="AA673" s="1322"/>
      <c r="AB673" s="1322"/>
      <c r="AC673" s="1326"/>
      <c r="AD673" s="1326"/>
      <c r="AE673" s="1327"/>
      <c r="AF673" s="2665"/>
      <c r="AG673" s="2666"/>
      <c r="AH673" s="2666"/>
      <c r="AI673" s="8647"/>
      <c r="AJ673" s="2666"/>
      <c r="AK673" s="2666"/>
      <c r="AL673" s="2131"/>
      <c r="AM673" s="1968"/>
      <c r="AN673" s="1968"/>
      <c r="AO673" s="1968"/>
      <c r="AP673" s="1968"/>
      <c r="AQ673" s="1968"/>
      <c r="AR673" s="1968"/>
      <c r="AS673" s="1968"/>
      <c r="AT673" s="1968"/>
      <c r="AU673" s="1968"/>
      <c r="AV673" s="1968"/>
      <c r="AW673" s="1968"/>
      <c r="AX673" s="1968"/>
      <c r="AY673" s="1968"/>
      <c r="AZ673" s="1968"/>
      <c r="BA673" s="1968"/>
      <c r="BB673" s="1968"/>
      <c r="BC673" s="1968"/>
      <c r="BD673" s="1968"/>
      <c r="BE673" s="1968"/>
      <c r="BF673" s="1968"/>
      <c r="BG673" s="7235"/>
    </row>
    <row customHeight="1" ht="11.25">
      <c r="A674" s="1312" t="s">
        <v>1069</v>
      </c>
      <c r="B674" s="1312"/>
      <c r="C674" s="1312"/>
      <c r="D674" s="1306"/>
      <c r="E674" s="1316"/>
      <c r="F674" s="1974"/>
      <c r="G674" s="1975"/>
      <c r="H674" s="2674" t="s">
        <v>91</v>
      </c>
      <c r="I674" s="2675"/>
      <c r="J674" s="2644"/>
      <c r="K674" s="2676"/>
      <c r="L674" s="2266"/>
      <c r="M674" s="2267"/>
      <c r="N674" s="2667"/>
      <c r="O674" s="2668"/>
      <c r="P674" s="2670"/>
      <c r="Q674" s="8645"/>
      <c r="R674" s="2672"/>
      <c r="S674" s="2673"/>
      <c r="T674" s="2672"/>
      <c r="U674" s="2672"/>
      <c r="V674" s="2672"/>
      <c r="W674" s="2672"/>
      <c r="X674" s="2672"/>
      <c r="Y674" s="2672"/>
      <c r="Z674" s="1973"/>
      <c r="AA674" s="1939">
        <v>1</v>
      </c>
      <c r="AB674" s="1325" t="s">
        <v>1172</v>
      </c>
      <c r="AC674" s="1315">
        <v>321</v>
      </c>
      <c r="AD674" s="1325" t="str">
        <f>AB674</f>
        <v>  За счет платы за технологическое присоединение</v>
      </c>
      <c r="AE674" s="1315">
        <v>0</v>
      </c>
      <c r="AF674" s="2665"/>
      <c r="AG674" s="2666"/>
      <c r="AH674" s="2666"/>
      <c r="AI674" s="8647"/>
      <c r="AJ674" s="2666"/>
      <c r="AK674" s="2666"/>
      <c r="AL674" s="2131"/>
      <c r="AM674" s="1968"/>
      <c r="AN674" s="1968"/>
      <c r="AO674" s="1968"/>
      <c r="AP674" s="1968"/>
      <c r="AQ674" s="1968"/>
      <c r="AR674" s="1968"/>
      <c r="AS674" s="1968"/>
      <c r="AT674" s="1968"/>
      <c r="AU674" s="1968"/>
      <c r="AV674" s="1968"/>
      <c r="AW674" s="1968"/>
      <c r="AX674" s="1968"/>
      <c r="AY674" s="1968"/>
      <c r="AZ674" s="1968"/>
      <c r="BA674" s="1968"/>
      <c r="BB674" s="1968"/>
      <c r="BC674" s="1968"/>
      <c r="BD674" s="1968"/>
      <c r="BE674" s="1968"/>
      <c r="BF674" s="1968"/>
      <c r="BG674" s="7235"/>
    </row>
    <row customHeight="1" ht="11.25">
      <c r="A675" s="1312" t="s">
        <v>1069</v>
      </c>
      <c r="B675" s="1312"/>
      <c r="C675" s="1312"/>
      <c r="D675" s="1306"/>
      <c r="E675" s="1316"/>
      <c r="F675" s="1974"/>
      <c r="G675" s="1975"/>
      <c r="H675" s="2674" t="s">
        <v>91</v>
      </c>
      <c r="I675" s="2675"/>
      <c r="J675" s="2644"/>
      <c r="K675" s="2676"/>
      <c r="L675" s="2266"/>
      <c r="M675" s="2267"/>
      <c r="N675" s="2667"/>
      <c r="O675" s="2668"/>
      <c r="P675" s="2671"/>
      <c r="Q675" s="8645"/>
      <c r="R675" s="2672"/>
      <c r="S675" s="2673"/>
      <c r="T675" s="2672"/>
      <c r="U675" s="2672"/>
      <c r="V675" s="2672"/>
      <c r="W675" s="2672"/>
      <c r="X675" s="2672"/>
      <c r="Y675" s="2672"/>
      <c r="Z675" s="1321"/>
      <c r="AA675" s="1322"/>
      <c r="AB675" s="1387" t="s">
        <v>1107</v>
      </c>
      <c r="AC675" s="1326"/>
      <c r="AD675" s="1326"/>
      <c r="AE675" s="1328"/>
      <c r="AF675" s="2665"/>
      <c r="AG675" s="2666"/>
      <c r="AH675" s="2666"/>
      <c r="AI675" s="8647"/>
      <c r="AJ675" s="2666"/>
      <c r="AK675" s="2666"/>
      <c r="AL675" s="2131"/>
      <c r="AM675" s="1968"/>
      <c r="AN675" s="1968"/>
      <c r="AO675" s="1968"/>
      <c r="AP675" s="1968"/>
      <c r="AQ675" s="1968"/>
      <c r="AR675" s="1968"/>
      <c r="AS675" s="1968"/>
      <c r="AT675" s="1968"/>
      <c r="AU675" s="1968"/>
      <c r="AV675" s="1968"/>
      <c r="AW675" s="1968"/>
      <c r="AX675" s="1968"/>
      <c r="AY675" s="1968"/>
      <c r="AZ675" s="1968"/>
      <c r="BA675" s="1968"/>
      <c r="BB675" s="1968"/>
      <c r="BC675" s="1968"/>
      <c r="BD675" s="1968"/>
      <c r="BE675" s="1968"/>
      <c r="BF675" s="1968"/>
      <c r="BG675" s="7235"/>
    </row>
    <row customHeight="1" ht="11.25">
      <c r="A676" s="1312" t="s">
        <v>1069</v>
      </c>
      <c r="B676" s="1312"/>
      <c r="C676" s="1312"/>
      <c r="D676" s="1306"/>
      <c r="E676" s="1316"/>
      <c r="F676" s="1974"/>
      <c r="G676" s="1975"/>
      <c r="H676" s="2674" t="s">
        <v>91</v>
      </c>
      <c r="I676" s="2675"/>
      <c r="J676" s="2644"/>
      <c r="K676" s="2676"/>
      <c r="L676" s="2266"/>
      <c r="M676" s="2267"/>
      <c r="N676" s="1321"/>
      <c r="O676" s="1322"/>
      <c r="P676" s="1314" t="s">
        <v>1108</v>
      </c>
      <c r="Q676" s="1322"/>
      <c r="R676" s="1322"/>
      <c r="S676" s="1322"/>
      <c r="T676" s="1322"/>
      <c r="U676" s="1322"/>
      <c r="V676" s="1322"/>
      <c r="W676" s="1322"/>
      <c r="X676" s="1322"/>
      <c r="Y676" s="1322"/>
      <c r="Z676" s="1322"/>
      <c r="AA676" s="1322"/>
      <c r="AB676" s="1322"/>
      <c r="AC676" s="1322"/>
      <c r="AD676" s="1322"/>
      <c r="AE676" s="1329"/>
      <c r="AF676" s="2665"/>
      <c r="AG676" s="2666"/>
      <c r="AH676" s="2666"/>
      <c r="AI676" s="8647"/>
      <c r="AJ676" s="2666"/>
      <c r="AK676" s="2666"/>
      <c r="AL676" s="2131"/>
      <c r="AM676" s="1968"/>
      <c r="AN676" s="1968"/>
      <c r="AO676" s="1968"/>
      <c r="AP676" s="1968"/>
      <c r="AQ676" s="1968"/>
      <c r="AR676" s="1968"/>
      <c r="AS676" s="1968"/>
      <c r="AT676" s="1968"/>
      <c r="AU676" s="1968"/>
      <c r="AV676" s="1968"/>
      <c r="AW676" s="1968"/>
      <c r="AX676" s="1968"/>
      <c r="AY676" s="1968"/>
      <c r="AZ676" s="1968"/>
      <c r="BA676" s="1968"/>
      <c r="BB676" s="1968"/>
      <c r="BC676" s="1968"/>
      <c r="BD676" s="1968"/>
      <c r="BE676" s="1968"/>
      <c r="BF676" s="1968"/>
      <c r="BG676" s="7235"/>
    </row>
    <row customHeight="1" ht="11.25">
      <c r="A677" s="1312" t="s">
        <v>1069</v>
      </c>
      <c r="B677" s="1312" t="s">
        <v>1168</v>
      </c>
      <c r="C677" s="1312"/>
      <c r="D677" s="1306"/>
      <c r="E677" s="1316"/>
      <c r="F677" s="1974"/>
      <c r="G677" s="7143" t="s">
        <v>106</v>
      </c>
      <c r="H677" s="2674" t="s">
        <v>92</v>
      </c>
      <c r="I677" s="2675" t="s">
        <v>1169</v>
      </c>
      <c r="J677" s="2644" t="s">
        <v>1174</v>
      </c>
      <c r="K677" s="2676" t="s">
        <v>1316</v>
      </c>
      <c r="L677" s="2266" t="s">
        <v>19</v>
      </c>
      <c r="M677" s="2267"/>
      <c r="N677" s="2129"/>
      <c r="O677" s="1323" t="s">
        <v>398</v>
      </c>
      <c r="P677" s="1324"/>
      <c r="Q677" s="1324"/>
      <c r="R677" s="1324"/>
      <c r="S677" s="1324"/>
      <c r="T677" s="1324"/>
      <c r="U677" s="1324"/>
      <c r="V677" s="1324"/>
      <c r="W677" s="1324"/>
      <c r="X677" s="1324"/>
      <c r="Y677" s="1324"/>
      <c r="Z677" s="1324"/>
      <c r="AA677" s="1324"/>
      <c r="AB677" s="1324"/>
      <c r="AC677" s="1324"/>
      <c r="AD677" s="1324"/>
      <c r="AE677" s="1324"/>
      <c r="AF677" s="2665">
        <v>2027</v>
      </c>
      <c r="AG677" s="2666" t="s">
        <v>1103</v>
      </c>
      <c r="AH677" s="2666" t="s">
        <v>1164</v>
      </c>
      <c r="AI677" s="8647"/>
      <c r="AJ677" s="2666" t="s">
        <v>1105</v>
      </c>
      <c r="AK677" s="2666" t="s">
        <v>1105</v>
      </c>
      <c r="AL677" s="2131"/>
      <c r="AM677" s="1968"/>
      <c r="AN677" s="1968"/>
      <c r="AO677" s="1968"/>
      <c r="AP677" s="1968"/>
      <c r="AQ677" s="1968"/>
      <c r="AR677" s="1968"/>
      <c r="AS677" s="1968"/>
      <c r="AT677" s="1968"/>
      <c r="AU677" s="1968"/>
      <c r="AV677" s="1968"/>
      <c r="AW677" s="1968"/>
      <c r="AX677" s="1968"/>
      <c r="AY677" s="1968"/>
      <c r="AZ677" s="1968"/>
      <c r="BA677" s="1968"/>
      <c r="BB677" s="1968"/>
      <c r="BC677" s="1968"/>
      <c r="BD677" s="1968"/>
      <c r="BE677" s="1968"/>
      <c r="BF677" s="1968"/>
      <c r="BG677" s="7235"/>
    </row>
    <row customHeight="1" ht="11.25">
      <c r="A678" s="1312" t="s">
        <v>1069</v>
      </c>
      <c r="B678" s="1312"/>
      <c r="C678" s="1312"/>
      <c r="D678" s="1306"/>
      <c r="E678" s="1316"/>
      <c r="F678" s="1974"/>
      <c r="G678" s="1975"/>
      <c r="H678" s="2674" t="s">
        <v>92</v>
      </c>
      <c r="I678" s="2675"/>
      <c r="J678" s="2644"/>
      <c r="K678" s="2676"/>
      <c r="L678" s="2266"/>
      <c r="M678" s="2267"/>
      <c r="N678" s="2667"/>
      <c r="O678" s="2668">
        <v>1</v>
      </c>
      <c r="P678" s="2669" t="s">
        <v>63</v>
      </c>
      <c r="Q678" s="8645" t="s">
        <v>1176</v>
      </c>
      <c r="R678" s="8646" t="s">
        <v>1177</v>
      </c>
      <c r="S678" s="8646" t="s">
        <v>113</v>
      </c>
      <c r="T678" s="8646" t="s">
        <v>113</v>
      </c>
      <c r="U678" s="8646" t="s">
        <v>114</v>
      </c>
      <c r="V678" s="8646" t="s">
        <v>1115</v>
      </c>
      <c r="W678" s="8646" t="s">
        <v>1116</v>
      </c>
      <c r="X678" s="8646" t="s">
        <v>1178</v>
      </c>
      <c r="Y678" s="8646" t="s">
        <v>1178</v>
      </c>
      <c r="Z678" s="1321"/>
      <c r="AA678" s="1322"/>
      <c r="AB678" s="1322"/>
      <c r="AC678" s="1326"/>
      <c r="AD678" s="1326"/>
      <c r="AE678" s="1327"/>
      <c r="AF678" s="2665"/>
      <c r="AG678" s="2666"/>
      <c r="AH678" s="2666"/>
      <c r="AI678" s="8647"/>
      <c r="AJ678" s="2666"/>
      <c r="AK678" s="2666"/>
      <c r="AL678" s="2131"/>
      <c r="AM678" s="1968"/>
      <c r="AN678" s="1968"/>
      <c r="AO678" s="1968"/>
      <c r="AP678" s="1968"/>
      <c r="AQ678" s="1968"/>
      <c r="AR678" s="1968"/>
      <c r="AS678" s="1968"/>
      <c r="AT678" s="1968"/>
      <c r="AU678" s="1968"/>
      <c r="AV678" s="1968"/>
      <c r="AW678" s="1968"/>
      <c r="AX678" s="1968"/>
      <c r="AY678" s="1968"/>
      <c r="AZ678" s="1968"/>
      <c r="BA678" s="1968"/>
      <c r="BB678" s="1968"/>
      <c r="BC678" s="1968"/>
      <c r="BD678" s="1968"/>
      <c r="BE678" s="1968"/>
      <c r="BF678" s="1968"/>
      <c r="BG678" s="7235"/>
    </row>
    <row customHeight="1" ht="11.25">
      <c r="A679" s="1312" t="s">
        <v>1069</v>
      </c>
      <c r="B679" s="1312"/>
      <c r="C679" s="1312"/>
      <c r="D679" s="1306"/>
      <c r="E679" s="1316"/>
      <c r="F679" s="1974"/>
      <c r="G679" s="1975"/>
      <c r="H679" s="2674" t="s">
        <v>92</v>
      </c>
      <c r="I679" s="2675"/>
      <c r="J679" s="2644"/>
      <c r="K679" s="2676"/>
      <c r="L679" s="2266"/>
      <c r="M679" s="2267"/>
      <c r="N679" s="2667"/>
      <c r="O679" s="2668"/>
      <c r="P679" s="2670"/>
      <c r="Q679" s="8645"/>
      <c r="R679" s="2672"/>
      <c r="S679" s="2673"/>
      <c r="T679" s="2672"/>
      <c r="U679" s="2672"/>
      <c r="V679" s="2672"/>
      <c r="W679" s="2672"/>
      <c r="X679" s="2672"/>
      <c r="Y679" s="2672"/>
      <c r="Z679" s="1973"/>
      <c r="AA679" s="1939">
        <v>1</v>
      </c>
      <c r="AB679" s="1325" t="s">
        <v>1172</v>
      </c>
      <c r="AC679" s="1315">
        <v>1282</v>
      </c>
      <c r="AD679" s="1325" t="str">
        <f>AB679</f>
        <v>  За счет платы за технологическое присоединение</v>
      </c>
      <c r="AE679" s="1315">
        <v>0</v>
      </c>
      <c r="AF679" s="2665"/>
      <c r="AG679" s="2666"/>
      <c r="AH679" s="2666"/>
      <c r="AI679" s="8647"/>
      <c r="AJ679" s="2666"/>
      <c r="AK679" s="2666"/>
      <c r="AL679" s="2131"/>
      <c r="AM679" s="1968"/>
      <c r="AN679" s="1968"/>
      <c r="AO679" s="1968"/>
      <c r="AP679" s="1968"/>
      <c r="AQ679" s="1968"/>
      <c r="AR679" s="1968"/>
      <c r="AS679" s="1968"/>
      <c r="AT679" s="1968"/>
      <c r="AU679" s="1968"/>
      <c r="AV679" s="1968"/>
      <c r="AW679" s="1968"/>
      <c r="AX679" s="1968"/>
      <c r="AY679" s="1968"/>
      <c r="AZ679" s="1968"/>
      <c r="BA679" s="1968"/>
      <c r="BB679" s="1968"/>
      <c r="BC679" s="1968"/>
      <c r="BD679" s="1968"/>
      <c r="BE679" s="1968"/>
      <c r="BF679" s="1968"/>
      <c r="BG679" s="7235"/>
    </row>
    <row customHeight="1" ht="11.25">
      <c r="A680" s="1312" t="s">
        <v>1069</v>
      </c>
      <c r="B680" s="1312"/>
      <c r="C680" s="1312"/>
      <c r="D680" s="1306"/>
      <c r="E680" s="1316"/>
      <c r="F680" s="1974"/>
      <c r="G680" s="1975"/>
      <c r="H680" s="2674" t="s">
        <v>92</v>
      </c>
      <c r="I680" s="2675"/>
      <c r="J680" s="2644"/>
      <c r="K680" s="2676"/>
      <c r="L680" s="2266"/>
      <c r="M680" s="2267"/>
      <c r="N680" s="2667"/>
      <c r="O680" s="2668"/>
      <c r="P680" s="2671"/>
      <c r="Q680" s="8645"/>
      <c r="R680" s="2672"/>
      <c r="S680" s="2673"/>
      <c r="T680" s="2672"/>
      <c r="U680" s="2672"/>
      <c r="V680" s="2672"/>
      <c r="W680" s="2672"/>
      <c r="X680" s="2672"/>
      <c r="Y680" s="2672"/>
      <c r="Z680" s="1321"/>
      <c r="AA680" s="1322"/>
      <c r="AB680" s="1387" t="s">
        <v>1107</v>
      </c>
      <c r="AC680" s="1326"/>
      <c r="AD680" s="1326"/>
      <c r="AE680" s="1328"/>
      <c r="AF680" s="2665"/>
      <c r="AG680" s="2666"/>
      <c r="AH680" s="2666"/>
      <c r="AI680" s="8647"/>
      <c r="AJ680" s="2666"/>
      <c r="AK680" s="2666"/>
      <c r="AL680" s="2131"/>
      <c r="AM680" s="1968"/>
      <c r="AN680" s="1968"/>
      <c r="AO680" s="1968"/>
      <c r="AP680" s="1968"/>
      <c r="AQ680" s="1968"/>
      <c r="AR680" s="1968"/>
      <c r="AS680" s="1968"/>
      <c r="AT680" s="1968"/>
      <c r="AU680" s="1968"/>
      <c r="AV680" s="1968"/>
      <c r="AW680" s="1968"/>
      <c r="AX680" s="1968"/>
      <c r="AY680" s="1968"/>
      <c r="AZ680" s="1968"/>
      <c r="BA680" s="1968"/>
      <c r="BB680" s="1968"/>
      <c r="BC680" s="1968"/>
      <c r="BD680" s="1968"/>
      <c r="BE680" s="1968"/>
      <c r="BF680" s="1968"/>
      <c r="BG680" s="7235"/>
    </row>
    <row customHeight="1" ht="11.25">
      <c r="A681" s="1312" t="s">
        <v>1069</v>
      </c>
      <c r="B681" s="1312"/>
      <c r="C681" s="1312"/>
      <c r="D681" s="1306"/>
      <c r="E681" s="1316"/>
      <c r="F681" s="1974"/>
      <c r="G681" s="1975"/>
      <c r="H681" s="2674" t="s">
        <v>92</v>
      </c>
      <c r="I681" s="2675"/>
      <c r="J681" s="2644"/>
      <c r="K681" s="2676"/>
      <c r="L681" s="2266"/>
      <c r="M681" s="2267"/>
      <c r="N681" s="1321"/>
      <c r="O681" s="1322"/>
      <c r="P681" s="1314" t="s">
        <v>1108</v>
      </c>
      <c r="Q681" s="1322"/>
      <c r="R681" s="1322"/>
      <c r="S681" s="1322"/>
      <c r="T681" s="1322"/>
      <c r="U681" s="1322"/>
      <c r="V681" s="1322"/>
      <c r="W681" s="1322"/>
      <c r="X681" s="1322"/>
      <c r="Y681" s="1322"/>
      <c r="Z681" s="1322"/>
      <c r="AA681" s="1322"/>
      <c r="AB681" s="1322"/>
      <c r="AC681" s="1322"/>
      <c r="AD681" s="1322"/>
      <c r="AE681" s="1329"/>
      <c r="AF681" s="2665"/>
      <c r="AG681" s="2666"/>
      <c r="AH681" s="2666"/>
      <c r="AI681" s="8647"/>
      <c r="AJ681" s="2666"/>
      <c r="AK681" s="2666"/>
      <c r="AL681" s="2131"/>
      <c r="AM681" s="1968"/>
      <c r="AN681" s="1968"/>
      <c r="AO681" s="1968"/>
      <c r="AP681" s="1968"/>
      <c r="AQ681" s="1968"/>
      <c r="AR681" s="1968"/>
      <c r="AS681" s="1968"/>
      <c r="AT681" s="1968"/>
      <c r="AU681" s="1968"/>
      <c r="AV681" s="1968"/>
      <c r="AW681" s="1968"/>
      <c r="AX681" s="1968"/>
      <c r="AY681" s="1968"/>
      <c r="AZ681" s="1968"/>
      <c r="BA681" s="1968"/>
      <c r="BB681" s="1968"/>
      <c r="BC681" s="1968"/>
      <c r="BD681" s="1968"/>
      <c r="BE681" s="1968"/>
      <c r="BF681" s="1968"/>
      <c r="BG681" s="7235"/>
    </row>
    <row customHeight="1" ht="11.25">
      <c r="A682" s="1312" t="s">
        <v>1069</v>
      </c>
      <c r="B682" s="1312" t="s">
        <v>1168</v>
      </c>
      <c r="C682" s="1312"/>
      <c r="D682" s="1306"/>
      <c r="E682" s="1316"/>
      <c r="F682" s="1974"/>
      <c r="G682" s="7143" t="s">
        <v>106</v>
      </c>
      <c r="H682" s="2674" t="s">
        <v>122</v>
      </c>
      <c r="I682" s="2675" t="s">
        <v>1169</v>
      </c>
      <c r="J682" s="2644" t="s">
        <v>1174</v>
      </c>
      <c r="K682" s="2676" t="s">
        <v>1317</v>
      </c>
      <c r="L682" s="2266" t="s">
        <v>19</v>
      </c>
      <c r="M682" s="2267"/>
      <c r="N682" s="2129"/>
      <c r="O682" s="1323" t="s">
        <v>398</v>
      </c>
      <c r="P682" s="1324"/>
      <c r="Q682" s="1324"/>
      <c r="R682" s="1324"/>
      <c r="S682" s="1324"/>
      <c r="T682" s="1324"/>
      <c r="U682" s="1324"/>
      <c r="V682" s="1324"/>
      <c r="W682" s="1324"/>
      <c r="X682" s="1324"/>
      <c r="Y682" s="1324"/>
      <c r="Z682" s="1324"/>
      <c r="AA682" s="1324"/>
      <c r="AB682" s="1324"/>
      <c r="AC682" s="1324"/>
      <c r="AD682" s="1324"/>
      <c r="AE682" s="1324"/>
      <c r="AF682" s="2665">
        <v>2029</v>
      </c>
      <c r="AG682" s="2666" t="s">
        <v>1103</v>
      </c>
      <c r="AH682" s="2666" t="s">
        <v>1215</v>
      </c>
      <c r="AI682" s="8647"/>
      <c r="AJ682" s="2666" t="s">
        <v>1105</v>
      </c>
      <c r="AK682" s="2666" t="s">
        <v>1105</v>
      </c>
      <c r="AL682" s="2131"/>
      <c r="AM682" s="1968"/>
      <c r="AN682" s="1968"/>
      <c r="AO682" s="1968"/>
      <c r="AP682" s="1968"/>
      <c r="AQ682" s="1968"/>
      <c r="AR682" s="1968"/>
      <c r="AS682" s="1968"/>
      <c r="AT682" s="1968"/>
      <c r="AU682" s="1968"/>
      <c r="AV682" s="1968"/>
      <c r="AW682" s="1968"/>
      <c r="AX682" s="1968"/>
      <c r="AY682" s="1968"/>
      <c r="AZ682" s="1968"/>
      <c r="BA682" s="1968"/>
      <c r="BB682" s="1968"/>
      <c r="BC682" s="1968"/>
      <c r="BD682" s="1968"/>
      <c r="BE682" s="1968"/>
      <c r="BF682" s="1968"/>
      <c r="BG682" s="7235"/>
    </row>
    <row customHeight="1" ht="11.25">
      <c r="A683" s="1312" t="s">
        <v>1069</v>
      </c>
      <c r="B683" s="1312"/>
      <c r="C683" s="1312"/>
      <c r="D683" s="1306"/>
      <c r="E683" s="1316"/>
      <c r="F683" s="1974"/>
      <c r="G683" s="1975"/>
      <c r="H683" s="2674" t="s">
        <v>122</v>
      </c>
      <c r="I683" s="2675"/>
      <c r="J683" s="2644"/>
      <c r="K683" s="2676"/>
      <c r="L683" s="2266"/>
      <c r="M683" s="2267"/>
      <c r="N683" s="2667"/>
      <c r="O683" s="2668">
        <v>1</v>
      </c>
      <c r="P683" s="2669" t="s">
        <v>63</v>
      </c>
      <c r="Q683" s="8645" t="s">
        <v>1176</v>
      </c>
      <c r="R683" s="8646" t="s">
        <v>1177</v>
      </c>
      <c r="S683" s="8646" t="s">
        <v>113</v>
      </c>
      <c r="T683" s="8646" t="s">
        <v>113</v>
      </c>
      <c r="U683" s="8646" t="s">
        <v>114</v>
      </c>
      <c r="V683" s="8646" t="s">
        <v>1115</v>
      </c>
      <c r="W683" s="8646" t="s">
        <v>1116</v>
      </c>
      <c r="X683" s="8646" t="s">
        <v>1178</v>
      </c>
      <c r="Y683" s="8646" t="s">
        <v>1178</v>
      </c>
      <c r="Z683" s="1321"/>
      <c r="AA683" s="1322"/>
      <c r="AB683" s="1322"/>
      <c r="AC683" s="1326"/>
      <c r="AD683" s="1326"/>
      <c r="AE683" s="1327"/>
      <c r="AF683" s="2665"/>
      <c r="AG683" s="2666"/>
      <c r="AH683" s="2666"/>
      <c r="AI683" s="8647"/>
      <c r="AJ683" s="2666"/>
      <c r="AK683" s="2666"/>
      <c r="AL683" s="2131"/>
      <c r="AM683" s="1968"/>
      <c r="AN683" s="1968"/>
      <c r="AO683" s="1968"/>
      <c r="AP683" s="1968"/>
      <c r="AQ683" s="1968"/>
      <c r="AR683" s="1968"/>
      <c r="AS683" s="1968"/>
      <c r="AT683" s="1968"/>
      <c r="AU683" s="1968"/>
      <c r="AV683" s="1968"/>
      <c r="AW683" s="1968"/>
      <c r="AX683" s="1968"/>
      <c r="AY683" s="1968"/>
      <c r="AZ683" s="1968"/>
      <c r="BA683" s="1968"/>
      <c r="BB683" s="1968"/>
      <c r="BC683" s="1968"/>
      <c r="BD683" s="1968"/>
      <c r="BE683" s="1968"/>
      <c r="BF683" s="1968"/>
      <c r="BG683" s="7235"/>
    </row>
    <row customHeight="1" ht="11.25">
      <c r="A684" s="1312" t="s">
        <v>1069</v>
      </c>
      <c r="B684" s="1312"/>
      <c r="C684" s="1312"/>
      <c r="D684" s="1306"/>
      <c r="E684" s="1316"/>
      <c r="F684" s="1974"/>
      <c r="G684" s="1975"/>
      <c r="H684" s="2674" t="s">
        <v>122</v>
      </c>
      <c r="I684" s="2675"/>
      <c r="J684" s="2644"/>
      <c r="K684" s="2676"/>
      <c r="L684" s="2266"/>
      <c r="M684" s="2267"/>
      <c r="N684" s="2667"/>
      <c r="O684" s="2668"/>
      <c r="P684" s="2670"/>
      <c r="Q684" s="8645"/>
      <c r="R684" s="2672"/>
      <c r="S684" s="2673"/>
      <c r="T684" s="2672"/>
      <c r="U684" s="2672"/>
      <c r="V684" s="2672"/>
      <c r="W684" s="2672"/>
      <c r="X684" s="2672"/>
      <c r="Y684" s="2672"/>
      <c r="Z684" s="1973"/>
      <c r="AA684" s="1939">
        <v>1</v>
      </c>
      <c r="AB684" s="1325" t="s">
        <v>1172</v>
      </c>
      <c r="AC684" s="1315">
        <v>401</v>
      </c>
      <c r="AD684" s="1325" t="str">
        <f>AB684</f>
        <v>  За счет платы за технологическое присоединение</v>
      </c>
      <c r="AE684" s="1315">
        <v>0</v>
      </c>
      <c r="AF684" s="2665"/>
      <c r="AG684" s="2666"/>
      <c r="AH684" s="2666"/>
      <c r="AI684" s="8647"/>
      <c r="AJ684" s="2666"/>
      <c r="AK684" s="2666"/>
      <c r="AL684" s="2131"/>
      <c r="AM684" s="1968"/>
      <c r="AN684" s="1968"/>
      <c r="AO684" s="1968"/>
      <c r="AP684" s="1968"/>
      <c r="AQ684" s="1968"/>
      <c r="AR684" s="1968"/>
      <c r="AS684" s="1968"/>
      <c r="AT684" s="1968"/>
      <c r="AU684" s="1968"/>
      <c r="AV684" s="1968"/>
      <c r="AW684" s="1968"/>
      <c r="AX684" s="1968"/>
      <c r="AY684" s="1968"/>
      <c r="AZ684" s="1968"/>
      <c r="BA684" s="1968"/>
      <c r="BB684" s="1968"/>
      <c r="BC684" s="1968"/>
      <c r="BD684" s="1968"/>
      <c r="BE684" s="1968"/>
      <c r="BF684" s="1968"/>
      <c r="BG684" s="7235"/>
    </row>
    <row customHeight="1" ht="11.25">
      <c r="A685" s="1312" t="s">
        <v>1069</v>
      </c>
      <c r="B685" s="1312"/>
      <c r="C685" s="1312"/>
      <c r="D685" s="1306"/>
      <c r="E685" s="1316"/>
      <c r="F685" s="1974"/>
      <c r="G685" s="1975"/>
      <c r="H685" s="2674" t="s">
        <v>122</v>
      </c>
      <c r="I685" s="2675"/>
      <c r="J685" s="2644"/>
      <c r="K685" s="2676"/>
      <c r="L685" s="2266"/>
      <c r="M685" s="2267"/>
      <c r="N685" s="2667"/>
      <c r="O685" s="2668"/>
      <c r="P685" s="2671"/>
      <c r="Q685" s="8645"/>
      <c r="R685" s="2672"/>
      <c r="S685" s="2673"/>
      <c r="T685" s="2672"/>
      <c r="U685" s="2672"/>
      <c r="V685" s="2672"/>
      <c r="W685" s="2672"/>
      <c r="X685" s="2672"/>
      <c r="Y685" s="2672"/>
      <c r="Z685" s="1321"/>
      <c r="AA685" s="1322"/>
      <c r="AB685" s="1387" t="s">
        <v>1107</v>
      </c>
      <c r="AC685" s="1326"/>
      <c r="AD685" s="1326"/>
      <c r="AE685" s="1328"/>
      <c r="AF685" s="2665"/>
      <c r="AG685" s="2666"/>
      <c r="AH685" s="2666"/>
      <c r="AI685" s="8647"/>
      <c r="AJ685" s="2666"/>
      <c r="AK685" s="2666"/>
      <c r="AL685" s="2131"/>
      <c r="AM685" s="1968"/>
      <c r="AN685" s="1968"/>
      <c r="AO685" s="1968"/>
      <c r="AP685" s="1968"/>
      <c r="AQ685" s="1968"/>
      <c r="AR685" s="1968"/>
      <c r="AS685" s="1968"/>
      <c r="AT685" s="1968"/>
      <c r="AU685" s="1968"/>
      <c r="AV685" s="1968"/>
      <c r="AW685" s="1968"/>
      <c r="AX685" s="1968"/>
      <c r="AY685" s="1968"/>
      <c r="AZ685" s="1968"/>
      <c r="BA685" s="1968"/>
      <c r="BB685" s="1968"/>
      <c r="BC685" s="1968"/>
      <c r="BD685" s="1968"/>
      <c r="BE685" s="1968"/>
      <c r="BF685" s="1968"/>
      <c r="BG685" s="7235"/>
    </row>
    <row customHeight="1" ht="11.25">
      <c r="A686" s="1312" t="s">
        <v>1069</v>
      </c>
      <c r="B686" s="1312"/>
      <c r="C686" s="1312"/>
      <c r="D686" s="1306"/>
      <c r="E686" s="1316"/>
      <c r="F686" s="1974"/>
      <c r="G686" s="1975"/>
      <c r="H686" s="2674" t="s">
        <v>122</v>
      </c>
      <c r="I686" s="2675"/>
      <c r="J686" s="2644"/>
      <c r="K686" s="2676"/>
      <c r="L686" s="2266"/>
      <c r="M686" s="2267"/>
      <c r="N686" s="1321"/>
      <c r="O686" s="1322"/>
      <c r="P686" s="1314" t="s">
        <v>1108</v>
      </c>
      <c r="Q686" s="1322"/>
      <c r="R686" s="1322"/>
      <c r="S686" s="1322"/>
      <c r="T686" s="1322"/>
      <c r="U686" s="1322"/>
      <c r="V686" s="1322"/>
      <c r="W686" s="1322"/>
      <c r="X686" s="1322"/>
      <c r="Y686" s="1322"/>
      <c r="Z686" s="1322"/>
      <c r="AA686" s="1322"/>
      <c r="AB686" s="1322"/>
      <c r="AC686" s="1322"/>
      <c r="AD686" s="1322"/>
      <c r="AE686" s="1329"/>
      <c r="AF686" s="2665"/>
      <c r="AG686" s="2666"/>
      <c r="AH686" s="2666"/>
      <c r="AI686" s="8647"/>
      <c r="AJ686" s="2666"/>
      <c r="AK686" s="2666"/>
      <c r="AL686" s="2131"/>
      <c r="AM686" s="1968"/>
      <c r="AN686" s="1968"/>
      <c r="AO686" s="1968"/>
      <c r="AP686" s="1968"/>
      <c r="AQ686" s="1968"/>
      <c r="AR686" s="1968"/>
      <c r="AS686" s="1968"/>
      <c r="AT686" s="1968"/>
      <c r="AU686" s="1968"/>
      <c r="AV686" s="1968"/>
      <c r="AW686" s="1968"/>
      <c r="AX686" s="1968"/>
      <c r="AY686" s="1968"/>
      <c r="AZ686" s="1968"/>
      <c r="BA686" s="1968"/>
      <c r="BB686" s="1968"/>
      <c r="BC686" s="1968"/>
      <c r="BD686" s="1968"/>
      <c r="BE686" s="1968"/>
      <c r="BF686" s="1968"/>
      <c r="BG686" s="7235"/>
    </row>
    <row customHeight="1" ht="11.25">
      <c r="A687" s="1312" t="s">
        <v>1069</v>
      </c>
      <c r="B687" s="1312" t="s">
        <v>1168</v>
      </c>
      <c r="C687" s="1312"/>
      <c r="D687" s="1306"/>
      <c r="E687" s="1316"/>
      <c r="F687" s="1974"/>
      <c r="G687" s="7143" t="s">
        <v>106</v>
      </c>
      <c r="H687" s="2674" t="s">
        <v>93</v>
      </c>
      <c r="I687" s="2675" t="s">
        <v>1169</v>
      </c>
      <c r="J687" s="2644" t="s">
        <v>1174</v>
      </c>
      <c r="K687" s="2676" t="s">
        <v>1318</v>
      </c>
      <c r="L687" s="2266" t="s">
        <v>19</v>
      </c>
      <c r="M687" s="2267"/>
      <c r="N687" s="2129"/>
      <c r="O687" s="1323" t="s">
        <v>398</v>
      </c>
      <c r="P687" s="1324"/>
      <c r="Q687" s="1324"/>
      <c r="R687" s="1324"/>
      <c r="S687" s="1324"/>
      <c r="T687" s="1324"/>
      <c r="U687" s="1324"/>
      <c r="V687" s="1324"/>
      <c r="W687" s="1324"/>
      <c r="X687" s="1324"/>
      <c r="Y687" s="1324"/>
      <c r="Z687" s="1324"/>
      <c r="AA687" s="1324"/>
      <c r="AB687" s="1324"/>
      <c r="AC687" s="1324"/>
      <c r="AD687" s="1324"/>
      <c r="AE687" s="1324"/>
      <c r="AF687" s="2665">
        <v>2026</v>
      </c>
      <c r="AG687" s="2666" t="s">
        <v>1103</v>
      </c>
      <c r="AH687" s="2666" t="s">
        <v>1162</v>
      </c>
      <c r="AI687" s="8647"/>
      <c r="AJ687" s="2666" t="s">
        <v>1105</v>
      </c>
      <c r="AK687" s="2666" t="s">
        <v>1105</v>
      </c>
      <c r="AL687" s="2131"/>
      <c r="AM687" s="1968"/>
      <c r="AN687" s="1968"/>
      <c r="AO687" s="1968"/>
      <c r="AP687" s="1968"/>
      <c r="AQ687" s="1968"/>
      <c r="AR687" s="1968"/>
      <c r="AS687" s="1968"/>
      <c r="AT687" s="1968"/>
      <c r="AU687" s="1968"/>
      <c r="AV687" s="1968"/>
      <c r="AW687" s="1968"/>
      <c r="AX687" s="1968"/>
      <c r="AY687" s="1968"/>
      <c r="AZ687" s="1968"/>
      <c r="BA687" s="1968"/>
      <c r="BB687" s="1968"/>
      <c r="BC687" s="1968"/>
      <c r="BD687" s="1968"/>
      <c r="BE687" s="1968"/>
      <c r="BF687" s="1968"/>
      <c r="BG687" s="7235"/>
    </row>
    <row customHeight="1" ht="11.25">
      <c r="A688" s="1312" t="s">
        <v>1069</v>
      </c>
      <c r="B688" s="1312"/>
      <c r="C688" s="1312"/>
      <c r="D688" s="1306"/>
      <c r="E688" s="1316"/>
      <c r="F688" s="1974"/>
      <c r="G688" s="1975"/>
      <c r="H688" s="2674" t="s">
        <v>93</v>
      </c>
      <c r="I688" s="2675"/>
      <c r="J688" s="2644"/>
      <c r="K688" s="2676"/>
      <c r="L688" s="2266"/>
      <c r="M688" s="2267"/>
      <c r="N688" s="2667"/>
      <c r="O688" s="2668">
        <v>1</v>
      </c>
      <c r="P688" s="2669" t="s">
        <v>63</v>
      </c>
      <c r="Q688" s="8645" t="s">
        <v>1176</v>
      </c>
      <c r="R688" s="8646" t="s">
        <v>1177</v>
      </c>
      <c r="S688" s="8646" t="s">
        <v>113</v>
      </c>
      <c r="T688" s="8646" t="s">
        <v>113</v>
      </c>
      <c r="U688" s="8646" t="s">
        <v>114</v>
      </c>
      <c r="V688" s="8646" t="s">
        <v>1115</v>
      </c>
      <c r="W688" s="8646" t="s">
        <v>1116</v>
      </c>
      <c r="X688" s="8646" t="s">
        <v>1178</v>
      </c>
      <c r="Y688" s="8646" t="s">
        <v>1178</v>
      </c>
      <c r="Z688" s="1321"/>
      <c r="AA688" s="1322"/>
      <c r="AB688" s="1322"/>
      <c r="AC688" s="1326"/>
      <c r="AD688" s="1326"/>
      <c r="AE688" s="1327"/>
      <c r="AF688" s="2665"/>
      <c r="AG688" s="2666"/>
      <c r="AH688" s="2666"/>
      <c r="AI688" s="8647"/>
      <c r="AJ688" s="2666"/>
      <c r="AK688" s="2666"/>
      <c r="AL688" s="2131"/>
      <c r="AM688" s="1968"/>
      <c r="AN688" s="1968"/>
      <c r="AO688" s="1968"/>
      <c r="AP688" s="1968"/>
      <c r="AQ688" s="1968"/>
      <c r="AR688" s="1968"/>
      <c r="AS688" s="1968"/>
      <c r="AT688" s="1968"/>
      <c r="AU688" s="1968"/>
      <c r="AV688" s="1968"/>
      <c r="AW688" s="1968"/>
      <c r="AX688" s="1968"/>
      <c r="AY688" s="1968"/>
      <c r="AZ688" s="1968"/>
      <c r="BA688" s="1968"/>
      <c r="BB688" s="1968"/>
      <c r="BC688" s="1968"/>
      <c r="BD688" s="1968"/>
      <c r="BE688" s="1968"/>
      <c r="BF688" s="1968"/>
      <c r="BG688" s="7235"/>
    </row>
    <row customHeight="1" ht="11.25">
      <c r="A689" s="1312" t="s">
        <v>1069</v>
      </c>
      <c r="B689" s="1312"/>
      <c r="C689" s="1312"/>
      <c r="D689" s="1306"/>
      <c r="E689" s="1316"/>
      <c r="F689" s="1974"/>
      <c r="G689" s="1975"/>
      <c r="H689" s="2674" t="s">
        <v>93</v>
      </c>
      <c r="I689" s="2675"/>
      <c r="J689" s="2644"/>
      <c r="K689" s="2676"/>
      <c r="L689" s="2266"/>
      <c r="M689" s="2267"/>
      <c r="N689" s="2667"/>
      <c r="O689" s="2668"/>
      <c r="P689" s="2670"/>
      <c r="Q689" s="8645"/>
      <c r="R689" s="2672"/>
      <c r="S689" s="2673"/>
      <c r="T689" s="2672"/>
      <c r="U689" s="2672"/>
      <c r="V689" s="2672"/>
      <c r="W689" s="2672"/>
      <c r="X689" s="2672"/>
      <c r="Y689" s="2672"/>
      <c r="Z689" s="1973"/>
      <c r="AA689" s="1939">
        <v>1</v>
      </c>
      <c r="AB689" s="1325" t="s">
        <v>1172</v>
      </c>
      <c r="AC689" s="1315">
        <v>15841</v>
      </c>
      <c r="AD689" s="1325" t="str">
        <f>AB689</f>
        <v>  За счет платы за технологическое присоединение</v>
      </c>
      <c r="AE689" s="1315">
        <v>0</v>
      </c>
      <c r="AF689" s="2665"/>
      <c r="AG689" s="2666"/>
      <c r="AH689" s="2666"/>
      <c r="AI689" s="8647"/>
      <c r="AJ689" s="2666"/>
      <c r="AK689" s="2666"/>
      <c r="AL689" s="2131"/>
      <c r="AM689" s="1968"/>
      <c r="AN689" s="1968"/>
      <c r="AO689" s="1968"/>
      <c r="AP689" s="1968"/>
      <c r="AQ689" s="1968"/>
      <c r="AR689" s="1968"/>
      <c r="AS689" s="1968"/>
      <c r="AT689" s="1968"/>
      <c r="AU689" s="1968"/>
      <c r="AV689" s="1968"/>
      <c r="AW689" s="1968"/>
      <c r="AX689" s="1968"/>
      <c r="AY689" s="1968"/>
      <c r="AZ689" s="1968"/>
      <c r="BA689" s="1968"/>
      <c r="BB689" s="1968"/>
      <c r="BC689" s="1968"/>
      <c r="BD689" s="1968"/>
      <c r="BE689" s="1968"/>
      <c r="BF689" s="1968"/>
      <c r="BG689" s="7235"/>
    </row>
    <row customHeight="1" ht="11.25">
      <c r="A690" s="1312" t="s">
        <v>1069</v>
      </c>
      <c r="B690" s="1312"/>
      <c r="C690" s="1312"/>
      <c r="D690" s="1306"/>
      <c r="E690" s="1316"/>
      <c r="F690" s="1974"/>
      <c r="G690" s="1975"/>
      <c r="H690" s="2674" t="s">
        <v>93</v>
      </c>
      <c r="I690" s="2675"/>
      <c r="J690" s="2644"/>
      <c r="K690" s="2676"/>
      <c r="L690" s="2266"/>
      <c r="M690" s="2267"/>
      <c r="N690" s="2667"/>
      <c r="O690" s="2668"/>
      <c r="P690" s="2671"/>
      <c r="Q690" s="8645"/>
      <c r="R690" s="2672"/>
      <c r="S690" s="2673"/>
      <c r="T690" s="2672"/>
      <c r="U690" s="2672"/>
      <c r="V690" s="2672"/>
      <c r="W690" s="2672"/>
      <c r="X690" s="2672"/>
      <c r="Y690" s="2672"/>
      <c r="Z690" s="1321"/>
      <c r="AA690" s="1322"/>
      <c r="AB690" s="1387" t="s">
        <v>1107</v>
      </c>
      <c r="AC690" s="1326"/>
      <c r="AD690" s="1326"/>
      <c r="AE690" s="1328"/>
      <c r="AF690" s="2665"/>
      <c r="AG690" s="2666"/>
      <c r="AH690" s="2666"/>
      <c r="AI690" s="8647"/>
      <c r="AJ690" s="2666"/>
      <c r="AK690" s="2666"/>
      <c r="AL690" s="2131"/>
      <c r="AM690" s="1968"/>
      <c r="AN690" s="1968"/>
      <c r="AO690" s="1968"/>
      <c r="AP690" s="1968"/>
      <c r="AQ690" s="1968"/>
      <c r="AR690" s="1968"/>
      <c r="AS690" s="1968"/>
      <c r="AT690" s="1968"/>
      <c r="AU690" s="1968"/>
      <c r="AV690" s="1968"/>
      <c r="AW690" s="1968"/>
      <c r="AX690" s="1968"/>
      <c r="AY690" s="1968"/>
      <c r="AZ690" s="1968"/>
      <c r="BA690" s="1968"/>
      <c r="BB690" s="1968"/>
      <c r="BC690" s="1968"/>
      <c r="BD690" s="1968"/>
      <c r="BE690" s="1968"/>
      <c r="BF690" s="1968"/>
      <c r="BG690" s="7235"/>
    </row>
    <row customHeight="1" ht="11.25">
      <c r="A691" s="1312" t="s">
        <v>1069</v>
      </c>
      <c r="B691" s="1312"/>
      <c r="C691" s="1312"/>
      <c r="D691" s="1306"/>
      <c r="E691" s="1316"/>
      <c r="F691" s="1974"/>
      <c r="G691" s="1975"/>
      <c r="H691" s="2674" t="s">
        <v>93</v>
      </c>
      <c r="I691" s="2675"/>
      <c r="J691" s="2644"/>
      <c r="K691" s="2676"/>
      <c r="L691" s="2266"/>
      <c r="M691" s="2267"/>
      <c r="N691" s="1321"/>
      <c r="O691" s="1322"/>
      <c r="P691" s="1314" t="s">
        <v>1108</v>
      </c>
      <c r="Q691" s="1322"/>
      <c r="R691" s="1322"/>
      <c r="S691" s="1322"/>
      <c r="T691" s="1322"/>
      <c r="U691" s="1322"/>
      <c r="V691" s="1322"/>
      <c r="W691" s="1322"/>
      <c r="X691" s="1322"/>
      <c r="Y691" s="1322"/>
      <c r="Z691" s="1322"/>
      <c r="AA691" s="1322"/>
      <c r="AB691" s="1322"/>
      <c r="AC691" s="1322"/>
      <c r="AD691" s="1322"/>
      <c r="AE691" s="1329"/>
      <c r="AF691" s="2665"/>
      <c r="AG691" s="2666"/>
      <c r="AH691" s="2666"/>
      <c r="AI691" s="8647"/>
      <c r="AJ691" s="2666"/>
      <c r="AK691" s="2666"/>
      <c r="AL691" s="2131"/>
      <c r="AM691" s="1968"/>
      <c r="AN691" s="1968"/>
      <c r="AO691" s="1968"/>
      <c r="AP691" s="1968"/>
      <c r="AQ691" s="1968"/>
      <c r="AR691" s="1968"/>
      <c r="AS691" s="1968"/>
      <c r="AT691" s="1968"/>
      <c r="AU691" s="1968"/>
      <c r="AV691" s="1968"/>
      <c r="AW691" s="1968"/>
      <c r="AX691" s="1968"/>
      <c r="AY691" s="1968"/>
      <c r="AZ691" s="1968"/>
      <c r="BA691" s="1968"/>
      <c r="BB691" s="1968"/>
      <c r="BC691" s="1968"/>
      <c r="BD691" s="1968"/>
      <c r="BE691" s="1968"/>
      <c r="BF691" s="1968"/>
      <c r="BG691" s="7235"/>
    </row>
    <row customHeight="1" ht="11.25">
      <c r="A692" s="1312" t="s">
        <v>1069</v>
      </c>
      <c r="B692" s="1312" t="s">
        <v>1168</v>
      </c>
      <c r="C692" s="1312"/>
      <c r="D692" s="1306"/>
      <c r="E692" s="1316"/>
      <c r="F692" s="1974"/>
      <c r="G692" s="7143" t="s">
        <v>106</v>
      </c>
      <c r="H692" s="2674" t="s">
        <v>94</v>
      </c>
      <c r="I692" s="2675" t="s">
        <v>1169</v>
      </c>
      <c r="J692" s="2644" t="s">
        <v>1174</v>
      </c>
      <c r="K692" s="2676" t="s">
        <v>1319</v>
      </c>
      <c r="L692" s="2266" t="s">
        <v>19</v>
      </c>
      <c r="M692" s="2267"/>
      <c r="N692" s="2129"/>
      <c r="O692" s="1323" t="s">
        <v>398</v>
      </c>
      <c r="P692" s="1324"/>
      <c r="Q692" s="1324"/>
      <c r="R692" s="1324"/>
      <c r="S692" s="1324"/>
      <c r="T692" s="1324"/>
      <c r="U692" s="1324"/>
      <c r="V692" s="1324"/>
      <c r="W692" s="1324"/>
      <c r="X692" s="1324"/>
      <c r="Y692" s="1324"/>
      <c r="Z692" s="1324"/>
      <c r="AA692" s="1324"/>
      <c r="AB692" s="1324"/>
      <c r="AC692" s="1324"/>
      <c r="AD692" s="1324"/>
      <c r="AE692" s="1324"/>
      <c r="AF692" s="2665">
        <v>2029</v>
      </c>
      <c r="AG692" s="2666" t="s">
        <v>1103</v>
      </c>
      <c r="AH692" s="2666" t="s">
        <v>1215</v>
      </c>
      <c r="AI692" s="8647"/>
      <c r="AJ692" s="2666" t="s">
        <v>1105</v>
      </c>
      <c r="AK692" s="2666" t="s">
        <v>1105</v>
      </c>
      <c r="AL692" s="2131"/>
      <c r="AM692" s="1968"/>
      <c r="AN692" s="1968"/>
      <c r="AO692" s="1968"/>
      <c r="AP692" s="1968"/>
      <c r="AQ692" s="1968"/>
      <c r="AR692" s="1968"/>
      <c r="AS692" s="1968"/>
      <c r="AT692" s="1968"/>
      <c r="AU692" s="1968"/>
      <c r="AV692" s="1968"/>
      <c r="AW692" s="1968"/>
      <c r="AX692" s="1968"/>
      <c r="AY692" s="1968"/>
      <c r="AZ692" s="1968"/>
      <c r="BA692" s="1968"/>
      <c r="BB692" s="1968"/>
      <c r="BC692" s="1968"/>
      <c r="BD692" s="1968"/>
      <c r="BE692" s="1968"/>
      <c r="BF692" s="1968"/>
      <c r="BG692" s="7235"/>
    </row>
    <row customHeight="1" ht="11.25">
      <c r="A693" s="1312" t="s">
        <v>1069</v>
      </c>
      <c r="B693" s="1312"/>
      <c r="C693" s="1312"/>
      <c r="D693" s="1306"/>
      <c r="E693" s="1316"/>
      <c r="F693" s="1974"/>
      <c r="G693" s="1975"/>
      <c r="H693" s="2674" t="s">
        <v>94</v>
      </c>
      <c r="I693" s="2675"/>
      <c r="J693" s="2644"/>
      <c r="K693" s="2676"/>
      <c r="L693" s="2266"/>
      <c r="M693" s="2267"/>
      <c r="N693" s="2667"/>
      <c r="O693" s="2668">
        <v>1</v>
      </c>
      <c r="P693" s="2669" t="s">
        <v>63</v>
      </c>
      <c r="Q693" s="8645" t="s">
        <v>1176</v>
      </c>
      <c r="R693" s="8646" t="s">
        <v>1177</v>
      </c>
      <c r="S693" s="8646" t="s">
        <v>113</v>
      </c>
      <c r="T693" s="8646" t="s">
        <v>113</v>
      </c>
      <c r="U693" s="8646" t="s">
        <v>114</v>
      </c>
      <c r="V693" s="8646" t="s">
        <v>1115</v>
      </c>
      <c r="W693" s="8646" t="s">
        <v>1116</v>
      </c>
      <c r="X693" s="8646" t="s">
        <v>1178</v>
      </c>
      <c r="Y693" s="8646" t="s">
        <v>1178</v>
      </c>
      <c r="Z693" s="1321"/>
      <c r="AA693" s="1322"/>
      <c r="AB693" s="1322"/>
      <c r="AC693" s="1326"/>
      <c r="AD693" s="1326"/>
      <c r="AE693" s="1327"/>
      <c r="AF693" s="2665"/>
      <c r="AG693" s="2666"/>
      <c r="AH693" s="2666"/>
      <c r="AI693" s="8647"/>
      <c r="AJ693" s="2666"/>
      <c r="AK693" s="2666"/>
      <c r="AL693" s="2131"/>
      <c r="AM693" s="1968"/>
      <c r="AN693" s="1968"/>
      <c r="AO693" s="1968"/>
      <c r="AP693" s="1968"/>
      <c r="AQ693" s="1968"/>
      <c r="AR693" s="1968"/>
      <c r="AS693" s="1968"/>
      <c r="AT693" s="1968"/>
      <c r="AU693" s="1968"/>
      <c r="AV693" s="1968"/>
      <c r="AW693" s="1968"/>
      <c r="AX693" s="1968"/>
      <c r="AY693" s="1968"/>
      <c r="AZ693" s="1968"/>
      <c r="BA693" s="1968"/>
      <c r="BB693" s="1968"/>
      <c r="BC693" s="1968"/>
      <c r="BD693" s="1968"/>
      <c r="BE693" s="1968"/>
      <c r="BF693" s="1968"/>
      <c r="BG693" s="7235"/>
    </row>
    <row customHeight="1" ht="11.25">
      <c r="A694" s="1312" t="s">
        <v>1069</v>
      </c>
      <c r="B694" s="1312"/>
      <c r="C694" s="1312"/>
      <c r="D694" s="1306"/>
      <c r="E694" s="1316"/>
      <c r="F694" s="1974"/>
      <c r="G694" s="1975"/>
      <c r="H694" s="2674" t="s">
        <v>94</v>
      </c>
      <c r="I694" s="2675"/>
      <c r="J694" s="2644"/>
      <c r="K694" s="2676"/>
      <c r="L694" s="2266"/>
      <c r="M694" s="2267"/>
      <c r="N694" s="2667"/>
      <c r="O694" s="2668"/>
      <c r="P694" s="2670"/>
      <c r="Q694" s="8645"/>
      <c r="R694" s="2672"/>
      <c r="S694" s="2673"/>
      <c r="T694" s="2672"/>
      <c r="U694" s="2672"/>
      <c r="V694" s="2672"/>
      <c r="W694" s="2672"/>
      <c r="X694" s="2672"/>
      <c r="Y694" s="2672"/>
      <c r="Z694" s="1973"/>
      <c r="AA694" s="1939">
        <v>1</v>
      </c>
      <c r="AB694" s="1325" t="s">
        <v>1106</v>
      </c>
      <c r="AC694" s="1315">
        <v>3822</v>
      </c>
      <c r="AD694" s="1325" t="str">
        <f>AB694</f>
        <v>  Прибыль направляемая на инвестиции</v>
      </c>
      <c r="AE694" s="1315">
        <v>0</v>
      </c>
      <c r="AF694" s="2665"/>
      <c r="AG694" s="2666"/>
      <c r="AH694" s="2666"/>
      <c r="AI694" s="8647"/>
      <c r="AJ694" s="2666"/>
      <c r="AK694" s="2666"/>
      <c r="AL694" s="2131"/>
      <c r="AM694" s="1968"/>
      <c r="AN694" s="1968"/>
      <c r="AO694" s="1968"/>
      <c r="AP694" s="1968"/>
      <c r="AQ694" s="1968"/>
      <c r="AR694" s="1968"/>
      <c r="AS694" s="1968"/>
      <c r="AT694" s="1968"/>
      <c r="AU694" s="1968"/>
      <c r="AV694" s="1968"/>
      <c r="AW694" s="1968"/>
      <c r="AX694" s="1968"/>
      <c r="AY694" s="1968"/>
      <c r="AZ694" s="1968"/>
      <c r="BA694" s="1968"/>
      <c r="BB694" s="1968"/>
      <c r="BC694" s="1968"/>
      <c r="BD694" s="1968"/>
      <c r="BE694" s="1968"/>
      <c r="BF694" s="1968"/>
      <c r="BG694" s="7235"/>
    </row>
    <row customHeight="1" ht="11.25">
      <c r="A695" s="1312" t="s">
        <v>1069</v>
      </c>
      <c r="B695" s="1312"/>
      <c r="C695" s="1312"/>
      <c r="D695" s="1306"/>
      <c r="E695" s="1316"/>
      <c r="F695" s="1974"/>
      <c r="G695" s="1975"/>
      <c r="H695" s="2674" t="s">
        <v>94</v>
      </c>
      <c r="I695" s="2675"/>
      <c r="J695" s="2644"/>
      <c r="K695" s="2676"/>
      <c r="L695" s="2266"/>
      <c r="M695" s="2267"/>
      <c r="N695" s="2667"/>
      <c r="O695" s="2668"/>
      <c r="P695" s="2671"/>
      <c r="Q695" s="8645"/>
      <c r="R695" s="2672"/>
      <c r="S695" s="2673"/>
      <c r="T695" s="2672"/>
      <c r="U695" s="2672"/>
      <c r="V695" s="2672"/>
      <c r="W695" s="2672"/>
      <c r="X695" s="2672"/>
      <c r="Y695" s="2672"/>
      <c r="Z695" s="1321"/>
      <c r="AA695" s="1322"/>
      <c r="AB695" s="1387" t="s">
        <v>1107</v>
      </c>
      <c r="AC695" s="1326"/>
      <c r="AD695" s="1326"/>
      <c r="AE695" s="1328"/>
      <c r="AF695" s="2665"/>
      <c r="AG695" s="2666"/>
      <c r="AH695" s="2666"/>
      <c r="AI695" s="8647"/>
      <c r="AJ695" s="2666"/>
      <c r="AK695" s="2666"/>
      <c r="AL695" s="2131"/>
      <c r="AM695" s="1968"/>
      <c r="AN695" s="1968"/>
      <c r="AO695" s="1968"/>
      <c r="AP695" s="1968"/>
      <c r="AQ695" s="1968"/>
      <c r="AR695" s="1968"/>
      <c r="AS695" s="1968"/>
      <c r="AT695" s="1968"/>
      <c r="AU695" s="1968"/>
      <c r="AV695" s="1968"/>
      <c r="AW695" s="1968"/>
      <c r="AX695" s="1968"/>
      <c r="AY695" s="1968"/>
      <c r="AZ695" s="1968"/>
      <c r="BA695" s="1968"/>
      <c r="BB695" s="1968"/>
      <c r="BC695" s="1968"/>
      <c r="BD695" s="1968"/>
      <c r="BE695" s="1968"/>
      <c r="BF695" s="1968"/>
      <c r="BG695" s="7235"/>
    </row>
    <row customHeight="1" ht="11.25">
      <c r="A696" s="1312" t="s">
        <v>1069</v>
      </c>
      <c r="B696" s="1312"/>
      <c r="C696" s="1312"/>
      <c r="D696" s="1306"/>
      <c r="E696" s="1316"/>
      <c r="F696" s="1974"/>
      <c r="G696" s="1975"/>
      <c r="H696" s="2674" t="s">
        <v>94</v>
      </c>
      <c r="I696" s="2675"/>
      <c r="J696" s="2644"/>
      <c r="K696" s="2676"/>
      <c r="L696" s="2266"/>
      <c r="M696" s="2267"/>
      <c r="N696" s="1321"/>
      <c r="O696" s="1322"/>
      <c r="P696" s="1314" t="s">
        <v>1108</v>
      </c>
      <c r="Q696" s="1322"/>
      <c r="R696" s="1322"/>
      <c r="S696" s="1322"/>
      <c r="T696" s="1322"/>
      <c r="U696" s="1322"/>
      <c r="V696" s="1322"/>
      <c r="W696" s="1322"/>
      <c r="X696" s="1322"/>
      <c r="Y696" s="1322"/>
      <c r="Z696" s="1322"/>
      <c r="AA696" s="1322"/>
      <c r="AB696" s="1322"/>
      <c r="AC696" s="1322"/>
      <c r="AD696" s="1322"/>
      <c r="AE696" s="1329"/>
      <c r="AF696" s="2665"/>
      <c r="AG696" s="2666"/>
      <c r="AH696" s="2666"/>
      <c r="AI696" s="8647"/>
      <c r="AJ696" s="2666"/>
      <c r="AK696" s="2666"/>
      <c r="AL696" s="2131"/>
      <c r="AM696" s="1968"/>
      <c r="AN696" s="1968"/>
      <c r="AO696" s="1968"/>
      <c r="AP696" s="1968"/>
      <c r="AQ696" s="1968"/>
      <c r="AR696" s="1968"/>
      <c r="AS696" s="1968"/>
      <c r="AT696" s="1968"/>
      <c r="AU696" s="1968"/>
      <c r="AV696" s="1968"/>
      <c r="AW696" s="1968"/>
      <c r="AX696" s="1968"/>
      <c r="AY696" s="1968"/>
      <c r="AZ696" s="1968"/>
      <c r="BA696" s="1968"/>
      <c r="BB696" s="1968"/>
      <c r="BC696" s="1968"/>
      <c r="BD696" s="1968"/>
      <c r="BE696" s="1968"/>
      <c r="BF696" s="1968"/>
      <c r="BG696" s="7235"/>
    </row>
    <row customHeight="1" ht="11.25">
      <c r="A697" s="1312" t="s">
        <v>1069</v>
      </c>
      <c r="B697" s="1312" t="s">
        <v>1168</v>
      </c>
      <c r="C697" s="1312"/>
      <c r="D697" s="1306"/>
      <c r="E697" s="1316"/>
      <c r="F697" s="1974"/>
      <c r="G697" s="7143" t="s">
        <v>106</v>
      </c>
      <c r="H697" s="2674" t="s">
        <v>123</v>
      </c>
      <c r="I697" s="2675" t="s">
        <v>1169</v>
      </c>
      <c r="J697" s="2644" t="s">
        <v>1174</v>
      </c>
      <c r="K697" s="2676" t="s">
        <v>1320</v>
      </c>
      <c r="L697" s="2266" t="s">
        <v>19</v>
      </c>
      <c r="M697" s="2267"/>
      <c r="N697" s="2129"/>
      <c r="O697" s="1323" t="s">
        <v>398</v>
      </c>
      <c r="P697" s="1324"/>
      <c r="Q697" s="1324"/>
      <c r="R697" s="1324"/>
      <c r="S697" s="1324"/>
      <c r="T697" s="1324"/>
      <c r="U697" s="1324"/>
      <c r="V697" s="1324"/>
      <c r="W697" s="1324"/>
      <c r="X697" s="1324"/>
      <c r="Y697" s="1324"/>
      <c r="Z697" s="1324"/>
      <c r="AA697" s="1324"/>
      <c r="AB697" s="1324"/>
      <c r="AC697" s="1324"/>
      <c r="AD697" s="1324"/>
      <c r="AE697" s="1324"/>
      <c r="AF697" s="2665">
        <v>2026</v>
      </c>
      <c r="AG697" s="2666" t="s">
        <v>1103</v>
      </c>
      <c r="AH697" s="2666" t="s">
        <v>1162</v>
      </c>
      <c r="AI697" s="8647"/>
      <c r="AJ697" s="2666" t="s">
        <v>1105</v>
      </c>
      <c r="AK697" s="2666" t="s">
        <v>1105</v>
      </c>
      <c r="AL697" s="2131"/>
      <c r="AM697" s="1968"/>
      <c r="AN697" s="1968"/>
      <c r="AO697" s="1968"/>
      <c r="AP697" s="1968"/>
      <c r="AQ697" s="1968"/>
      <c r="AR697" s="1968"/>
      <c r="AS697" s="1968"/>
      <c r="AT697" s="1968"/>
      <c r="AU697" s="1968"/>
      <c r="AV697" s="1968"/>
      <c r="AW697" s="1968"/>
      <c r="AX697" s="1968"/>
      <c r="AY697" s="1968"/>
      <c r="AZ697" s="1968"/>
      <c r="BA697" s="1968"/>
      <c r="BB697" s="1968"/>
      <c r="BC697" s="1968"/>
      <c r="BD697" s="1968"/>
      <c r="BE697" s="1968"/>
      <c r="BF697" s="1968"/>
      <c r="BG697" s="7235"/>
    </row>
    <row customHeight="1" ht="11.25">
      <c r="A698" s="1312" t="s">
        <v>1069</v>
      </c>
      <c r="B698" s="1312"/>
      <c r="C698" s="1312"/>
      <c r="D698" s="1306"/>
      <c r="E698" s="1316"/>
      <c r="F698" s="1974"/>
      <c r="G698" s="1975"/>
      <c r="H698" s="2674" t="s">
        <v>123</v>
      </c>
      <c r="I698" s="2675"/>
      <c r="J698" s="2644"/>
      <c r="K698" s="2676"/>
      <c r="L698" s="2266"/>
      <c r="M698" s="2267"/>
      <c r="N698" s="2667"/>
      <c r="O698" s="2668">
        <v>1</v>
      </c>
      <c r="P698" s="2669" t="s">
        <v>63</v>
      </c>
      <c r="Q698" s="8645" t="s">
        <v>133</v>
      </c>
      <c r="R698" s="8646" t="s">
        <v>1114</v>
      </c>
      <c r="S698" s="8646" t="s">
        <v>109</v>
      </c>
      <c r="T698" s="8646" t="s">
        <v>109</v>
      </c>
      <c r="U698" s="8646" t="s">
        <v>110</v>
      </c>
      <c r="V698" s="8646" t="s">
        <v>1192</v>
      </c>
      <c r="W698" s="8646" t="s">
        <v>1193</v>
      </c>
      <c r="X698" s="8646" t="s">
        <v>1194</v>
      </c>
      <c r="Y698" s="8646" t="s">
        <v>1195</v>
      </c>
      <c r="Z698" s="1321"/>
      <c r="AA698" s="1322"/>
      <c r="AB698" s="1322"/>
      <c r="AC698" s="1326"/>
      <c r="AD698" s="1326"/>
      <c r="AE698" s="1327"/>
      <c r="AF698" s="2665"/>
      <c r="AG698" s="2666"/>
      <c r="AH698" s="2666"/>
      <c r="AI698" s="8647"/>
      <c r="AJ698" s="2666"/>
      <c r="AK698" s="2666"/>
      <c r="AL698" s="2131"/>
      <c r="AM698" s="1968"/>
      <c r="AN698" s="1968"/>
      <c r="AO698" s="1968"/>
      <c r="AP698" s="1968"/>
      <c r="AQ698" s="1968"/>
      <c r="AR698" s="1968"/>
      <c r="AS698" s="1968"/>
      <c r="AT698" s="1968"/>
      <c r="AU698" s="1968"/>
      <c r="AV698" s="1968"/>
      <c r="AW698" s="1968"/>
      <c r="AX698" s="1968"/>
      <c r="AY698" s="1968"/>
      <c r="AZ698" s="1968"/>
      <c r="BA698" s="1968"/>
      <c r="BB698" s="1968"/>
      <c r="BC698" s="1968"/>
      <c r="BD698" s="1968"/>
      <c r="BE698" s="1968"/>
      <c r="BF698" s="1968"/>
      <c r="BG698" s="7235"/>
    </row>
    <row customHeight="1" ht="11.25">
      <c r="A699" s="1312" t="s">
        <v>1069</v>
      </c>
      <c r="B699" s="1312"/>
      <c r="C699" s="1312"/>
      <c r="D699" s="1306"/>
      <c r="E699" s="1316"/>
      <c r="F699" s="1974"/>
      <c r="G699" s="1975"/>
      <c r="H699" s="2674" t="s">
        <v>123</v>
      </c>
      <c r="I699" s="2675"/>
      <c r="J699" s="2644"/>
      <c r="K699" s="2676"/>
      <c r="L699" s="2266"/>
      <c r="M699" s="2267"/>
      <c r="N699" s="2667"/>
      <c r="O699" s="2668"/>
      <c r="P699" s="2670"/>
      <c r="Q699" s="8645"/>
      <c r="R699" s="2672"/>
      <c r="S699" s="2673"/>
      <c r="T699" s="2672"/>
      <c r="U699" s="2672"/>
      <c r="V699" s="2672"/>
      <c r="W699" s="2672"/>
      <c r="X699" s="2672"/>
      <c r="Y699" s="2672"/>
      <c r="Z699" s="1973"/>
      <c r="AA699" s="1939">
        <v>1</v>
      </c>
      <c r="AB699" s="1325" t="s">
        <v>1172</v>
      </c>
      <c r="AC699" s="1315">
        <v>18274</v>
      </c>
      <c r="AD699" s="1325" t="str">
        <f>AB699</f>
        <v>  За счет платы за технологическое присоединение</v>
      </c>
      <c r="AE699" s="1315">
        <v>0</v>
      </c>
      <c r="AF699" s="2665"/>
      <c r="AG699" s="2666"/>
      <c r="AH699" s="2666"/>
      <c r="AI699" s="8647"/>
      <c r="AJ699" s="2666"/>
      <c r="AK699" s="2666"/>
      <c r="AL699" s="2131"/>
      <c r="AM699" s="1968"/>
      <c r="AN699" s="1968"/>
      <c r="AO699" s="1968"/>
      <c r="AP699" s="1968"/>
      <c r="AQ699" s="1968"/>
      <c r="AR699" s="1968"/>
      <c r="AS699" s="1968"/>
      <c r="AT699" s="1968"/>
      <c r="AU699" s="1968"/>
      <c r="AV699" s="1968"/>
      <c r="AW699" s="1968"/>
      <c r="AX699" s="1968"/>
      <c r="AY699" s="1968"/>
      <c r="AZ699" s="1968"/>
      <c r="BA699" s="1968"/>
      <c r="BB699" s="1968"/>
      <c r="BC699" s="1968"/>
      <c r="BD699" s="1968"/>
      <c r="BE699" s="1968"/>
      <c r="BF699" s="1968"/>
      <c r="BG699" s="7235"/>
    </row>
    <row customHeight="1" ht="11.25">
      <c r="A700" s="1312" t="s">
        <v>1069</v>
      </c>
      <c r="B700" s="1312"/>
      <c r="C700" s="1312"/>
      <c r="D700" s="1306"/>
      <c r="E700" s="1316"/>
      <c r="F700" s="1974"/>
      <c r="G700" s="1975"/>
      <c r="H700" s="2674" t="s">
        <v>123</v>
      </c>
      <c r="I700" s="2675"/>
      <c r="J700" s="2644"/>
      <c r="K700" s="2676"/>
      <c r="L700" s="2266"/>
      <c r="M700" s="2267"/>
      <c r="N700" s="2667"/>
      <c r="O700" s="2668"/>
      <c r="P700" s="2671"/>
      <c r="Q700" s="8645"/>
      <c r="R700" s="2672"/>
      <c r="S700" s="2673"/>
      <c r="T700" s="2672"/>
      <c r="U700" s="2672"/>
      <c r="V700" s="2672"/>
      <c r="W700" s="2672"/>
      <c r="X700" s="2672"/>
      <c r="Y700" s="2672"/>
      <c r="Z700" s="1321"/>
      <c r="AA700" s="1322"/>
      <c r="AB700" s="1387" t="s">
        <v>1107</v>
      </c>
      <c r="AC700" s="1326"/>
      <c r="AD700" s="1326"/>
      <c r="AE700" s="1328"/>
      <c r="AF700" s="2665"/>
      <c r="AG700" s="2666"/>
      <c r="AH700" s="2666"/>
      <c r="AI700" s="8647"/>
      <c r="AJ700" s="2666"/>
      <c r="AK700" s="2666"/>
      <c r="AL700" s="2131"/>
      <c r="AM700" s="1968"/>
      <c r="AN700" s="1968"/>
      <c r="AO700" s="1968"/>
      <c r="AP700" s="1968"/>
      <c r="AQ700" s="1968"/>
      <c r="AR700" s="1968"/>
      <c r="AS700" s="1968"/>
      <c r="AT700" s="1968"/>
      <c r="AU700" s="1968"/>
      <c r="AV700" s="1968"/>
      <c r="AW700" s="1968"/>
      <c r="AX700" s="1968"/>
      <c r="AY700" s="1968"/>
      <c r="AZ700" s="1968"/>
      <c r="BA700" s="1968"/>
      <c r="BB700" s="1968"/>
      <c r="BC700" s="1968"/>
      <c r="BD700" s="1968"/>
      <c r="BE700" s="1968"/>
      <c r="BF700" s="1968"/>
      <c r="BG700" s="7235"/>
    </row>
    <row customHeight="1" ht="11.25">
      <c r="A701" s="1312" t="s">
        <v>1069</v>
      </c>
      <c r="B701" s="1312"/>
      <c r="C701" s="1312"/>
      <c r="D701" s="1306"/>
      <c r="E701" s="1316"/>
      <c r="F701" s="1974"/>
      <c r="G701" s="1975"/>
      <c r="H701" s="2674" t="s">
        <v>123</v>
      </c>
      <c r="I701" s="2675"/>
      <c r="J701" s="2644"/>
      <c r="K701" s="2676"/>
      <c r="L701" s="2266"/>
      <c r="M701" s="2267"/>
      <c r="N701" s="1321"/>
      <c r="O701" s="1322"/>
      <c r="P701" s="1314" t="s">
        <v>1108</v>
      </c>
      <c r="Q701" s="1322"/>
      <c r="R701" s="1322"/>
      <c r="S701" s="1322"/>
      <c r="T701" s="1322"/>
      <c r="U701" s="1322"/>
      <c r="V701" s="1322"/>
      <c r="W701" s="1322"/>
      <c r="X701" s="1322"/>
      <c r="Y701" s="1322"/>
      <c r="Z701" s="1322"/>
      <c r="AA701" s="1322"/>
      <c r="AB701" s="1322"/>
      <c r="AC701" s="1322"/>
      <c r="AD701" s="1322"/>
      <c r="AE701" s="1329"/>
      <c r="AF701" s="2665"/>
      <c r="AG701" s="2666"/>
      <c r="AH701" s="2666"/>
      <c r="AI701" s="8647"/>
      <c r="AJ701" s="2666"/>
      <c r="AK701" s="2666"/>
      <c r="AL701" s="2131"/>
      <c r="AM701" s="1968"/>
      <c r="AN701" s="1968"/>
      <c r="AO701" s="1968"/>
      <c r="AP701" s="1968"/>
      <c r="AQ701" s="1968"/>
      <c r="AR701" s="1968"/>
      <c r="AS701" s="1968"/>
      <c r="AT701" s="1968"/>
      <c r="AU701" s="1968"/>
      <c r="AV701" s="1968"/>
      <c r="AW701" s="1968"/>
      <c r="AX701" s="1968"/>
      <c r="AY701" s="1968"/>
      <c r="AZ701" s="1968"/>
      <c r="BA701" s="1968"/>
      <c r="BB701" s="1968"/>
      <c r="BC701" s="1968"/>
      <c r="BD701" s="1968"/>
      <c r="BE701" s="1968"/>
      <c r="BF701" s="1968"/>
      <c r="BG701" s="7235"/>
    </row>
    <row customHeight="1" ht="11.25">
      <c r="A702" s="1312" t="s">
        <v>1069</v>
      </c>
      <c r="B702" s="1312" t="s">
        <v>1168</v>
      </c>
      <c r="C702" s="1312"/>
      <c r="D702" s="1306"/>
      <c r="E702" s="1316"/>
      <c r="F702" s="1974"/>
      <c r="G702" s="7143" t="s">
        <v>106</v>
      </c>
      <c r="H702" s="2674" t="s">
        <v>172</v>
      </c>
      <c r="I702" s="2675" t="s">
        <v>1169</v>
      </c>
      <c r="J702" s="2644" t="s">
        <v>1174</v>
      </c>
      <c r="K702" s="2676" t="s">
        <v>1321</v>
      </c>
      <c r="L702" s="2266" t="s">
        <v>19</v>
      </c>
      <c r="M702" s="2267"/>
      <c r="N702" s="2129"/>
      <c r="O702" s="1323" t="s">
        <v>398</v>
      </c>
      <c r="P702" s="1324"/>
      <c r="Q702" s="1324"/>
      <c r="R702" s="1324"/>
      <c r="S702" s="1324"/>
      <c r="T702" s="1324"/>
      <c r="U702" s="1324"/>
      <c r="V702" s="1324"/>
      <c r="W702" s="1324"/>
      <c r="X702" s="1324"/>
      <c r="Y702" s="1324"/>
      <c r="Z702" s="1324"/>
      <c r="AA702" s="1324"/>
      <c r="AB702" s="1324"/>
      <c r="AC702" s="1324"/>
      <c r="AD702" s="1324"/>
      <c r="AE702" s="1324"/>
      <c r="AF702" s="2665">
        <v>2027</v>
      </c>
      <c r="AG702" s="2666" t="s">
        <v>1103</v>
      </c>
      <c r="AH702" s="2666" t="s">
        <v>1164</v>
      </c>
      <c r="AI702" s="8647"/>
      <c r="AJ702" s="2666" t="s">
        <v>1105</v>
      </c>
      <c r="AK702" s="2666" t="s">
        <v>1105</v>
      </c>
      <c r="AL702" s="2131"/>
      <c r="AM702" s="1968"/>
      <c r="AN702" s="1968"/>
      <c r="AO702" s="1968"/>
      <c r="AP702" s="1968"/>
      <c r="AQ702" s="1968"/>
      <c r="AR702" s="1968"/>
      <c r="AS702" s="1968"/>
      <c r="AT702" s="1968"/>
      <c r="AU702" s="1968"/>
      <c r="AV702" s="1968"/>
      <c r="AW702" s="1968"/>
      <c r="AX702" s="1968"/>
      <c r="AY702" s="1968"/>
      <c r="AZ702" s="1968"/>
      <c r="BA702" s="1968"/>
      <c r="BB702" s="1968"/>
      <c r="BC702" s="1968"/>
      <c r="BD702" s="1968"/>
      <c r="BE702" s="1968"/>
      <c r="BF702" s="1968"/>
      <c r="BG702" s="7235"/>
    </row>
    <row customHeight="1" ht="11.25">
      <c r="A703" s="1312" t="s">
        <v>1069</v>
      </c>
      <c r="B703" s="1312"/>
      <c r="C703" s="1312"/>
      <c r="D703" s="1306"/>
      <c r="E703" s="1316"/>
      <c r="F703" s="1974"/>
      <c r="G703" s="1975"/>
      <c r="H703" s="2674" t="s">
        <v>172</v>
      </c>
      <c r="I703" s="2675"/>
      <c r="J703" s="2644"/>
      <c r="K703" s="2676"/>
      <c r="L703" s="2266"/>
      <c r="M703" s="2267"/>
      <c r="N703" s="2667"/>
      <c r="O703" s="2668">
        <v>1</v>
      </c>
      <c r="P703" s="2669" t="s">
        <v>63</v>
      </c>
      <c r="Q703" s="8645" t="s">
        <v>1176</v>
      </c>
      <c r="R703" s="8646" t="s">
        <v>1177</v>
      </c>
      <c r="S703" s="8646" t="s">
        <v>113</v>
      </c>
      <c r="T703" s="8646" t="s">
        <v>113</v>
      </c>
      <c r="U703" s="8646" t="s">
        <v>114</v>
      </c>
      <c r="V703" s="8646" t="s">
        <v>1115</v>
      </c>
      <c r="W703" s="8646" t="s">
        <v>1116</v>
      </c>
      <c r="X703" s="8646" t="s">
        <v>1178</v>
      </c>
      <c r="Y703" s="8646" t="s">
        <v>1178</v>
      </c>
      <c r="Z703" s="1321"/>
      <c r="AA703" s="1322"/>
      <c r="AB703" s="1322"/>
      <c r="AC703" s="1326"/>
      <c r="AD703" s="1326"/>
      <c r="AE703" s="1327"/>
      <c r="AF703" s="2665"/>
      <c r="AG703" s="2666"/>
      <c r="AH703" s="2666"/>
      <c r="AI703" s="8647"/>
      <c r="AJ703" s="2666"/>
      <c r="AK703" s="2666"/>
      <c r="AL703" s="2131"/>
      <c r="AM703" s="1968"/>
      <c r="AN703" s="1968"/>
      <c r="AO703" s="1968"/>
      <c r="AP703" s="1968"/>
      <c r="AQ703" s="1968"/>
      <c r="AR703" s="1968"/>
      <c r="AS703" s="1968"/>
      <c r="AT703" s="1968"/>
      <c r="AU703" s="1968"/>
      <c r="AV703" s="1968"/>
      <c r="AW703" s="1968"/>
      <c r="AX703" s="1968"/>
      <c r="AY703" s="1968"/>
      <c r="AZ703" s="1968"/>
      <c r="BA703" s="1968"/>
      <c r="BB703" s="1968"/>
      <c r="BC703" s="1968"/>
      <c r="BD703" s="1968"/>
      <c r="BE703" s="1968"/>
      <c r="BF703" s="1968"/>
      <c r="BG703" s="7235"/>
    </row>
    <row customHeight="1" ht="11.25">
      <c r="A704" s="1312" t="s">
        <v>1069</v>
      </c>
      <c r="B704" s="1312"/>
      <c r="C704" s="1312"/>
      <c r="D704" s="1306"/>
      <c r="E704" s="1316"/>
      <c r="F704" s="1974"/>
      <c r="G704" s="1975"/>
      <c r="H704" s="2674" t="s">
        <v>172</v>
      </c>
      <c r="I704" s="2675"/>
      <c r="J704" s="2644"/>
      <c r="K704" s="2676"/>
      <c r="L704" s="2266"/>
      <c r="M704" s="2267"/>
      <c r="N704" s="2667"/>
      <c r="O704" s="2668"/>
      <c r="P704" s="2670"/>
      <c r="Q704" s="8645"/>
      <c r="R704" s="2672"/>
      <c r="S704" s="2673"/>
      <c r="T704" s="2672"/>
      <c r="U704" s="2672"/>
      <c r="V704" s="2672"/>
      <c r="W704" s="2672"/>
      <c r="X704" s="2672"/>
      <c r="Y704" s="2672"/>
      <c r="Z704" s="1973"/>
      <c r="AA704" s="1939">
        <v>1</v>
      </c>
      <c r="AB704" s="1325" t="s">
        <v>1172</v>
      </c>
      <c r="AC704" s="1315">
        <v>4113</v>
      </c>
      <c r="AD704" s="1325" t="str">
        <f>AB704</f>
        <v>  За счет платы за технологическое присоединение</v>
      </c>
      <c r="AE704" s="1315">
        <v>0</v>
      </c>
      <c r="AF704" s="2665"/>
      <c r="AG704" s="2666"/>
      <c r="AH704" s="2666"/>
      <c r="AI704" s="8647"/>
      <c r="AJ704" s="2666"/>
      <c r="AK704" s="2666"/>
      <c r="AL704" s="2131"/>
      <c r="AM704" s="1968"/>
      <c r="AN704" s="1968"/>
      <c r="AO704" s="1968"/>
      <c r="AP704" s="1968"/>
      <c r="AQ704" s="1968"/>
      <c r="AR704" s="1968"/>
      <c r="AS704" s="1968"/>
      <c r="AT704" s="1968"/>
      <c r="AU704" s="1968"/>
      <c r="AV704" s="1968"/>
      <c r="AW704" s="1968"/>
      <c r="AX704" s="1968"/>
      <c r="AY704" s="1968"/>
      <c r="AZ704" s="1968"/>
      <c r="BA704" s="1968"/>
      <c r="BB704" s="1968"/>
      <c r="BC704" s="1968"/>
      <c r="BD704" s="1968"/>
      <c r="BE704" s="1968"/>
      <c r="BF704" s="1968"/>
      <c r="BG704" s="7235"/>
    </row>
    <row customHeight="1" ht="11.25">
      <c r="A705" s="1312" t="s">
        <v>1069</v>
      </c>
      <c r="B705" s="1312"/>
      <c r="C705" s="1312"/>
      <c r="D705" s="1306"/>
      <c r="E705" s="1316"/>
      <c r="F705" s="1974"/>
      <c r="G705" s="1975"/>
      <c r="H705" s="2674" t="s">
        <v>172</v>
      </c>
      <c r="I705" s="2675"/>
      <c r="J705" s="2644"/>
      <c r="K705" s="2676"/>
      <c r="L705" s="2266"/>
      <c r="M705" s="2267"/>
      <c r="N705" s="2667"/>
      <c r="O705" s="2668"/>
      <c r="P705" s="2671"/>
      <c r="Q705" s="8645"/>
      <c r="R705" s="2672"/>
      <c r="S705" s="2673"/>
      <c r="T705" s="2672"/>
      <c r="U705" s="2672"/>
      <c r="V705" s="2672"/>
      <c r="W705" s="2672"/>
      <c r="X705" s="2672"/>
      <c r="Y705" s="2672"/>
      <c r="Z705" s="1321"/>
      <c r="AA705" s="1322"/>
      <c r="AB705" s="1387" t="s">
        <v>1107</v>
      </c>
      <c r="AC705" s="1326"/>
      <c r="AD705" s="1326"/>
      <c r="AE705" s="1328"/>
      <c r="AF705" s="2665"/>
      <c r="AG705" s="2666"/>
      <c r="AH705" s="2666"/>
      <c r="AI705" s="8647"/>
      <c r="AJ705" s="2666"/>
      <c r="AK705" s="2666"/>
      <c r="AL705" s="2131"/>
      <c r="AM705" s="1968"/>
      <c r="AN705" s="1968"/>
      <c r="AO705" s="1968"/>
      <c r="AP705" s="1968"/>
      <c r="AQ705" s="1968"/>
      <c r="AR705" s="1968"/>
      <c r="AS705" s="1968"/>
      <c r="AT705" s="1968"/>
      <c r="AU705" s="1968"/>
      <c r="AV705" s="1968"/>
      <c r="AW705" s="1968"/>
      <c r="AX705" s="1968"/>
      <c r="AY705" s="1968"/>
      <c r="AZ705" s="1968"/>
      <c r="BA705" s="1968"/>
      <c r="BB705" s="1968"/>
      <c r="BC705" s="1968"/>
      <c r="BD705" s="1968"/>
      <c r="BE705" s="1968"/>
      <c r="BF705" s="1968"/>
      <c r="BG705" s="7235"/>
    </row>
    <row customHeight="1" ht="11.25">
      <c r="A706" s="1312" t="s">
        <v>1069</v>
      </c>
      <c r="B706" s="1312"/>
      <c r="C706" s="1312"/>
      <c r="D706" s="1306"/>
      <c r="E706" s="1316"/>
      <c r="F706" s="1974"/>
      <c r="G706" s="1975"/>
      <c r="H706" s="2674" t="s">
        <v>172</v>
      </c>
      <c r="I706" s="2675"/>
      <c r="J706" s="2644"/>
      <c r="K706" s="2676"/>
      <c r="L706" s="2266"/>
      <c r="M706" s="2267"/>
      <c r="N706" s="1321"/>
      <c r="O706" s="1322"/>
      <c r="P706" s="1314" t="s">
        <v>1108</v>
      </c>
      <c r="Q706" s="1322"/>
      <c r="R706" s="1322"/>
      <c r="S706" s="1322"/>
      <c r="T706" s="1322"/>
      <c r="U706" s="1322"/>
      <c r="V706" s="1322"/>
      <c r="W706" s="1322"/>
      <c r="X706" s="1322"/>
      <c r="Y706" s="1322"/>
      <c r="Z706" s="1322"/>
      <c r="AA706" s="1322"/>
      <c r="AB706" s="1322"/>
      <c r="AC706" s="1322"/>
      <c r="AD706" s="1322"/>
      <c r="AE706" s="1329"/>
      <c r="AF706" s="2665"/>
      <c r="AG706" s="2666"/>
      <c r="AH706" s="2666"/>
      <c r="AI706" s="8647"/>
      <c r="AJ706" s="2666"/>
      <c r="AK706" s="2666"/>
      <c r="AL706" s="2131"/>
      <c r="AM706" s="1968"/>
      <c r="AN706" s="1968"/>
      <c r="AO706" s="1968"/>
      <c r="AP706" s="1968"/>
      <c r="AQ706" s="1968"/>
      <c r="AR706" s="1968"/>
      <c r="AS706" s="1968"/>
      <c r="AT706" s="1968"/>
      <c r="AU706" s="1968"/>
      <c r="AV706" s="1968"/>
      <c r="AW706" s="1968"/>
      <c r="AX706" s="1968"/>
      <c r="AY706" s="1968"/>
      <c r="AZ706" s="1968"/>
      <c r="BA706" s="1968"/>
      <c r="BB706" s="1968"/>
      <c r="BC706" s="1968"/>
      <c r="BD706" s="1968"/>
      <c r="BE706" s="1968"/>
      <c r="BF706" s="1968"/>
      <c r="BG706" s="7235"/>
    </row>
    <row customHeight="1" ht="11.25">
      <c r="A707" s="1312" t="s">
        <v>1069</v>
      </c>
      <c r="B707" s="1312" t="s">
        <v>1198</v>
      </c>
      <c r="C707" s="1312"/>
      <c r="D707" s="1306"/>
      <c r="E707" s="1316"/>
      <c r="F707" s="1974"/>
      <c r="G707" s="7143" t="s">
        <v>106</v>
      </c>
      <c r="H707" s="2674" t="s">
        <v>173</v>
      </c>
      <c r="I707" s="2675" t="s">
        <v>1200</v>
      </c>
      <c r="J707" s="2644" t="s">
        <v>1201</v>
      </c>
      <c r="K707" s="2676" t="s">
        <v>1288</v>
      </c>
      <c r="L707" s="2266" t="s">
        <v>19</v>
      </c>
      <c r="M707" s="2267"/>
      <c r="N707" s="2129"/>
      <c r="O707" s="1323" t="s">
        <v>398</v>
      </c>
      <c r="P707" s="1324"/>
      <c r="Q707" s="1324"/>
      <c r="R707" s="1324"/>
      <c r="S707" s="1324"/>
      <c r="T707" s="1324"/>
      <c r="U707" s="1324"/>
      <c r="V707" s="1324"/>
      <c r="W707" s="1324"/>
      <c r="X707" s="1324"/>
      <c r="Y707" s="1324"/>
      <c r="Z707" s="1324"/>
      <c r="AA707" s="1324"/>
      <c r="AB707" s="1324"/>
      <c r="AC707" s="1324"/>
      <c r="AD707" s="1324"/>
      <c r="AE707" s="1324"/>
      <c r="AF707" s="2665">
        <v>2028</v>
      </c>
      <c r="AG707" s="2666" t="s">
        <v>1103</v>
      </c>
      <c r="AH707" s="2666" t="s">
        <v>1228</v>
      </c>
      <c r="AI707" s="8647"/>
      <c r="AJ707" s="2666" t="s">
        <v>1105</v>
      </c>
      <c r="AK707" s="2666" t="s">
        <v>1105</v>
      </c>
      <c r="AL707" s="2131"/>
      <c r="AM707" s="1968"/>
      <c r="AN707" s="1968"/>
      <c r="AO707" s="1968"/>
      <c r="AP707" s="1968"/>
      <c r="AQ707" s="1968"/>
      <c r="AR707" s="1968"/>
      <c r="AS707" s="1968"/>
      <c r="AT707" s="1968"/>
      <c r="AU707" s="1968"/>
      <c r="AV707" s="1968"/>
      <c r="AW707" s="1968"/>
      <c r="AX707" s="1968"/>
      <c r="AY707" s="1968"/>
      <c r="AZ707" s="1968"/>
      <c r="BA707" s="1968"/>
      <c r="BB707" s="1968"/>
      <c r="BC707" s="1968"/>
      <c r="BD707" s="1968"/>
      <c r="BE707" s="1968"/>
      <c r="BF707" s="1968"/>
      <c r="BG707" s="7235"/>
    </row>
    <row customHeight="1" ht="11.25">
      <c r="A708" s="1312" t="s">
        <v>1069</v>
      </c>
      <c r="B708" s="1312"/>
      <c r="C708" s="1312"/>
      <c r="D708" s="1306"/>
      <c r="E708" s="1316"/>
      <c r="F708" s="1974"/>
      <c r="G708" s="1975"/>
      <c r="H708" s="2674" t="s">
        <v>173</v>
      </c>
      <c r="I708" s="2675"/>
      <c r="J708" s="2644"/>
      <c r="K708" s="2676"/>
      <c r="L708" s="2266"/>
      <c r="M708" s="2267"/>
      <c r="N708" s="2667"/>
      <c r="O708" s="2668">
        <v>1</v>
      </c>
      <c r="P708" s="2669" t="s">
        <v>63</v>
      </c>
      <c r="Q708" s="8645" t="s">
        <v>1208</v>
      </c>
      <c r="R708" s="8646" t="s">
        <v>1114</v>
      </c>
      <c r="S708" s="8646" t="s">
        <v>113</v>
      </c>
      <c r="T708" s="8646" t="s">
        <v>113</v>
      </c>
      <c r="U708" s="8646" t="s">
        <v>114</v>
      </c>
      <c r="V708" s="8646" t="s">
        <v>1115</v>
      </c>
      <c r="W708" s="8646" t="s">
        <v>1116</v>
      </c>
      <c r="X708" s="8646" t="s">
        <v>1209</v>
      </c>
      <c r="Y708" s="8646" t="s">
        <v>121</v>
      </c>
      <c r="Z708" s="1321"/>
      <c r="AA708" s="1322"/>
      <c r="AB708" s="1322"/>
      <c r="AC708" s="1326"/>
      <c r="AD708" s="1326"/>
      <c r="AE708" s="1327"/>
      <c r="AF708" s="2665"/>
      <c r="AG708" s="2666"/>
      <c r="AH708" s="2666"/>
      <c r="AI708" s="8647"/>
      <c r="AJ708" s="2666"/>
      <c r="AK708" s="2666"/>
      <c r="AL708" s="2131"/>
      <c r="AM708" s="1968"/>
      <c r="AN708" s="1968"/>
      <c r="AO708" s="1968"/>
      <c r="AP708" s="1968"/>
      <c r="AQ708" s="1968"/>
      <c r="AR708" s="1968"/>
      <c r="AS708" s="1968"/>
      <c r="AT708" s="1968"/>
      <c r="AU708" s="1968"/>
      <c r="AV708" s="1968"/>
      <c r="AW708" s="1968"/>
      <c r="AX708" s="1968"/>
      <c r="AY708" s="1968"/>
      <c r="AZ708" s="1968"/>
      <c r="BA708" s="1968"/>
      <c r="BB708" s="1968"/>
      <c r="BC708" s="1968"/>
      <c r="BD708" s="1968"/>
      <c r="BE708" s="1968"/>
      <c r="BF708" s="1968"/>
      <c r="BG708" s="7235"/>
    </row>
    <row customHeight="1" ht="11.25">
      <c r="A709" s="1312" t="s">
        <v>1069</v>
      </c>
      <c r="B709" s="1312"/>
      <c r="C709" s="1312"/>
      <c r="D709" s="1306"/>
      <c r="E709" s="1316"/>
      <c r="F709" s="1974"/>
      <c r="G709" s="1975"/>
      <c r="H709" s="2674" t="s">
        <v>173</v>
      </c>
      <c r="I709" s="2675"/>
      <c r="J709" s="2644"/>
      <c r="K709" s="2676"/>
      <c r="L709" s="2266"/>
      <c r="M709" s="2267"/>
      <c r="N709" s="2667"/>
      <c r="O709" s="2668"/>
      <c r="P709" s="2670"/>
      <c r="Q709" s="8645"/>
      <c r="R709" s="2672"/>
      <c r="S709" s="2673"/>
      <c r="T709" s="2672"/>
      <c r="U709" s="2672"/>
      <c r="V709" s="2672"/>
      <c r="W709" s="2672"/>
      <c r="X709" s="2672"/>
      <c r="Y709" s="2672"/>
      <c r="Z709" s="1973"/>
      <c r="AA709" s="1939">
        <v>1</v>
      </c>
      <c r="AB709" s="1325" t="s">
        <v>1106</v>
      </c>
      <c r="AC709" s="1315">
        <v>29523</v>
      </c>
      <c r="AD709" s="1325" t="str">
        <f>AB709</f>
        <v>  Прибыль направляемая на инвестиции</v>
      </c>
      <c r="AE709" s="1315">
        <v>0</v>
      </c>
      <c r="AF709" s="2665"/>
      <c r="AG709" s="2666"/>
      <c r="AH709" s="2666"/>
      <c r="AI709" s="8647"/>
      <c r="AJ709" s="2666"/>
      <c r="AK709" s="2666"/>
      <c r="AL709" s="2131"/>
      <c r="AM709" s="1968"/>
      <c r="AN709" s="1968"/>
      <c r="AO709" s="1968"/>
      <c r="AP709" s="1968"/>
      <c r="AQ709" s="1968"/>
      <c r="AR709" s="1968"/>
      <c r="AS709" s="1968"/>
      <c r="AT709" s="1968"/>
      <c r="AU709" s="1968"/>
      <c r="AV709" s="1968"/>
      <c r="AW709" s="1968"/>
      <c r="AX709" s="1968"/>
      <c r="AY709" s="1968"/>
      <c r="AZ709" s="1968"/>
      <c r="BA709" s="1968"/>
      <c r="BB709" s="1968"/>
      <c r="BC709" s="1968"/>
      <c r="BD709" s="1968"/>
      <c r="BE709" s="1968"/>
      <c r="BF709" s="1968"/>
      <c r="BG709" s="7235"/>
    </row>
    <row customHeight="1" ht="11.25">
      <c r="A710" s="1312" t="s">
        <v>1069</v>
      </c>
      <c r="B710" s="1312"/>
      <c r="C710" s="1312"/>
      <c r="D710" s="1306"/>
      <c r="E710" s="1316"/>
      <c r="F710" s="1974"/>
      <c r="G710" s="1975"/>
      <c r="H710" s="2674" t="s">
        <v>173</v>
      </c>
      <c r="I710" s="2675"/>
      <c r="J710" s="2644"/>
      <c r="K710" s="2676"/>
      <c r="L710" s="2266"/>
      <c r="M710" s="2267"/>
      <c r="N710" s="2667"/>
      <c r="O710" s="2668"/>
      <c r="P710" s="2671"/>
      <c r="Q710" s="8645"/>
      <c r="R710" s="2672"/>
      <c r="S710" s="2673"/>
      <c r="T710" s="2672"/>
      <c r="U710" s="2672"/>
      <c r="V710" s="2672"/>
      <c r="W710" s="2672"/>
      <c r="X710" s="2672"/>
      <c r="Y710" s="2672"/>
      <c r="Z710" s="1321"/>
      <c r="AA710" s="1322"/>
      <c r="AB710" s="1387" t="s">
        <v>1107</v>
      </c>
      <c r="AC710" s="1326"/>
      <c r="AD710" s="1326"/>
      <c r="AE710" s="1328"/>
      <c r="AF710" s="2665"/>
      <c r="AG710" s="2666"/>
      <c r="AH710" s="2666"/>
      <c r="AI710" s="8647"/>
      <c r="AJ710" s="2666"/>
      <c r="AK710" s="2666"/>
      <c r="AL710" s="2131"/>
      <c r="AM710" s="1968"/>
      <c r="AN710" s="1968"/>
      <c r="AO710" s="1968"/>
      <c r="AP710" s="1968"/>
      <c r="AQ710" s="1968"/>
      <c r="AR710" s="1968"/>
      <c r="AS710" s="1968"/>
      <c r="AT710" s="1968"/>
      <c r="AU710" s="1968"/>
      <c r="AV710" s="1968"/>
      <c r="AW710" s="1968"/>
      <c r="AX710" s="1968"/>
      <c r="AY710" s="1968"/>
      <c r="AZ710" s="1968"/>
      <c r="BA710" s="1968"/>
      <c r="BB710" s="1968"/>
      <c r="BC710" s="1968"/>
      <c r="BD710" s="1968"/>
      <c r="BE710" s="1968"/>
      <c r="BF710" s="1968"/>
      <c r="BG710" s="7235"/>
    </row>
    <row customHeight="1" ht="11.25">
      <c r="A711" s="1312" t="s">
        <v>1069</v>
      </c>
      <c r="B711" s="1312"/>
      <c r="C711" s="1312"/>
      <c r="D711" s="1306"/>
      <c r="E711" s="1316"/>
      <c r="F711" s="1974"/>
      <c r="G711" s="1975"/>
      <c r="H711" s="2674" t="s">
        <v>173</v>
      </c>
      <c r="I711" s="2675"/>
      <c r="J711" s="2644"/>
      <c r="K711" s="2676"/>
      <c r="L711" s="2266"/>
      <c r="M711" s="2267"/>
      <c r="N711" s="1321"/>
      <c r="O711" s="1322"/>
      <c r="P711" s="1314" t="s">
        <v>1108</v>
      </c>
      <c r="Q711" s="1322"/>
      <c r="R711" s="1322"/>
      <c r="S711" s="1322"/>
      <c r="T711" s="1322"/>
      <c r="U711" s="1322"/>
      <c r="V711" s="1322"/>
      <c r="W711" s="1322"/>
      <c r="X711" s="1322"/>
      <c r="Y711" s="1322"/>
      <c r="Z711" s="1322"/>
      <c r="AA711" s="1322"/>
      <c r="AB711" s="1322"/>
      <c r="AC711" s="1322"/>
      <c r="AD711" s="1322"/>
      <c r="AE711" s="1329"/>
      <c r="AF711" s="2665"/>
      <c r="AG711" s="2666"/>
      <c r="AH711" s="2666"/>
      <c r="AI711" s="8647"/>
      <c r="AJ711" s="2666"/>
      <c r="AK711" s="2666"/>
      <c r="AL711" s="2131"/>
      <c r="AM711" s="1968"/>
      <c r="AN711" s="1968"/>
      <c r="AO711" s="1968"/>
      <c r="AP711" s="1968"/>
      <c r="AQ711" s="1968"/>
      <c r="AR711" s="1968"/>
      <c r="AS711" s="1968"/>
      <c r="AT711" s="1968"/>
      <c r="AU711" s="1968"/>
      <c r="AV711" s="1968"/>
      <c r="AW711" s="1968"/>
      <c r="AX711" s="1968"/>
      <c r="AY711" s="1968"/>
      <c r="AZ711" s="1968"/>
      <c r="BA711" s="1968"/>
      <c r="BB711" s="1968"/>
      <c r="BC711" s="1968"/>
      <c r="BD711" s="1968"/>
      <c r="BE711" s="1968"/>
      <c r="BF711" s="1968"/>
      <c r="BG711" s="7235"/>
    </row>
    <row customHeight="1" ht="11.25">
      <c r="A712" s="1312" t="s">
        <v>1069</v>
      </c>
      <c r="B712" s="1312" t="s">
        <v>1198</v>
      </c>
      <c r="C712" s="1312"/>
      <c r="D712" s="1306"/>
      <c r="E712" s="1316"/>
      <c r="F712" s="1974"/>
      <c r="G712" s="7143" t="s">
        <v>106</v>
      </c>
      <c r="H712" s="2674" t="s">
        <v>174</v>
      </c>
      <c r="I712" s="2675" t="s">
        <v>1200</v>
      </c>
      <c r="J712" s="2644" t="s">
        <v>1201</v>
      </c>
      <c r="K712" s="2676" t="s">
        <v>1289</v>
      </c>
      <c r="L712" s="2266" t="s">
        <v>19</v>
      </c>
      <c r="M712" s="2267"/>
      <c r="N712" s="2129"/>
      <c r="O712" s="1323" t="s">
        <v>398</v>
      </c>
      <c r="P712" s="1324"/>
      <c r="Q712" s="1324"/>
      <c r="R712" s="1324"/>
      <c r="S712" s="1324"/>
      <c r="T712" s="1324"/>
      <c r="U712" s="1324"/>
      <c r="V712" s="1324"/>
      <c r="W712" s="1324"/>
      <c r="X712" s="1324"/>
      <c r="Y712" s="1324"/>
      <c r="Z712" s="1324"/>
      <c r="AA712" s="1324"/>
      <c r="AB712" s="1324"/>
      <c r="AC712" s="1324"/>
      <c r="AD712" s="1324"/>
      <c r="AE712" s="1324"/>
      <c r="AF712" s="2665">
        <v>2026</v>
      </c>
      <c r="AG712" s="2666" t="s">
        <v>1103</v>
      </c>
      <c r="AH712" s="2666" t="s">
        <v>1162</v>
      </c>
      <c r="AI712" s="8647"/>
      <c r="AJ712" s="2666" t="s">
        <v>1105</v>
      </c>
      <c r="AK712" s="2666" t="s">
        <v>1105</v>
      </c>
      <c r="AL712" s="2131"/>
      <c r="AM712" s="1968"/>
      <c r="AN712" s="1968"/>
      <c r="AO712" s="1968"/>
      <c r="AP712" s="1968"/>
      <c r="AQ712" s="1968"/>
      <c r="AR712" s="1968"/>
      <c r="AS712" s="1968"/>
      <c r="AT712" s="1968"/>
      <c r="AU712" s="1968"/>
      <c r="AV712" s="1968"/>
      <c r="AW712" s="1968"/>
      <c r="AX712" s="1968"/>
      <c r="AY712" s="1968"/>
      <c r="AZ712" s="1968"/>
      <c r="BA712" s="1968"/>
      <c r="BB712" s="1968"/>
      <c r="BC712" s="1968"/>
      <c r="BD712" s="1968"/>
      <c r="BE712" s="1968"/>
      <c r="BF712" s="1968"/>
      <c r="BG712" s="7235"/>
    </row>
    <row customHeight="1" ht="11.25">
      <c r="A713" s="1312" t="s">
        <v>1069</v>
      </c>
      <c r="B713" s="1312"/>
      <c r="C713" s="1312"/>
      <c r="D713" s="1306"/>
      <c r="E713" s="1316"/>
      <c r="F713" s="1974"/>
      <c r="G713" s="1975"/>
      <c r="H713" s="2674" t="s">
        <v>174</v>
      </c>
      <c r="I713" s="2675"/>
      <c r="J713" s="2644"/>
      <c r="K713" s="2676"/>
      <c r="L713" s="2266"/>
      <c r="M713" s="2267"/>
      <c r="N713" s="2667"/>
      <c r="O713" s="2668">
        <v>1</v>
      </c>
      <c r="P713" s="2669" t="s">
        <v>63</v>
      </c>
      <c r="Q713" s="8645" t="s">
        <v>1176</v>
      </c>
      <c r="R713" s="8646" t="s">
        <v>1177</v>
      </c>
      <c r="S713" s="8646" t="s">
        <v>113</v>
      </c>
      <c r="T713" s="8646" t="s">
        <v>113</v>
      </c>
      <c r="U713" s="8646" t="s">
        <v>114</v>
      </c>
      <c r="V713" s="8646" t="s">
        <v>1115</v>
      </c>
      <c r="W713" s="8646" t="s">
        <v>1116</v>
      </c>
      <c r="X713" s="8646" t="s">
        <v>1178</v>
      </c>
      <c r="Y713" s="8646" t="s">
        <v>1178</v>
      </c>
      <c r="Z713" s="1321"/>
      <c r="AA713" s="1322"/>
      <c r="AB713" s="1322"/>
      <c r="AC713" s="1326"/>
      <c r="AD713" s="1326"/>
      <c r="AE713" s="1327"/>
      <c r="AF713" s="2665"/>
      <c r="AG713" s="2666"/>
      <c r="AH713" s="2666"/>
      <c r="AI713" s="8647"/>
      <c r="AJ713" s="2666"/>
      <c r="AK713" s="2666"/>
      <c r="AL713" s="2131"/>
      <c r="AM713" s="1968"/>
      <c r="AN713" s="1968"/>
      <c r="AO713" s="1968"/>
      <c r="AP713" s="1968"/>
      <c r="AQ713" s="1968"/>
      <c r="AR713" s="1968"/>
      <c r="AS713" s="1968"/>
      <c r="AT713" s="1968"/>
      <c r="AU713" s="1968"/>
      <c r="AV713" s="1968"/>
      <c r="AW713" s="1968"/>
      <c r="AX713" s="1968"/>
      <c r="AY713" s="1968"/>
      <c r="AZ713" s="1968"/>
      <c r="BA713" s="1968"/>
      <c r="BB713" s="1968"/>
      <c r="BC713" s="1968"/>
      <c r="BD713" s="1968"/>
      <c r="BE713" s="1968"/>
      <c r="BF713" s="1968"/>
      <c r="BG713" s="7235"/>
    </row>
    <row customHeight="1" ht="11.25">
      <c r="A714" s="1312" t="s">
        <v>1069</v>
      </c>
      <c r="B714" s="1312"/>
      <c r="C714" s="1312"/>
      <c r="D714" s="1306"/>
      <c r="E714" s="1316"/>
      <c r="F714" s="1974"/>
      <c r="G714" s="1975"/>
      <c r="H714" s="2674" t="s">
        <v>174</v>
      </c>
      <c r="I714" s="2675"/>
      <c r="J714" s="2644"/>
      <c r="K714" s="2676"/>
      <c r="L714" s="2266"/>
      <c r="M714" s="2267"/>
      <c r="N714" s="2667"/>
      <c r="O714" s="2668"/>
      <c r="P714" s="2670"/>
      <c r="Q714" s="8645"/>
      <c r="R714" s="2672"/>
      <c r="S714" s="2673"/>
      <c r="T714" s="2672"/>
      <c r="U714" s="2672"/>
      <c r="V714" s="2672"/>
      <c r="W714" s="2672"/>
      <c r="X714" s="2672"/>
      <c r="Y714" s="2672"/>
      <c r="Z714" s="1973"/>
      <c r="AA714" s="1939">
        <v>1</v>
      </c>
      <c r="AB714" s="1325" t="s">
        <v>1131</v>
      </c>
      <c r="AC714" s="1315">
        <v>12251</v>
      </c>
      <c r="AD714" s="1325" t="str">
        <f>AB714</f>
        <v>      Прочие амортизационные отчисления</v>
      </c>
      <c r="AE714" s="1315">
        <v>0</v>
      </c>
      <c r="AF714" s="2665"/>
      <c r="AG714" s="2666"/>
      <c r="AH714" s="2666"/>
      <c r="AI714" s="8647"/>
      <c r="AJ714" s="2666"/>
      <c r="AK714" s="2666"/>
      <c r="AL714" s="2131"/>
      <c r="AM714" s="1968"/>
      <c r="AN714" s="1968"/>
      <c r="AO714" s="1968"/>
      <c r="AP714" s="1968"/>
      <c r="AQ714" s="1968"/>
      <c r="AR714" s="1968"/>
      <c r="AS714" s="1968"/>
      <c r="AT714" s="1968"/>
      <c r="AU714" s="1968"/>
      <c r="AV714" s="1968"/>
      <c r="AW714" s="1968"/>
      <c r="AX714" s="1968"/>
      <c r="AY714" s="1968"/>
      <c r="AZ714" s="1968"/>
      <c r="BA714" s="1968"/>
      <c r="BB714" s="1968"/>
      <c r="BC714" s="1968"/>
      <c r="BD714" s="1968"/>
      <c r="BE714" s="1968"/>
      <c r="BF714" s="1968"/>
      <c r="BG714" s="7235"/>
    </row>
    <row customHeight="1" ht="11.25">
      <c r="A715" s="1312" t="s">
        <v>1069</v>
      </c>
      <c r="B715" s="1312"/>
      <c r="C715" s="1312"/>
      <c r="D715" s="1306"/>
      <c r="E715" s="1316"/>
      <c r="F715" s="1974"/>
      <c r="G715" s="1975"/>
      <c r="H715" s="2674" t="s">
        <v>174</v>
      </c>
      <c r="I715" s="2675"/>
      <c r="J715" s="2644"/>
      <c r="K715" s="2676"/>
      <c r="L715" s="2266"/>
      <c r="M715" s="2267"/>
      <c r="N715" s="2667"/>
      <c r="O715" s="2668"/>
      <c r="P715" s="2671"/>
      <c r="Q715" s="8645"/>
      <c r="R715" s="2672"/>
      <c r="S715" s="2673"/>
      <c r="T715" s="2672"/>
      <c r="U715" s="2672"/>
      <c r="V715" s="2672"/>
      <c r="W715" s="2672"/>
      <c r="X715" s="2672"/>
      <c r="Y715" s="2672"/>
      <c r="Z715" s="1321"/>
      <c r="AA715" s="1322"/>
      <c r="AB715" s="1387" t="s">
        <v>1107</v>
      </c>
      <c r="AC715" s="1326"/>
      <c r="AD715" s="1326"/>
      <c r="AE715" s="1328"/>
      <c r="AF715" s="2665"/>
      <c r="AG715" s="2666"/>
      <c r="AH715" s="2666"/>
      <c r="AI715" s="8647"/>
      <c r="AJ715" s="2666"/>
      <c r="AK715" s="2666"/>
      <c r="AL715" s="2131"/>
      <c r="AM715" s="1968"/>
      <c r="AN715" s="1968"/>
      <c r="AO715" s="1968"/>
      <c r="AP715" s="1968"/>
      <c r="AQ715" s="1968"/>
      <c r="AR715" s="1968"/>
      <c r="AS715" s="1968"/>
      <c r="AT715" s="1968"/>
      <c r="AU715" s="1968"/>
      <c r="AV715" s="1968"/>
      <c r="AW715" s="1968"/>
      <c r="AX715" s="1968"/>
      <c r="AY715" s="1968"/>
      <c r="AZ715" s="1968"/>
      <c r="BA715" s="1968"/>
      <c r="BB715" s="1968"/>
      <c r="BC715" s="1968"/>
      <c r="BD715" s="1968"/>
      <c r="BE715" s="1968"/>
      <c r="BF715" s="1968"/>
      <c r="BG715" s="7235"/>
    </row>
    <row customHeight="1" ht="11.25">
      <c r="A716" s="1312" t="s">
        <v>1069</v>
      </c>
      <c r="B716" s="1312"/>
      <c r="C716" s="1312"/>
      <c r="D716" s="1306"/>
      <c r="E716" s="1316"/>
      <c r="F716" s="1974"/>
      <c r="G716" s="1975"/>
      <c r="H716" s="2674" t="s">
        <v>174</v>
      </c>
      <c r="I716" s="2675"/>
      <c r="J716" s="2644"/>
      <c r="K716" s="2676"/>
      <c r="L716" s="2266"/>
      <c r="M716" s="2267"/>
      <c r="N716" s="1321"/>
      <c r="O716" s="1322"/>
      <c r="P716" s="1314" t="s">
        <v>1108</v>
      </c>
      <c r="Q716" s="1322"/>
      <c r="R716" s="1322"/>
      <c r="S716" s="1322"/>
      <c r="T716" s="1322"/>
      <c r="U716" s="1322"/>
      <c r="V716" s="1322"/>
      <c r="W716" s="1322"/>
      <c r="X716" s="1322"/>
      <c r="Y716" s="1322"/>
      <c r="Z716" s="1322"/>
      <c r="AA716" s="1322"/>
      <c r="AB716" s="1322"/>
      <c r="AC716" s="1322"/>
      <c r="AD716" s="1322"/>
      <c r="AE716" s="1329"/>
      <c r="AF716" s="2665"/>
      <c r="AG716" s="2666"/>
      <c r="AH716" s="2666"/>
      <c r="AI716" s="8647"/>
      <c r="AJ716" s="2666"/>
      <c r="AK716" s="2666"/>
      <c r="AL716" s="2131"/>
      <c r="AM716" s="1968"/>
      <c r="AN716" s="1968"/>
      <c r="AO716" s="1968"/>
      <c r="AP716" s="1968"/>
      <c r="AQ716" s="1968"/>
      <c r="AR716" s="1968"/>
      <c r="AS716" s="1968"/>
      <c r="AT716" s="1968"/>
      <c r="AU716" s="1968"/>
      <c r="AV716" s="1968"/>
      <c r="AW716" s="1968"/>
      <c r="AX716" s="1968"/>
      <c r="AY716" s="1968"/>
      <c r="AZ716" s="1968"/>
      <c r="BA716" s="1968"/>
      <c r="BB716" s="1968"/>
      <c r="BC716" s="1968"/>
      <c r="BD716" s="1968"/>
      <c r="BE716" s="1968"/>
      <c r="BF716" s="1968"/>
      <c r="BG716" s="7235"/>
    </row>
    <row customHeight="1" ht="11.25">
      <c r="A717" s="1312" t="s">
        <v>1069</v>
      </c>
      <c r="B717" s="1312" t="s">
        <v>1198</v>
      </c>
      <c r="C717" s="1312"/>
      <c r="D717" s="1306"/>
      <c r="E717" s="1316"/>
      <c r="F717" s="1974"/>
      <c r="G717" s="7143" t="s">
        <v>106</v>
      </c>
      <c r="H717" s="2674" t="s">
        <v>175</v>
      </c>
      <c r="I717" s="2675" t="s">
        <v>1200</v>
      </c>
      <c r="J717" s="2644" t="s">
        <v>1201</v>
      </c>
      <c r="K717" s="2676" t="s">
        <v>1322</v>
      </c>
      <c r="L717" s="2266" t="s">
        <v>19</v>
      </c>
      <c r="M717" s="2267"/>
      <c r="N717" s="2129"/>
      <c r="O717" s="1323" t="s">
        <v>398</v>
      </c>
      <c r="P717" s="1324"/>
      <c r="Q717" s="1324"/>
      <c r="R717" s="1324"/>
      <c r="S717" s="1324"/>
      <c r="T717" s="1324"/>
      <c r="U717" s="1324"/>
      <c r="V717" s="1324"/>
      <c r="W717" s="1324"/>
      <c r="X717" s="1324"/>
      <c r="Y717" s="1324"/>
      <c r="Z717" s="1324"/>
      <c r="AA717" s="1324"/>
      <c r="AB717" s="1324"/>
      <c r="AC717" s="1324"/>
      <c r="AD717" s="1324"/>
      <c r="AE717" s="1324"/>
      <c r="AF717" s="2665">
        <v>2028</v>
      </c>
      <c r="AG717" s="2666" t="s">
        <v>1103</v>
      </c>
      <c r="AH717" s="2666" t="s">
        <v>1228</v>
      </c>
      <c r="AI717" s="8647"/>
      <c r="AJ717" s="2666" t="s">
        <v>1105</v>
      </c>
      <c r="AK717" s="2666" t="s">
        <v>1105</v>
      </c>
      <c r="AL717" s="2131"/>
      <c r="AM717" s="1968"/>
      <c r="AN717" s="1968"/>
      <c r="AO717" s="1968"/>
      <c r="AP717" s="1968"/>
      <c r="AQ717" s="1968"/>
      <c r="AR717" s="1968"/>
      <c r="AS717" s="1968"/>
      <c r="AT717" s="1968"/>
      <c r="AU717" s="1968"/>
      <c r="AV717" s="1968"/>
      <c r="AW717" s="1968"/>
      <c r="AX717" s="1968"/>
      <c r="AY717" s="1968"/>
      <c r="AZ717" s="1968"/>
      <c r="BA717" s="1968"/>
      <c r="BB717" s="1968"/>
      <c r="BC717" s="1968"/>
      <c r="BD717" s="1968"/>
      <c r="BE717" s="1968"/>
      <c r="BF717" s="1968"/>
      <c r="BG717" s="7235"/>
    </row>
    <row customHeight="1" ht="11.25">
      <c r="A718" s="1312" t="s">
        <v>1069</v>
      </c>
      <c r="B718" s="1312"/>
      <c r="C718" s="1312"/>
      <c r="D718" s="1306"/>
      <c r="E718" s="1316"/>
      <c r="F718" s="1974"/>
      <c r="G718" s="1975"/>
      <c r="H718" s="2674" t="s">
        <v>175</v>
      </c>
      <c r="I718" s="2675"/>
      <c r="J718" s="2644"/>
      <c r="K718" s="2676"/>
      <c r="L718" s="2266"/>
      <c r="M718" s="2267"/>
      <c r="N718" s="2667"/>
      <c r="O718" s="2668">
        <v>1</v>
      </c>
      <c r="P718" s="2669" t="s">
        <v>63</v>
      </c>
      <c r="Q718" s="8645" t="s">
        <v>1176</v>
      </c>
      <c r="R718" s="8646" t="s">
        <v>1177</v>
      </c>
      <c r="S718" s="8646" t="s">
        <v>113</v>
      </c>
      <c r="T718" s="8646" t="s">
        <v>113</v>
      </c>
      <c r="U718" s="8646" t="s">
        <v>114</v>
      </c>
      <c r="V718" s="8646" t="s">
        <v>1115</v>
      </c>
      <c r="W718" s="8646" t="s">
        <v>1116</v>
      </c>
      <c r="X718" s="8646" t="s">
        <v>1178</v>
      </c>
      <c r="Y718" s="8646" t="s">
        <v>1178</v>
      </c>
      <c r="Z718" s="1321"/>
      <c r="AA718" s="1322"/>
      <c r="AB718" s="1322"/>
      <c r="AC718" s="1326"/>
      <c r="AD718" s="1326"/>
      <c r="AE718" s="1327"/>
      <c r="AF718" s="2665"/>
      <c r="AG718" s="2666"/>
      <c r="AH718" s="2666"/>
      <c r="AI718" s="8647"/>
      <c r="AJ718" s="2666"/>
      <c r="AK718" s="2666"/>
      <c r="AL718" s="2131"/>
      <c r="AM718" s="1968"/>
      <c r="AN718" s="1968"/>
      <c r="AO718" s="1968"/>
      <c r="AP718" s="1968"/>
      <c r="AQ718" s="1968"/>
      <c r="AR718" s="1968"/>
      <c r="AS718" s="1968"/>
      <c r="AT718" s="1968"/>
      <c r="AU718" s="1968"/>
      <c r="AV718" s="1968"/>
      <c r="AW718" s="1968"/>
      <c r="AX718" s="1968"/>
      <c r="AY718" s="1968"/>
      <c r="AZ718" s="1968"/>
      <c r="BA718" s="1968"/>
      <c r="BB718" s="1968"/>
      <c r="BC718" s="1968"/>
      <c r="BD718" s="1968"/>
      <c r="BE718" s="1968"/>
      <c r="BF718" s="1968"/>
      <c r="BG718" s="7235"/>
    </row>
    <row customHeight="1" ht="11.25">
      <c r="A719" s="1312" t="s">
        <v>1069</v>
      </c>
      <c r="B719" s="1312"/>
      <c r="C719" s="1312"/>
      <c r="D719" s="1306"/>
      <c r="E719" s="1316"/>
      <c r="F719" s="1974"/>
      <c r="G719" s="1975"/>
      <c r="H719" s="2674" t="s">
        <v>175</v>
      </c>
      <c r="I719" s="2675"/>
      <c r="J719" s="2644"/>
      <c r="K719" s="2676"/>
      <c r="L719" s="2266"/>
      <c r="M719" s="2267"/>
      <c r="N719" s="2667"/>
      <c r="O719" s="2668"/>
      <c r="P719" s="2670"/>
      <c r="Q719" s="8645"/>
      <c r="R719" s="2672"/>
      <c r="S719" s="2673"/>
      <c r="T719" s="2672"/>
      <c r="U719" s="2672"/>
      <c r="V719" s="2672"/>
      <c r="W719" s="2672"/>
      <c r="X719" s="2672"/>
      <c r="Y719" s="2672"/>
      <c r="Z719" s="1973"/>
      <c r="AA719" s="1939">
        <v>1</v>
      </c>
      <c r="AB719" s="1325" t="s">
        <v>1106</v>
      </c>
      <c r="AC719" s="1315">
        <v>44232</v>
      </c>
      <c r="AD719" s="1325" t="str">
        <f>AB719</f>
        <v>  Прибыль направляемая на инвестиции</v>
      </c>
      <c r="AE719" s="1315">
        <v>0</v>
      </c>
      <c r="AF719" s="2665"/>
      <c r="AG719" s="2666"/>
      <c r="AH719" s="2666"/>
      <c r="AI719" s="8647"/>
      <c r="AJ719" s="2666"/>
      <c r="AK719" s="2666"/>
      <c r="AL719" s="2131"/>
      <c r="AM719" s="1968"/>
      <c r="AN719" s="1968"/>
      <c r="AO719" s="1968"/>
      <c r="AP719" s="1968"/>
      <c r="AQ719" s="1968"/>
      <c r="AR719" s="1968"/>
      <c r="AS719" s="1968"/>
      <c r="AT719" s="1968"/>
      <c r="AU719" s="1968"/>
      <c r="AV719" s="1968"/>
      <c r="AW719" s="1968"/>
      <c r="AX719" s="1968"/>
      <c r="AY719" s="1968"/>
      <c r="AZ719" s="1968"/>
      <c r="BA719" s="1968"/>
      <c r="BB719" s="1968"/>
      <c r="BC719" s="1968"/>
      <c r="BD719" s="1968"/>
      <c r="BE719" s="1968"/>
      <c r="BF719" s="1968"/>
      <c r="BG719" s="7235"/>
    </row>
    <row customHeight="1" ht="11.25">
      <c r="A720" s="1312" t="s">
        <v>1069</v>
      </c>
      <c r="B720" s="1312"/>
      <c r="C720" s="1312"/>
      <c r="D720" s="1306"/>
      <c r="E720" s="1316"/>
      <c r="F720" s="1974"/>
      <c r="G720" s="1975"/>
      <c r="H720" s="2674" t="s">
        <v>175</v>
      </c>
      <c r="I720" s="2675"/>
      <c r="J720" s="2644"/>
      <c r="K720" s="2676"/>
      <c r="L720" s="2266"/>
      <c r="M720" s="2267"/>
      <c r="N720" s="2667"/>
      <c r="O720" s="2668"/>
      <c r="P720" s="2671"/>
      <c r="Q720" s="8645"/>
      <c r="R720" s="2672"/>
      <c r="S720" s="2673"/>
      <c r="T720" s="2672"/>
      <c r="U720" s="2672"/>
      <c r="V720" s="2672"/>
      <c r="W720" s="2672"/>
      <c r="X720" s="2672"/>
      <c r="Y720" s="2672"/>
      <c r="Z720" s="1321"/>
      <c r="AA720" s="1322"/>
      <c r="AB720" s="1387" t="s">
        <v>1107</v>
      </c>
      <c r="AC720" s="1326"/>
      <c r="AD720" s="1326"/>
      <c r="AE720" s="1328"/>
      <c r="AF720" s="2665"/>
      <c r="AG720" s="2666"/>
      <c r="AH720" s="2666"/>
      <c r="AI720" s="8647"/>
      <c r="AJ720" s="2666"/>
      <c r="AK720" s="2666"/>
      <c r="AL720" s="2131"/>
      <c r="AM720" s="1968"/>
      <c r="AN720" s="1968"/>
      <c r="AO720" s="1968"/>
      <c r="AP720" s="1968"/>
      <c r="AQ720" s="1968"/>
      <c r="AR720" s="1968"/>
      <c r="AS720" s="1968"/>
      <c r="AT720" s="1968"/>
      <c r="AU720" s="1968"/>
      <c r="AV720" s="1968"/>
      <c r="AW720" s="1968"/>
      <c r="AX720" s="1968"/>
      <c r="AY720" s="1968"/>
      <c r="AZ720" s="1968"/>
      <c r="BA720" s="1968"/>
      <c r="BB720" s="1968"/>
      <c r="BC720" s="1968"/>
      <c r="BD720" s="1968"/>
      <c r="BE720" s="1968"/>
      <c r="BF720" s="1968"/>
      <c r="BG720" s="7235"/>
    </row>
    <row customHeight="1" ht="11.25">
      <c r="A721" s="1312" t="s">
        <v>1069</v>
      </c>
      <c r="B721" s="1312"/>
      <c r="C721" s="1312"/>
      <c r="D721" s="1306"/>
      <c r="E721" s="1316"/>
      <c r="F721" s="1974"/>
      <c r="G721" s="1975"/>
      <c r="H721" s="2674" t="s">
        <v>175</v>
      </c>
      <c r="I721" s="2675"/>
      <c r="J721" s="2644"/>
      <c r="K721" s="2676"/>
      <c r="L721" s="2266"/>
      <c r="M721" s="2267"/>
      <c r="N721" s="1321"/>
      <c r="O721" s="1322"/>
      <c r="P721" s="1314" t="s">
        <v>1108</v>
      </c>
      <c r="Q721" s="1322"/>
      <c r="R721" s="1322"/>
      <c r="S721" s="1322"/>
      <c r="T721" s="1322"/>
      <c r="U721" s="1322"/>
      <c r="V721" s="1322"/>
      <c r="W721" s="1322"/>
      <c r="X721" s="1322"/>
      <c r="Y721" s="1322"/>
      <c r="Z721" s="1322"/>
      <c r="AA721" s="1322"/>
      <c r="AB721" s="1322"/>
      <c r="AC721" s="1322"/>
      <c r="AD721" s="1322"/>
      <c r="AE721" s="1329"/>
      <c r="AF721" s="2665"/>
      <c r="AG721" s="2666"/>
      <c r="AH721" s="2666"/>
      <c r="AI721" s="8647"/>
      <c r="AJ721" s="2666"/>
      <c r="AK721" s="2666"/>
      <c r="AL721" s="2131"/>
      <c r="AM721" s="1968"/>
      <c r="AN721" s="1968"/>
      <c r="AO721" s="1968"/>
      <c r="AP721" s="1968"/>
      <c r="AQ721" s="1968"/>
      <c r="AR721" s="1968"/>
      <c r="AS721" s="1968"/>
      <c r="AT721" s="1968"/>
      <c r="AU721" s="1968"/>
      <c r="AV721" s="1968"/>
      <c r="AW721" s="1968"/>
      <c r="AX721" s="1968"/>
      <c r="AY721" s="1968"/>
      <c r="AZ721" s="1968"/>
      <c r="BA721" s="1968"/>
      <c r="BB721" s="1968"/>
      <c r="BC721" s="1968"/>
      <c r="BD721" s="1968"/>
      <c r="BE721" s="1968"/>
      <c r="BF721" s="1968"/>
      <c r="BG721" s="7235"/>
    </row>
    <row customHeight="1" ht="11.25">
      <c r="A722" s="1312" t="s">
        <v>1069</v>
      </c>
      <c r="B722" s="1312" t="s">
        <v>1198</v>
      </c>
      <c r="C722" s="1312"/>
      <c r="D722" s="1306"/>
      <c r="E722" s="1316"/>
      <c r="F722" s="1974"/>
      <c r="G722" s="7143" t="s">
        <v>106</v>
      </c>
      <c r="H722" s="2674" t="s">
        <v>176</v>
      </c>
      <c r="I722" s="2675" t="s">
        <v>1200</v>
      </c>
      <c r="J722" s="2644" t="s">
        <v>1201</v>
      </c>
      <c r="K722" s="2676" t="s">
        <v>1323</v>
      </c>
      <c r="L722" s="2266" t="s">
        <v>19</v>
      </c>
      <c r="M722" s="2267"/>
      <c r="N722" s="2129"/>
      <c r="O722" s="1323" t="s">
        <v>398</v>
      </c>
      <c r="P722" s="1324"/>
      <c r="Q722" s="1324"/>
      <c r="R722" s="1324"/>
      <c r="S722" s="1324"/>
      <c r="T722" s="1324"/>
      <c r="U722" s="1324"/>
      <c r="V722" s="1324"/>
      <c r="W722" s="1324"/>
      <c r="X722" s="1324"/>
      <c r="Y722" s="1324"/>
      <c r="Z722" s="1324"/>
      <c r="AA722" s="1324"/>
      <c r="AB722" s="1324"/>
      <c r="AC722" s="1324"/>
      <c r="AD722" s="1324"/>
      <c r="AE722" s="1324"/>
      <c r="AF722" s="2665">
        <v>2028</v>
      </c>
      <c r="AG722" s="2666" t="s">
        <v>1103</v>
      </c>
      <c r="AH722" s="2666" t="s">
        <v>1228</v>
      </c>
      <c r="AI722" s="8647"/>
      <c r="AJ722" s="2666" t="s">
        <v>1105</v>
      </c>
      <c r="AK722" s="2666" t="s">
        <v>1105</v>
      </c>
      <c r="AL722" s="2131"/>
      <c r="AM722" s="1968"/>
      <c r="AN722" s="1968"/>
      <c r="AO722" s="1968"/>
      <c r="AP722" s="1968"/>
      <c r="AQ722" s="1968"/>
      <c r="AR722" s="1968"/>
      <c r="AS722" s="1968"/>
      <c r="AT722" s="1968"/>
      <c r="AU722" s="1968"/>
      <c r="AV722" s="1968"/>
      <c r="AW722" s="1968"/>
      <c r="AX722" s="1968"/>
      <c r="AY722" s="1968"/>
      <c r="AZ722" s="1968"/>
      <c r="BA722" s="1968"/>
      <c r="BB722" s="1968"/>
      <c r="BC722" s="1968"/>
      <c r="BD722" s="1968"/>
      <c r="BE722" s="1968"/>
      <c r="BF722" s="1968"/>
      <c r="BG722" s="7235"/>
    </row>
    <row customHeight="1" ht="11.25">
      <c r="A723" s="1312" t="s">
        <v>1069</v>
      </c>
      <c r="B723" s="1312"/>
      <c r="C723" s="1312"/>
      <c r="D723" s="1306"/>
      <c r="E723" s="1316"/>
      <c r="F723" s="1974"/>
      <c r="G723" s="1975"/>
      <c r="H723" s="2674" t="s">
        <v>176</v>
      </c>
      <c r="I723" s="2675"/>
      <c r="J723" s="2644"/>
      <c r="K723" s="2676"/>
      <c r="L723" s="2266"/>
      <c r="M723" s="2267"/>
      <c r="N723" s="2667"/>
      <c r="O723" s="2668">
        <v>1</v>
      </c>
      <c r="P723" s="2669" t="s">
        <v>63</v>
      </c>
      <c r="Q723" s="8645" t="s">
        <v>1176</v>
      </c>
      <c r="R723" s="8646" t="s">
        <v>1177</v>
      </c>
      <c r="S723" s="8646" t="s">
        <v>113</v>
      </c>
      <c r="T723" s="8646" t="s">
        <v>113</v>
      </c>
      <c r="U723" s="8646" t="s">
        <v>114</v>
      </c>
      <c r="V723" s="8646" t="s">
        <v>1115</v>
      </c>
      <c r="W723" s="8646" t="s">
        <v>1116</v>
      </c>
      <c r="X723" s="8646" t="s">
        <v>1178</v>
      </c>
      <c r="Y723" s="8646" t="s">
        <v>1178</v>
      </c>
      <c r="Z723" s="1321"/>
      <c r="AA723" s="1322"/>
      <c r="AB723" s="1322"/>
      <c r="AC723" s="1326"/>
      <c r="AD723" s="1326"/>
      <c r="AE723" s="1327"/>
      <c r="AF723" s="2665"/>
      <c r="AG723" s="2666"/>
      <c r="AH723" s="2666"/>
      <c r="AI723" s="8647"/>
      <c r="AJ723" s="2666"/>
      <c r="AK723" s="2666"/>
      <c r="AL723" s="2131"/>
      <c r="AM723" s="1968"/>
      <c r="AN723" s="1968"/>
      <c r="AO723" s="1968"/>
      <c r="AP723" s="1968"/>
      <c r="AQ723" s="1968"/>
      <c r="AR723" s="1968"/>
      <c r="AS723" s="1968"/>
      <c r="AT723" s="1968"/>
      <c r="AU723" s="1968"/>
      <c r="AV723" s="1968"/>
      <c r="AW723" s="1968"/>
      <c r="AX723" s="1968"/>
      <c r="AY723" s="1968"/>
      <c r="AZ723" s="1968"/>
      <c r="BA723" s="1968"/>
      <c r="BB723" s="1968"/>
      <c r="BC723" s="1968"/>
      <c r="BD723" s="1968"/>
      <c r="BE723" s="1968"/>
      <c r="BF723" s="1968"/>
      <c r="BG723" s="7235"/>
    </row>
    <row customHeight="1" ht="11.25">
      <c r="A724" s="1312" t="s">
        <v>1069</v>
      </c>
      <c r="B724" s="1312"/>
      <c r="C724" s="1312"/>
      <c r="D724" s="1306"/>
      <c r="E724" s="1316"/>
      <c r="F724" s="1974"/>
      <c r="G724" s="1975"/>
      <c r="H724" s="2674" t="s">
        <v>176</v>
      </c>
      <c r="I724" s="2675"/>
      <c r="J724" s="2644"/>
      <c r="K724" s="2676"/>
      <c r="L724" s="2266"/>
      <c r="M724" s="2267"/>
      <c r="N724" s="2667"/>
      <c r="O724" s="2668"/>
      <c r="P724" s="2670"/>
      <c r="Q724" s="8645"/>
      <c r="R724" s="2672"/>
      <c r="S724" s="2673"/>
      <c r="T724" s="2672"/>
      <c r="U724" s="2672"/>
      <c r="V724" s="2672"/>
      <c r="W724" s="2672"/>
      <c r="X724" s="2672"/>
      <c r="Y724" s="2672"/>
      <c r="Z724" s="1973"/>
      <c r="AA724" s="1939">
        <v>1</v>
      </c>
      <c r="AB724" s="1325" t="s">
        <v>1106</v>
      </c>
      <c r="AC724" s="1315">
        <v>6764</v>
      </c>
      <c r="AD724" s="1325" t="str">
        <f>AB724</f>
        <v>  Прибыль направляемая на инвестиции</v>
      </c>
      <c r="AE724" s="1315">
        <v>0</v>
      </c>
      <c r="AF724" s="2665"/>
      <c r="AG724" s="2666"/>
      <c r="AH724" s="2666"/>
      <c r="AI724" s="8647"/>
      <c r="AJ724" s="2666"/>
      <c r="AK724" s="2666"/>
      <c r="AL724" s="2131"/>
      <c r="AM724" s="1968"/>
      <c r="AN724" s="1968"/>
      <c r="AO724" s="1968"/>
      <c r="AP724" s="1968"/>
      <c r="AQ724" s="1968"/>
      <c r="AR724" s="1968"/>
      <c r="AS724" s="1968"/>
      <c r="AT724" s="1968"/>
      <c r="AU724" s="1968"/>
      <c r="AV724" s="1968"/>
      <c r="AW724" s="1968"/>
      <c r="AX724" s="1968"/>
      <c r="AY724" s="1968"/>
      <c r="AZ724" s="1968"/>
      <c r="BA724" s="1968"/>
      <c r="BB724" s="1968"/>
      <c r="BC724" s="1968"/>
      <c r="BD724" s="1968"/>
      <c r="BE724" s="1968"/>
      <c r="BF724" s="1968"/>
      <c r="BG724" s="7235"/>
    </row>
    <row customHeight="1" ht="11.25">
      <c r="A725" s="1312" t="s">
        <v>1069</v>
      </c>
      <c r="B725" s="1312"/>
      <c r="C725" s="1312"/>
      <c r="D725" s="1306"/>
      <c r="E725" s="1316"/>
      <c r="F725" s="1974"/>
      <c r="G725" s="1975"/>
      <c r="H725" s="2674" t="s">
        <v>176</v>
      </c>
      <c r="I725" s="2675"/>
      <c r="J725" s="2644"/>
      <c r="K725" s="2676"/>
      <c r="L725" s="2266"/>
      <c r="M725" s="2267"/>
      <c r="N725" s="2667"/>
      <c r="O725" s="2668"/>
      <c r="P725" s="2671"/>
      <c r="Q725" s="8645"/>
      <c r="R725" s="2672"/>
      <c r="S725" s="2673"/>
      <c r="T725" s="2672"/>
      <c r="U725" s="2672"/>
      <c r="V725" s="2672"/>
      <c r="W725" s="2672"/>
      <c r="X725" s="2672"/>
      <c r="Y725" s="2672"/>
      <c r="Z725" s="1321"/>
      <c r="AA725" s="1322"/>
      <c r="AB725" s="1387" t="s">
        <v>1107</v>
      </c>
      <c r="AC725" s="1326"/>
      <c r="AD725" s="1326"/>
      <c r="AE725" s="1328"/>
      <c r="AF725" s="2665"/>
      <c r="AG725" s="2666"/>
      <c r="AH725" s="2666"/>
      <c r="AI725" s="8647"/>
      <c r="AJ725" s="2666"/>
      <c r="AK725" s="2666"/>
      <c r="AL725" s="2131"/>
      <c r="AM725" s="1968"/>
      <c r="AN725" s="1968"/>
      <c r="AO725" s="1968"/>
      <c r="AP725" s="1968"/>
      <c r="AQ725" s="1968"/>
      <c r="AR725" s="1968"/>
      <c r="AS725" s="1968"/>
      <c r="AT725" s="1968"/>
      <c r="AU725" s="1968"/>
      <c r="AV725" s="1968"/>
      <c r="AW725" s="1968"/>
      <c r="AX725" s="1968"/>
      <c r="AY725" s="1968"/>
      <c r="AZ725" s="1968"/>
      <c r="BA725" s="1968"/>
      <c r="BB725" s="1968"/>
      <c r="BC725" s="1968"/>
      <c r="BD725" s="1968"/>
      <c r="BE725" s="1968"/>
      <c r="BF725" s="1968"/>
      <c r="BG725" s="7235"/>
    </row>
    <row customHeight="1" ht="11.25">
      <c r="A726" s="1312" t="s">
        <v>1069</v>
      </c>
      <c r="B726" s="1312"/>
      <c r="C726" s="1312"/>
      <c r="D726" s="1306"/>
      <c r="E726" s="1316"/>
      <c r="F726" s="1974"/>
      <c r="G726" s="1975"/>
      <c r="H726" s="2674" t="s">
        <v>176</v>
      </c>
      <c r="I726" s="2675"/>
      <c r="J726" s="2644"/>
      <c r="K726" s="2676"/>
      <c r="L726" s="2266"/>
      <c r="M726" s="2267"/>
      <c r="N726" s="1321"/>
      <c r="O726" s="1322"/>
      <c r="P726" s="1314" t="s">
        <v>1108</v>
      </c>
      <c r="Q726" s="1322"/>
      <c r="R726" s="1322"/>
      <c r="S726" s="1322"/>
      <c r="T726" s="1322"/>
      <c r="U726" s="1322"/>
      <c r="V726" s="1322"/>
      <c r="W726" s="1322"/>
      <c r="X726" s="1322"/>
      <c r="Y726" s="1322"/>
      <c r="Z726" s="1322"/>
      <c r="AA726" s="1322"/>
      <c r="AB726" s="1322"/>
      <c r="AC726" s="1322"/>
      <c r="AD726" s="1322"/>
      <c r="AE726" s="1329"/>
      <c r="AF726" s="2665"/>
      <c r="AG726" s="2666"/>
      <c r="AH726" s="2666"/>
      <c r="AI726" s="8647"/>
      <c r="AJ726" s="2666"/>
      <c r="AK726" s="2666"/>
      <c r="AL726" s="2131"/>
      <c r="AM726" s="1968"/>
      <c r="AN726" s="1968"/>
      <c r="AO726" s="1968"/>
      <c r="AP726" s="1968"/>
      <c r="AQ726" s="1968"/>
      <c r="AR726" s="1968"/>
      <c r="AS726" s="1968"/>
      <c r="AT726" s="1968"/>
      <c r="AU726" s="1968"/>
      <c r="AV726" s="1968"/>
      <c r="AW726" s="1968"/>
      <c r="AX726" s="1968"/>
      <c r="AY726" s="1968"/>
      <c r="AZ726" s="1968"/>
      <c r="BA726" s="1968"/>
      <c r="BB726" s="1968"/>
      <c r="BC726" s="1968"/>
      <c r="BD726" s="1968"/>
      <c r="BE726" s="1968"/>
      <c r="BF726" s="1968"/>
      <c r="BG726" s="7235"/>
    </row>
    <row customHeight="1" ht="11.25">
      <c r="A727" s="1312" t="s">
        <v>1069</v>
      </c>
      <c r="B727" s="1312" t="s">
        <v>1198</v>
      </c>
      <c r="C727" s="1312"/>
      <c r="D727" s="1306"/>
      <c r="E727" s="1316"/>
      <c r="F727" s="1974"/>
      <c r="G727" s="7143" t="s">
        <v>106</v>
      </c>
      <c r="H727" s="2674" t="s">
        <v>177</v>
      </c>
      <c r="I727" s="2675" t="s">
        <v>1200</v>
      </c>
      <c r="J727" s="2644" t="s">
        <v>1201</v>
      </c>
      <c r="K727" s="2676" t="s">
        <v>1324</v>
      </c>
      <c r="L727" s="2266" t="s">
        <v>19</v>
      </c>
      <c r="M727" s="2267"/>
      <c r="N727" s="2129"/>
      <c r="O727" s="1323" t="s">
        <v>398</v>
      </c>
      <c r="P727" s="1324"/>
      <c r="Q727" s="1324"/>
      <c r="R727" s="1324"/>
      <c r="S727" s="1324"/>
      <c r="T727" s="1324"/>
      <c r="U727" s="1324"/>
      <c r="V727" s="1324"/>
      <c r="W727" s="1324"/>
      <c r="X727" s="1324"/>
      <c r="Y727" s="1324"/>
      <c r="Z727" s="1324"/>
      <c r="AA727" s="1324"/>
      <c r="AB727" s="1324"/>
      <c r="AC727" s="1324"/>
      <c r="AD727" s="1324"/>
      <c r="AE727" s="1324"/>
      <c r="AF727" s="2665">
        <v>2026</v>
      </c>
      <c r="AG727" s="2666" t="s">
        <v>1103</v>
      </c>
      <c r="AH727" s="2666" t="s">
        <v>1162</v>
      </c>
      <c r="AI727" s="8647"/>
      <c r="AJ727" s="2666" t="s">
        <v>1105</v>
      </c>
      <c r="AK727" s="2666" t="s">
        <v>1105</v>
      </c>
      <c r="AL727" s="2131"/>
      <c r="AM727" s="1968"/>
      <c r="AN727" s="1968"/>
      <c r="AO727" s="1968"/>
      <c r="AP727" s="1968"/>
      <c r="AQ727" s="1968"/>
      <c r="AR727" s="1968"/>
      <c r="AS727" s="1968"/>
      <c r="AT727" s="1968"/>
      <c r="AU727" s="1968"/>
      <c r="AV727" s="1968"/>
      <c r="AW727" s="1968"/>
      <c r="AX727" s="1968"/>
      <c r="AY727" s="1968"/>
      <c r="AZ727" s="1968"/>
      <c r="BA727" s="1968"/>
      <c r="BB727" s="1968"/>
      <c r="BC727" s="1968"/>
      <c r="BD727" s="1968"/>
      <c r="BE727" s="1968"/>
      <c r="BF727" s="1968"/>
      <c r="BG727" s="7235"/>
    </row>
    <row customHeight="1" ht="11.25">
      <c r="A728" s="1312" t="s">
        <v>1069</v>
      </c>
      <c r="B728" s="1312"/>
      <c r="C728" s="1312"/>
      <c r="D728" s="1306"/>
      <c r="E728" s="1316"/>
      <c r="F728" s="1974"/>
      <c r="G728" s="1975"/>
      <c r="H728" s="2674" t="s">
        <v>177</v>
      </c>
      <c r="I728" s="2675"/>
      <c r="J728" s="2644"/>
      <c r="K728" s="2676"/>
      <c r="L728" s="2266"/>
      <c r="M728" s="2267"/>
      <c r="N728" s="2667"/>
      <c r="O728" s="2668">
        <v>1</v>
      </c>
      <c r="P728" s="2669" t="s">
        <v>63</v>
      </c>
      <c r="Q728" s="8645" t="s">
        <v>1176</v>
      </c>
      <c r="R728" s="8646" t="s">
        <v>1177</v>
      </c>
      <c r="S728" s="8646" t="s">
        <v>113</v>
      </c>
      <c r="T728" s="8646" t="s">
        <v>113</v>
      </c>
      <c r="U728" s="8646" t="s">
        <v>114</v>
      </c>
      <c r="V728" s="8646" t="s">
        <v>1115</v>
      </c>
      <c r="W728" s="8646" t="s">
        <v>1116</v>
      </c>
      <c r="X728" s="8646" t="s">
        <v>1178</v>
      </c>
      <c r="Y728" s="8646" t="s">
        <v>1178</v>
      </c>
      <c r="Z728" s="1321"/>
      <c r="AA728" s="1322"/>
      <c r="AB728" s="1322"/>
      <c r="AC728" s="1326"/>
      <c r="AD728" s="1326"/>
      <c r="AE728" s="1327"/>
      <c r="AF728" s="2665"/>
      <c r="AG728" s="2666"/>
      <c r="AH728" s="2666"/>
      <c r="AI728" s="8647"/>
      <c r="AJ728" s="2666"/>
      <c r="AK728" s="2666"/>
      <c r="AL728" s="2131"/>
      <c r="AM728" s="1968"/>
      <c r="AN728" s="1968"/>
      <c r="AO728" s="1968"/>
      <c r="AP728" s="1968"/>
      <c r="AQ728" s="1968"/>
      <c r="AR728" s="1968"/>
      <c r="AS728" s="1968"/>
      <c r="AT728" s="1968"/>
      <c r="AU728" s="1968"/>
      <c r="AV728" s="1968"/>
      <c r="AW728" s="1968"/>
      <c r="AX728" s="1968"/>
      <c r="AY728" s="1968"/>
      <c r="AZ728" s="1968"/>
      <c r="BA728" s="1968"/>
      <c r="BB728" s="1968"/>
      <c r="BC728" s="1968"/>
      <c r="BD728" s="1968"/>
      <c r="BE728" s="1968"/>
      <c r="BF728" s="1968"/>
      <c r="BG728" s="7235"/>
    </row>
    <row customHeight="1" ht="11.25">
      <c r="A729" s="1312" t="s">
        <v>1069</v>
      </c>
      <c r="B729" s="1312"/>
      <c r="C729" s="1312"/>
      <c r="D729" s="1306"/>
      <c r="E729" s="1316"/>
      <c r="F729" s="1974"/>
      <c r="G729" s="1975"/>
      <c r="H729" s="2674" t="s">
        <v>177</v>
      </c>
      <c r="I729" s="2675"/>
      <c r="J729" s="2644"/>
      <c r="K729" s="2676"/>
      <c r="L729" s="2266"/>
      <c r="M729" s="2267"/>
      <c r="N729" s="2667"/>
      <c r="O729" s="2668"/>
      <c r="P729" s="2670"/>
      <c r="Q729" s="8645"/>
      <c r="R729" s="2672"/>
      <c r="S729" s="2673"/>
      <c r="T729" s="2672"/>
      <c r="U729" s="2672"/>
      <c r="V729" s="2672"/>
      <c r="W729" s="2672"/>
      <c r="X729" s="2672"/>
      <c r="Y729" s="2672"/>
      <c r="Z729" s="1973"/>
      <c r="AA729" s="1939">
        <v>1</v>
      </c>
      <c r="AB729" s="1325" t="s">
        <v>1106</v>
      </c>
      <c r="AC729" s="1315">
        <v>9211</v>
      </c>
      <c r="AD729" s="1325" t="str">
        <f>AB729</f>
        <v>  Прибыль направляемая на инвестиции</v>
      </c>
      <c r="AE729" s="1315">
        <v>0</v>
      </c>
      <c r="AF729" s="2665"/>
      <c r="AG729" s="2666"/>
      <c r="AH729" s="2666"/>
      <c r="AI729" s="8647"/>
      <c r="AJ729" s="2666"/>
      <c r="AK729" s="2666"/>
      <c r="AL729" s="2131"/>
      <c r="AM729" s="1968"/>
      <c r="AN729" s="1968"/>
      <c r="AO729" s="1968"/>
      <c r="AP729" s="1968"/>
      <c r="AQ729" s="1968"/>
      <c r="AR729" s="1968"/>
      <c r="AS729" s="1968"/>
      <c r="AT729" s="1968"/>
      <c r="AU729" s="1968"/>
      <c r="AV729" s="1968"/>
      <c r="AW729" s="1968"/>
      <c r="AX729" s="1968"/>
      <c r="AY729" s="1968"/>
      <c r="AZ729" s="1968"/>
      <c r="BA729" s="1968"/>
      <c r="BB729" s="1968"/>
      <c r="BC729" s="1968"/>
      <c r="BD729" s="1968"/>
      <c r="BE729" s="1968"/>
      <c r="BF729" s="1968"/>
      <c r="BG729" s="7235"/>
    </row>
    <row customHeight="1" ht="11.25">
      <c r="A730" s="1312" t="s">
        <v>1069</v>
      </c>
      <c r="B730" s="1312"/>
      <c r="C730" s="1312"/>
      <c r="D730" s="1306"/>
      <c r="E730" s="1316"/>
      <c r="F730" s="1974"/>
      <c r="G730" s="1975"/>
      <c r="H730" s="2674" t="s">
        <v>177</v>
      </c>
      <c r="I730" s="2675"/>
      <c r="J730" s="2644"/>
      <c r="K730" s="2676"/>
      <c r="L730" s="2266"/>
      <c r="M730" s="2267"/>
      <c r="N730" s="2667"/>
      <c r="O730" s="2668"/>
      <c r="P730" s="2671"/>
      <c r="Q730" s="8645"/>
      <c r="R730" s="2672"/>
      <c r="S730" s="2673"/>
      <c r="T730" s="2672"/>
      <c r="U730" s="2672"/>
      <c r="V730" s="2672"/>
      <c r="W730" s="2672"/>
      <c r="X730" s="2672"/>
      <c r="Y730" s="2672"/>
      <c r="Z730" s="1321"/>
      <c r="AA730" s="1322"/>
      <c r="AB730" s="1387" t="s">
        <v>1107</v>
      </c>
      <c r="AC730" s="1326"/>
      <c r="AD730" s="1326"/>
      <c r="AE730" s="1328"/>
      <c r="AF730" s="2665"/>
      <c r="AG730" s="2666"/>
      <c r="AH730" s="2666"/>
      <c r="AI730" s="8647"/>
      <c r="AJ730" s="2666"/>
      <c r="AK730" s="2666"/>
      <c r="AL730" s="2131"/>
      <c r="AM730" s="1968"/>
      <c r="AN730" s="1968"/>
      <c r="AO730" s="1968"/>
      <c r="AP730" s="1968"/>
      <c r="AQ730" s="1968"/>
      <c r="AR730" s="1968"/>
      <c r="AS730" s="1968"/>
      <c r="AT730" s="1968"/>
      <c r="AU730" s="1968"/>
      <c r="AV730" s="1968"/>
      <c r="AW730" s="1968"/>
      <c r="AX730" s="1968"/>
      <c r="AY730" s="1968"/>
      <c r="AZ730" s="1968"/>
      <c r="BA730" s="1968"/>
      <c r="BB730" s="1968"/>
      <c r="BC730" s="1968"/>
      <c r="BD730" s="1968"/>
      <c r="BE730" s="1968"/>
      <c r="BF730" s="1968"/>
      <c r="BG730" s="7235"/>
    </row>
    <row customHeight="1" ht="11.25">
      <c r="A731" s="1312" t="s">
        <v>1069</v>
      </c>
      <c r="B731" s="1312"/>
      <c r="C731" s="1312"/>
      <c r="D731" s="1306"/>
      <c r="E731" s="1316"/>
      <c r="F731" s="1974"/>
      <c r="G731" s="1975"/>
      <c r="H731" s="2674" t="s">
        <v>177</v>
      </c>
      <c r="I731" s="2675"/>
      <c r="J731" s="2644"/>
      <c r="K731" s="2676"/>
      <c r="L731" s="2266"/>
      <c r="M731" s="2267"/>
      <c r="N731" s="1321"/>
      <c r="O731" s="1322"/>
      <c r="P731" s="1314" t="s">
        <v>1108</v>
      </c>
      <c r="Q731" s="1322"/>
      <c r="R731" s="1322"/>
      <c r="S731" s="1322"/>
      <c r="T731" s="1322"/>
      <c r="U731" s="1322"/>
      <c r="V731" s="1322"/>
      <c r="W731" s="1322"/>
      <c r="X731" s="1322"/>
      <c r="Y731" s="1322"/>
      <c r="Z731" s="1322"/>
      <c r="AA731" s="1322"/>
      <c r="AB731" s="1322"/>
      <c r="AC731" s="1322"/>
      <c r="AD731" s="1322"/>
      <c r="AE731" s="1329"/>
      <c r="AF731" s="2665"/>
      <c r="AG731" s="2666"/>
      <c r="AH731" s="2666"/>
      <c r="AI731" s="8647"/>
      <c r="AJ731" s="2666"/>
      <c r="AK731" s="2666"/>
      <c r="AL731" s="2131"/>
      <c r="AM731" s="1968"/>
      <c r="AN731" s="1968"/>
      <c r="AO731" s="1968"/>
      <c r="AP731" s="1968"/>
      <c r="AQ731" s="1968"/>
      <c r="AR731" s="1968"/>
      <c r="AS731" s="1968"/>
      <c r="AT731" s="1968"/>
      <c r="AU731" s="1968"/>
      <c r="AV731" s="1968"/>
      <c r="AW731" s="1968"/>
      <c r="AX731" s="1968"/>
      <c r="AY731" s="1968"/>
      <c r="AZ731" s="1968"/>
      <c r="BA731" s="1968"/>
      <c r="BB731" s="1968"/>
      <c r="BC731" s="1968"/>
      <c r="BD731" s="1968"/>
      <c r="BE731" s="1968"/>
      <c r="BF731" s="1968"/>
      <c r="BG731" s="7235"/>
    </row>
    <row customHeight="1" ht="11.25">
      <c r="A732" s="1312" t="s">
        <v>1069</v>
      </c>
      <c r="B732" s="1312" t="s">
        <v>1198</v>
      </c>
      <c r="C732" s="1312"/>
      <c r="D732" s="1306"/>
      <c r="E732" s="1316"/>
      <c r="F732" s="1974"/>
      <c r="G732" s="7143" t="s">
        <v>106</v>
      </c>
      <c r="H732" s="2674" t="s">
        <v>1190</v>
      </c>
      <c r="I732" s="2675" t="s">
        <v>1200</v>
      </c>
      <c r="J732" s="2644" t="s">
        <v>1201</v>
      </c>
      <c r="K732" s="2676" t="s">
        <v>1325</v>
      </c>
      <c r="L732" s="2266" t="s">
        <v>19</v>
      </c>
      <c r="M732" s="2267"/>
      <c r="N732" s="2129"/>
      <c r="O732" s="1323" t="s">
        <v>398</v>
      </c>
      <c r="P732" s="1324"/>
      <c r="Q732" s="1324"/>
      <c r="R732" s="1324"/>
      <c r="S732" s="1324"/>
      <c r="T732" s="1324"/>
      <c r="U732" s="1324"/>
      <c r="V732" s="1324"/>
      <c r="W732" s="1324"/>
      <c r="X732" s="1324"/>
      <c r="Y732" s="1324"/>
      <c r="Z732" s="1324"/>
      <c r="AA732" s="1324"/>
      <c r="AB732" s="1324"/>
      <c r="AC732" s="1324"/>
      <c r="AD732" s="1324"/>
      <c r="AE732" s="1324"/>
      <c r="AF732" s="2665">
        <v>2026</v>
      </c>
      <c r="AG732" s="2666" t="s">
        <v>1103</v>
      </c>
      <c r="AH732" s="2666" t="s">
        <v>1162</v>
      </c>
      <c r="AI732" s="8647"/>
      <c r="AJ732" s="2666" t="s">
        <v>1105</v>
      </c>
      <c r="AK732" s="2666" t="s">
        <v>1105</v>
      </c>
      <c r="AL732" s="2131"/>
      <c r="AM732" s="1968"/>
      <c r="AN732" s="1968"/>
      <c r="AO732" s="1968"/>
      <c r="AP732" s="1968"/>
      <c r="AQ732" s="1968"/>
      <c r="AR732" s="1968"/>
      <c r="AS732" s="1968"/>
      <c r="AT732" s="1968"/>
      <c r="AU732" s="1968"/>
      <c r="AV732" s="1968"/>
      <c r="AW732" s="1968"/>
      <c r="AX732" s="1968"/>
      <c r="AY732" s="1968"/>
      <c r="AZ732" s="1968"/>
      <c r="BA732" s="1968"/>
      <c r="BB732" s="1968"/>
      <c r="BC732" s="1968"/>
      <c r="BD732" s="1968"/>
      <c r="BE732" s="1968"/>
      <c r="BF732" s="1968"/>
      <c r="BG732" s="7235"/>
    </row>
    <row customHeight="1" ht="11.25">
      <c r="A733" s="1312" t="s">
        <v>1069</v>
      </c>
      <c r="B733" s="1312"/>
      <c r="C733" s="1312"/>
      <c r="D733" s="1306"/>
      <c r="E733" s="1316"/>
      <c r="F733" s="1974"/>
      <c r="G733" s="1975"/>
      <c r="H733" s="2674" t="s">
        <v>1190</v>
      </c>
      <c r="I733" s="2675"/>
      <c r="J733" s="2644"/>
      <c r="K733" s="2676"/>
      <c r="L733" s="2266"/>
      <c r="M733" s="2267"/>
      <c r="N733" s="2667"/>
      <c r="O733" s="2668">
        <v>1</v>
      </c>
      <c r="P733" s="2669" t="s">
        <v>63</v>
      </c>
      <c r="Q733" s="8645" t="s">
        <v>1176</v>
      </c>
      <c r="R733" s="8646" t="s">
        <v>1177</v>
      </c>
      <c r="S733" s="8646" t="s">
        <v>113</v>
      </c>
      <c r="T733" s="8646" t="s">
        <v>113</v>
      </c>
      <c r="U733" s="8646" t="s">
        <v>114</v>
      </c>
      <c r="V733" s="8646" t="s">
        <v>1115</v>
      </c>
      <c r="W733" s="8646" t="s">
        <v>1116</v>
      </c>
      <c r="X733" s="8646" t="s">
        <v>1178</v>
      </c>
      <c r="Y733" s="8646" t="s">
        <v>1178</v>
      </c>
      <c r="Z733" s="1321"/>
      <c r="AA733" s="1322"/>
      <c r="AB733" s="1322"/>
      <c r="AC733" s="1326"/>
      <c r="AD733" s="1326"/>
      <c r="AE733" s="1327"/>
      <c r="AF733" s="2665"/>
      <c r="AG733" s="2666"/>
      <c r="AH733" s="2666"/>
      <c r="AI733" s="8647"/>
      <c r="AJ733" s="2666"/>
      <c r="AK733" s="2666"/>
      <c r="AL733" s="2131"/>
      <c r="AM733" s="1968"/>
      <c r="AN733" s="1968"/>
      <c r="AO733" s="1968"/>
      <c r="AP733" s="1968"/>
      <c r="AQ733" s="1968"/>
      <c r="AR733" s="1968"/>
      <c r="AS733" s="1968"/>
      <c r="AT733" s="1968"/>
      <c r="AU733" s="1968"/>
      <c r="AV733" s="1968"/>
      <c r="AW733" s="1968"/>
      <c r="AX733" s="1968"/>
      <c r="AY733" s="1968"/>
      <c r="AZ733" s="1968"/>
      <c r="BA733" s="1968"/>
      <c r="BB733" s="1968"/>
      <c r="BC733" s="1968"/>
      <c r="BD733" s="1968"/>
      <c r="BE733" s="1968"/>
      <c r="BF733" s="1968"/>
      <c r="BG733" s="7235"/>
    </row>
    <row customHeight="1" ht="11.25">
      <c r="A734" s="1312" t="s">
        <v>1069</v>
      </c>
      <c r="B734" s="1312"/>
      <c r="C734" s="1312"/>
      <c r="D734" s="1306"/>
      <c r="E734" s="1316"/>
      <c r="F734" s="1974"/>
      <c r="G734" s="1975"/>
      <c r="H734" s="2674" t="s">
        <v>1190</v>
      </c>
      <c r="I734" s="2675"/>
      <c r="J734" s="2644"/>
      <c r="K734" s="2676"/>
      <c r="L734" s="2266"/>
      <c r="M734" s="2267"/>
      <c r="N734" s="2667"/>
      <c r="O734" s="2668"/>
      <c r="P734" s="2670"/>
      <c r="Q734" s="8645"/>
      <c r="R734" s="2672"/>
      <c r="S734" s="2673"/>
      <c r="T734" s="2672"/>
      <c r="U734" s="2672"/>
      <c r="V734" s="2672"/>
      <c r="W734" s="2672"/>
      <c r="X734" s="2672"/>
      <c r="Y734" s="2672"/>
      <c r="Z734" s="1973"/>
      <c r="AA734" s="1939">
        <v>1</v>
      </c>
      <c r="AB734" s="1325" t="s">
        <v>1106</v>
      </c>
      <c r="AC734" s="1315">
        <v>15832</v>
      </c>
      <c r="AD734" s="1325" t="str">
        <f>AB734</f>
        <v>  Прибыль направляемая на инвестиции</v>
      </c>
      <c r="AE734" s="1315">
        <v>0</v>
      </c>
      <c r="AF734" s="2665"/>
      <c r="AG734" s="2666"/>
      <c r="AH734" s="2666"/>
      <c r="AI734" s="8647"/>
      <c r="AJ734" s="2666"/>
      <c r="AK734" s="2666"/>
      <c r="AL734" s="2131"/>
      <c r="AM734" s="1968"/>
      <c r="AN734" s="1968"/>
      <c r="AO734" s="1968"/>
      <c r="AP734" s="1968"/>
      <c r="AQ734" s="1968"/>
      <c r="AR734" s="1968"/>
      <c r="AS734" s="1968"/>
      <c r="AT734" s="1968"/>
      <c r="AU734" s="1968"/>
      <c r="AV734" s="1968"/>
      <c r="AW734" s="1968"/>
      <c r="AX734" s="1968"/>
      <c r="AY734" s="1968"/>
      <c r="AZ734" s="1968"/>
      <c r="BA734" s="1968"/>
      <c r="BB734" s="1968"/>
      <c r="BC734" s="1968"/>
      <c r="BD734" s="1968"/>
      <c r="BE734" s="1968"/>
      <c r="BF734" s="1968"/>
      <c r="BG734" s="7235"/>
    </row>
    <row customHeight="1" ht="11.25">
      <c r="A735" s="1312" t="s">
        <v>1069</v>
      </c>
      <c r="B735" s="1312"/>
      <c r="C735" s="1312"/>
      <c r="D735" s="1306"/>
      <c r="E735" s="1316"/>
      <c r="F735" s="1974"/>
      <c r="G735" s="1975"/>
      <c r="H735" s="2674" t="s">
        <v>1190</v>
      </c>
      <c r="I735" s="2675"/>
      <c r="J735" s="2644"/>
      <c r="K735" s="2676"/>
      <c r="L735" s="2266"/>
      <c r="M735" s="2267"/>
      <c r="N735" s="2667"/>
      <c r="O735" s="2668"/>
      <c r="P735" s="2671"/>
      <c r="Q735" s="8645"/>
      <c r="R735" s="2672"/>
      <c r="S735" s="2673"/>
      <c r="T735" s="2672"/>
      <c r="U735" s="2672"/>
      <c r="V735" s="2672"/>
      <c r="W735" s="2672"/>
      <c r="X735" s="2672"/>
      <c r="Y735" s="2672"/>
      <c r="Z735" s="1321"/>
      <c r="AA735" s="1322"/>
      <c r="AB735" s="1387" t="s">
        <v>1107</v>
      </c>
      <c r="AC735" s="1326"/>
      <c r="AD735" s="1326"/>
      <c r="AE735" s="1328"/>
      <c r="AF735" s="2665"/>
      <c r="AG735" s="2666"/>
      <c r="AH735" s="2666"/>
      <c r="AI735" s="8647"/>
      <c r="AJ735" s="2666"/>
      <c r="AK735" s="2666"/>
      <c r="AL735" s="2131"/>
      <c r="AM735" s="1968"/>
      <c r="AN735" s="1968"/>
      <c r="AO735" s="1968"/>
      <c r="AP735" s="1968"/>
      <c r="AQ735" s="1968"/>
      <c r="AR735" s="1968"/>
      <c r="AS735" s="1968"/>
      <c r="AT735" s="1968"/>
      <c r="AU735" s="1968"/>
      <c r="AV735" s="1968"/>
      <c r="AW735" s="1968"/>
      <c r="AX735" s="1968"/>
      <c r="AY735" s="1968"/>
      <c r="AZ735" s="1968"/>
      <c r="BA735" s="1968"/>
      <c r="BB735" s="1968"/>
      <c r="BC735" s="1968"/>
      <c r="BD735" s="1968"/>
      <c r="BE735" s="1968"/>
      <c r="BF735" s="1968"/>
      <c r="BG735" s="7235"/>
    </row>
    <row customHeight="1" ht="11.25">
      <c r="A736" s="1312" t="s">
        <v>1069</v>
      </c>
      <c r="B736" s="1312"/>
      <c r="C736" s="1312"/>
      <c r="D736" s="1306"/>
      <c r="E736" s="1316"/>
      <c r="F736" s="1974"/>
      <c r="G736" s="1975"/>
      <c r="H736" s="2674" t="s">
        <v>1190</v>
      </c>
      <c r="I736" s="2675"/>
      <c r="J736" s="2644"/>
      <c r="K736" s="2676"/>
      <c r="L736" s="2266"/>
      <c r="M736" s="2267"/>
      <c r="N736" s="1321"/>
      <c r="O736" s="1322"/>
      <c r="P736" s="1314" t="s">
        <v>1108</v>
      </c>
      <c r="Q736" s="1322"/>
      <c r="R736" s="1322"/>
      <c r="S736" s="1322"/>
      <c r="T736" s="1322"/>
      <c r="U736" s="1322"/>
      <c r="V736" s="1322"/>
      <c r="W736" s="1322"/>
      <c r="X736" s="1322"/>
      <c r="Y736" s="1322"/>
      <c r="Z736" s="1322"/>
      <c r="AA736" s="1322"/>
      <c r="AB736" s="1322"/>
      <c r="AC736" s="1322"/>
      <c r="AD736" s="1322"/>
      <c r="AE736" s="1329"/>
      <c r="AF736" s="2665"/>
      <c r="AG736" s="2666"/>
      <c r="AH736" s="2666"/>
      <c r="AI736" s="8647"/>
      <c r="AJ736" s="2666"/>
      <c r="AK736" s="2666"/>
      <c r="AL736" s="2131"/>
      <c r="AM736" s="1968"/>
      <c r="AN736" s="1968"/>
      <c r="AO736" s="1968"/>
      <c r="AP736" s="1968"/>
      <c r="AQ736" s="1968"/>
      <c r="AR736" s="1968"/>
      <c r="AS736" s="1968"/>
      <c r="AT736" s="1968"/>
      <c r="AU736" s="1968"/>
      <c r="AV736" s="1968"/>
      <c r="AW736" s="1968"/>
      <c r="AX736" s="1968"/>
      <c r="AY736" s="1968"/>
      <c r="AZ736" s="1968"/>
      <c r="BA736" s="1968"/>
      <c r="BB736" s="1968"/>
      <c r="BC736" s="1968"/>
      <c r="BD736" s="1968"/>
      <c r="BE736" s="1968"/>
      <c r="BF736" s="1968"/>
      <c r="BG736" s="7235"/>
    </row>
    <row customHeight="1" ht="11.25">
      <c r="A737" s="1312" t="s">
        <v>1069</v>
      </c>
      <c r="B737" s="1312" t="s">
        <v>1198</v>
      </c>
      <c r="C737" s="1312"/>
      <c r="D737" s="1306"/>
      <c r="E737" s="1316"/>
      <c r="F737" s="1974"/>
      <c r="G737" s="7143" t="s">
        <v>106</v>
      </c>
      <c r="H737" s="2674" t="s">
        <v>1196</v>
      </c>
      <c r="I737" s="2675" t="s">
        <v>1200</v>
      </c>
      <c r="J737" s="2644" t="s">
        <v>1206</v>
      </c>
      <c r="K737" s="2676" t="s">
        <v>1291</v>
      </c>
      <c r="L737" s="2266" t="s">
        <v>19</v>
      </c>
      <c r="M737" s="2267"/>
      <c r="N737" s="2129"/>
      <c r="O737" s="1323" t="s">
        <v>398</v>
      </c>
      <c r="P737" s="1324"/>
      <c r="Q737" s="1324"/>
      <c r="R737" s="1324"/>
      <c r="S737" s="1324"/>
      <c r="T737" s="1324"/>
      <c r="U737" s="1324"/>
      <c r="V737" s="1324"/>
      <c r="W737" s="1324"/>
      <c r="X737" s="1324"/>
      <c r="Y737" s="1324"/>
      <c r="Z737" s="1324"/>
      <c r="AA737" s="1324"/>
      <c r="AB737" s="1324"/>
      <c r="AC737" s="1324"/>
      <c r="AD737" s="1324"/>
      <c r="AE737" s="1324"/>
      <c r="AF737" s="2665">
        <v>2028</v>
      </c>
      <c r="AG737" s="2666" t="s">
        <v>1103</v>
      </c>
      <c r="AH737" s="2666" t="s">
        <v>1228</v>
      </c>
      <c r="AI737" s="8647"/>
      <c r="AJ737" s="2666" t="s">
        <v>1105</v>
      </c>
      <c r="AK737" s="2666" t="s">
        <v>1105</v>
      </c>
      <c r="AL737" s="2131"/>
      <c r="AM737" s="1968"/>
      <c r="AN737" s="1968"/>
      <c r="AO737" s="1968"/>
      <c r="AP737" s="1968"/>
      <c r="AQ737" s="1968"/>
      <c r="AR737" s="1968"/>
      <c r="AS737" s="1968"/>
      <c r="AT737" s="1968"/>
      <c r="AU737" s="1968"/>
      <c r="AV737" s="1968"/>
      <c r="AW737" s="1968"/>
      <c r="AX737" s="1968"/>
      <c r="AY737" s="1968"/>
      <c r="AZ737" s="1968"/>
      <c r="BA737" s="1968"/>
      <c r="BB737" s="1968"/>
      <c r="BC737" s="1968"/>
      <c r="BD737" s="1968"/>
      <c r="BE737" s="1968"/>
      <c r="BF737" s="1968"/>
      <c r="BG737" s="7235"/>
    </row>
    <row customHeight="1" ht="11.25">
      <c r="A738" s="1312" t="s">
        <v>1069</v>
      </c>
      <c r="B738" s="1312"/>
      <c r="C738" s="1312"/>
      <c r="D738" s="1306"/>
      <c r="E738" s="1316"/>
      <c r="F738" s="1974"/>
      <c r="G738" s="1975"/>
      <c r="H738" s="2674" t="s">
        <v>1196</v>
      </c>
      <c r="I738" s="2675"/>
      <c r="J738" s="2644"/>
      <c r="K738" s="2676"/>
      <c r="L738" s="2266"/>
      <c r="M738" s="2267"/>
      <c r="N738" s="2667"/>
      <c r="O738" s="2668">
        <v>1</v>
      </c>
      <c r="P738" s="2669" t="s">
        <v>63</v>
      </c>
      <c r="Q738" s="8664" t="s">
        <v>1208</v>
      </c>
      <c r="R738" s="8665" t="s">
        <v>1114</v>
      </c>
      <c r="S738" s="8665" t="s">
        <v>113</v>
      </c>
      <c r="T738" s="8665" t="s">
        <v>113</v>
      </c>
      <c r="U738" s="8665" t="s">
        <v>114</v>
      </c>
      <c r="V738" s="8665" t="s">
        <v>1115</v>
      </c>
      <c r="W738" s="8665" t="s">
        <v>1116</v>
      </c>
      <c r="X738" s="8665" t="s">
        <v>1209</v>
      </c>
      <c r="Y738" s="8665" t="s">
        <v>121</v>
      </c>
      <c r="Z738" s="1321"/>
      <c r="AA738" s="1322"/>
      <c r="AB738" s="1322"/>
      <c r="AC738" s="1326"/>
      <c r="AD738" s="1326"/>
      <c r="AE738" s="1327"/>
      <c r="AF738" s="2665"/>
      <c r="AG738" s="2666"/>
      <c r="AH738" s="2666"/>
      <c r="AI738" s="8647"/>
      <c r="AJ738" s="2666"/>
      <c r="AK738" s="2666"/>
      <c r="AL738" s="2131"/>
      <c r="AM738" s="1968"/>
      <c r="AN738" s="1968"/>
      <c r="AO738" s="1968"/>
      <c r="AP738" s="1968"/>
      <c r="AQ738" s="1968"/>
      <c r="AR738" s="1968"/>
      <c r="AS738" s="1968"/>
      <c r="AT738" s="1968"/>
      <c r="AU738" s="1968"/>
      <c r="AV738" s="1968"/>
      <c r="AW738" s="1968"/>
      <c r="AX738" s="1968"/>
      <c r="AY738" s="1968"/>
      <c r="AZ738" s="1968"/>
      <c r="BA738" s="1968"/>
      <c r="BB738" s="1968"/>
      <c r="BC738" s="1968"/>
      <c r="BD738" s="1968"/>
      <c r="BE738" s="1968"/>
      <c r="BF738" s="1968"/>
      <c r="BG738" s="7235"/>
    </row>
    <row customHeight="1" ht="11.25">
      <c r="A739" s="1312" t="s">
        <v>1069</v>
      </c>
      <c r="B739" s="1312"/>
      <c r="C739" s="1312"/>
      <c r="D739" s="1306"/>
      <c r="E739" s="1316"/>
      <c r="F739" s="1974"/>
      <c r="G739" s="1975"/>
      <c r="H739" s="2674" t="s">
        <v>1196</v>
      </c>
      <c r="I739" s="2675"/>
      <c r="J739" s="2644"/>
      <c r="K739" s="2676"/>
      <c r="L739" s="2266"/>
      <c r="M739" s="2267"/>
      <c r="N739" s="2667"/>
      <c r="O739" s="2668"/>
      <c r="P739" s="2670"/>
      <c r="Q739" s="8664"/>
      <c r="R739" s="2672"/>
      <c r="S739" s="2673"/>
      <c r="T739" s="2672"/>
      <c r="U739" s="2672"/>
      <c r="V739" s="2672"/>
      <c r="W739" s="2672"/>
      <c r="X739" s="2672"/>
      <c r="Y739" s="2672"/>
      <c r="Z739" s="1973"/>
      <c r="AA739" s="1939">
        <v>1</v>
      </c>
      <c r="AB739" s="1325" t="s">
        <v>1131</v>
      </c>
      <c r="AC739" s="1315">
        <v>123730</v>
      </c>
      <c r="AD739" s="1325" t="str">
        <f>AB739</f>
        <v>      Прочие амортизационные отчисления</v>
      </c>
      <c r="AE739" s="1315">
        <v>0</v>
      </c>
      <c r="AF739" s="2665"/>
      <c r="AG739" s="2666"/>
      <c r="AH739" s="2666"/>
      <c r="AI739" s="8647"/>
      <c r="AJ739" s="2666"/>
      <c r="AK739" s="2666"/>
      <c r="AL739" s="2131"/>
      <c r="AM739" s="1968"/>
      <c r="AN739" s="1968"/>
      <c r="AO739" s="1968"/>
      <c r="AP739" s="1968"/>
      <c r="AQ739" s="1968"/>
      <c r="AR739" s="1968"/>
      <c r="AS739" s="1968"/>
      <c r="AT739" s="1968"/>
      <c r="AU739" s="1968"/>
      <c r="AV739" s="1968"/>
      <c r="AW739" s="1968"/>
      <c r="AX739" s="1968"/>
      <c r="AY739" s="1968"/>
      <c r="AZ739" s="1968"/>
      <c r="BA739" s="1968"/>
      <c r="BB739" s="1968"/>
      <c r="BC739" s="1968"/>
      <c r="BD739" s="1968"/>
      <c r="BE739" s="1968"/>
      <c r="BF739" s="1968"/>
      <c r="BG739" s="7235"/>
    </row>
    <row customHeight="1" ht="11.25">
      <c r="A740" s="1312" t="s">
        <v>1069</v>
      </c>
      <c r="B740" s="1312"/>
      <c r="C740" s="1312"/>
      <c r="D740" s="1306"/>
      <c r="E740" s="1316"/>
      <c r="F740" s="1975"/>
      <c r="G740" s="1975"/>
      <c r="H740" s="1975"/>
      <c r="I740" s="1975"/>
      <c r="J740" s="1975"/>
      <c r="K740" s="1975"/>
      <c r="L740" s="1975"/>
      <c r="M740" s="1975"/>
      <c r="N740" s="1975"/>
      <c r="O740" s="1975"/>
      <c r="P740" s="1975"/>
      <c r="Q740" s="1975"/>
      <c r="R740" s="1975"/>
      <c r="S740" s="1975"/>
      <c r="T740" s="1975"/>
      <c r="U740" s="1975"/>
      <c r="V740" s="1975"/>
      <c r="W740" s="1975"/>
      <c r="X740" s="1975"/>
      <c r="Y740" s="1975"/>
      <c r="Z740" s="7143" t="s">
        <v>106</v>
      </c>
      <c r="AA740" s="1959" t="s">
        <v>105</v>
      </c>
      <c r="AB740" s="1325" t="s">
        <v>1210</v>
      </c>
      <c r="AC740" s="1315">
        <v>505442</v>
      </c>
      <c r="AD740" s="1325" t="str">
        <f>AB740</f>
        <v>  Кредиты</v>
      </c>
      <c r="AE740" s="1315">
        <v>0</v>
      </c>
      <c r="AF740" s="2232"/>
      <c r="AG740" s="1904"/>
      <c r="AH740" s="1904"/>
      <c r="AI740" s="2232"/>
      <c r="AJ740" s="1904"/>
      <c r="AK740" s="2130"/>
      <c r="AL740" s="2131"/>
      <c r="AM740" s="1968"/>
      <c r="AN740" s="1968"/>
      <c r="AO740" s="1968"/>
      <c r="AP740" s="1968"/>
      <c r="AQ740" s="1968"/>
      <c r="AR740" s="1968"/>
      <c r="AS740" s="1968"/>
      <c r="AT740" s="1968"/>
      <c r="AU740" s="1968"/>
      <c r="AV740" s="1968"/>
      <c r="AW740" s="1968"/>
      <c r="AX740" s="1968"/>
      <c r="AY740" s="1968"/>
      <c r="AZ740" s="1968"/>
      <c r="BA740" s="1968"/>
      <c r="BB740" s="1968"/>
      <c r="BC740" s="1968"/>
      <c r="BD740" s="1968"/>
      <c r="BE740" s="1968"/>
      <c r="BF740" s="1968"/>
      <c r="BG740" s="7235"/>
    </row>
    <row customHeight="1" ht="11.25">
      <c r="A741" s="1312" t="s">
        <v>1069</v>
      </c>
      <c r="B741" s="1312"/>
      <c r="C741" s="1312"/>
      <c r="D741" s="1306"/>
      <c r="E741" s="1316"/>
      <c r="F741" s="1974"/>
      <c r="G741" s="1975"/>
      <c r="H741" s="2674" t="s">
        <v>1196</v>
      </c>
      <c r="I741" s="2675"/>
      <c r="J741" s="2644"/>
      <c r="K741" s="2676"/>
      <c r="L741" s="2266"/>
      <c r="M741" s="2267"/>
      <c r="N741" s="2667"/>
      <c r="O741" s="2668"/>
      <c r="P741" s="2671"/>
      <c r="Q741" s="8664"/>
      <c r="R741" s="2672"/>
      <c r="S741" s="2673"/>
      <c r="T741" s="2672"/>
      <c r="U741" s="2672"/>
      <c r="V741" s="2672"/>
      <c r="W741" s="2672"/>
      <c r="X741" s="2672"/>
      <c r="Y741" s="2672"/>
      <c r="Z741" s="1321"/>
      <c r="AA741" s="1322"/>
      <c r="AB741" s="1387" t="s">
        <v>1107</v>
      </c>
      <c r="AC741" s="1326"/>
      <c r="AD741" s="1326"/>
      <c r="AE741" s="1328"/>
      <c r="AF741" s="2665"/>
      <c r="AG741" s="2666"/>
      <c r="AH741" s="2666"/>
      <c r="AI741" s="8647"/>
      <c r="AJ741" s="2666"/>
      <c r="AK741" s="2666"/>
      <c r="AL741" s="2131"/>
      <c r="AM741" s="1968"/>
      <c r="AN741" s="1968"/>
      <c r="AO741" s="1968"/>
      <c r="AP741" s="1968"/>
      <c r="AQ741" s="1968"/>
      <c r="AR741" s="1968"/>
      <c r="AS741" s="1968"/>
      <c r="AT741" s="1968"/>
      <c r="AU741" s="1968"/>
      <c r="AV741" s="1968"/>
      <c r="AW741" s="1968"/>
      <c r="AX741" s="1968"/>
      <c r="AY741" s="1968"/>
      <c r="AZ741" s="1968"/>
      <c r="BA741" s="1968"/>
      <c r="BB741" s="1968"/>
      <c r="BC741" s="1968"/>
      <c r="BD741" s="1968"/>
      <c r="BE741" s="1968"/>
      <c r="BF741" s="1968"/>
      <c r="BG741" s="7235"/>
    </row>
    <row customHeight="1" ht="11.25">
      <c r="A742" s="1312" t="s">
        <v>1069</v>
      </c>
      <c r="B742" s="1312"/>
      <c r="C742" s="1312"/>
      <c r="D742" s="1306"/>
      <c r="E742" s="1316"/>
      <c r="F742" s="1974"/>
      <c r="G742" s="1975"/>
      <c r="H742" s="2674" t="s">
        <v>1196</v>
      </c>
      <c r="I742" s="2675"/>
      <c r="J742" s="2644"/>
      <c r="K742" s="2676"/>
      <c r="L742" s="2266"/>
      <c r="M742" s="2267"/>
      <c r="N742" s="1321"/>
      <c r="O742" s="1322"/>
      <c r="P742" s="1314" t="s">
        <v>1108</v>
      </c>
      <c r="Q742" s="1322"/>
      <c r="R742" s="1322"/>
      <c r="S742" s="1322"/>
      <c r="T742" s="1322"/>
      <c r="U742" s="1322"/>
      <c r="V742" s="1322"/>
      <c r="W742" s="1322"/>
      <c r="X742" s="1322"/>
      <c r="Y742" s="1322"/>
      <c r="Z742" s="1322"/>
      <c r="AA742" s="1322"/>
      <c r="AB742" s="1322"/>
      <c r="AC742" s="1322"/>
      <c r="AD742" s="1322"/>
      <c r="AE742" s="1329"/>
      <c r="AF742" s="2665"/>
      <c r="AG742" s="2666"/>
      <c r="AH742" s="2666"/>
      <c r="AI742" s="8647"/>
      <c r="AJ742" s="2666"/>
      <c r="AK742" s="2666"/>
      <c r="AL742" s="2131"/>
      <c r="AM742" s="1968"/>
      <c r="AN742" s="1968"/>
      <c r="AO742" s="1968"/>
      <c r="AP742" s="1968"/>
      <c r="AQ742" s="1968"/>
      <c r="AR742" s="1968"/>
      <c r="AS742" s="1968"/>
      <c r="AT742" s="1968"/>
      <c r="AU742" s="1968"/>
      <c r="AV742" s="1968"/>
      <c r="AW742" s="1968"/>
      <c r="AX742" s="1968"/>
      <c r="AY742" s="1968"/>
      <c r="AZ742" s="1968"/>
      <c r="BA742" s="1968"/>
      <c r="BB742" s="1968"/>
      <c r="BC742" s="1968"/>
      <c r="BD742" s="1968"/>
      <c r="BE742" s="1968"/>
      <c r="BF742" s="1968"/>
      <c r="BG742" s="7235"/>
    </row>
    <row customHeight="1" ht="11.25">
      <c r="A743" s="1312" t="s">
        <v>1069</v>
      </c>
      <c r="B743" s="1312" t="s">
        <v>1198</v>
      </c>
      <c r="C743" s="1312"/>
      <c r="D743" s="1306"/>
      <c r="E743" s="1316"/>
      <c r="F743" s="1974"/>
      <c r="G743" s="7143" t="s">
        <v>106</v>
      </c>
      <c r="H743" s="2674" t="s">
        <v>1199</v>
      </c>
      <c r="I743" s="2675" t="s">
        <v>1200</v>
      </c>
      <c r="J743" s="2644" t="s">
        <v>1206</v>
      </c>
      <c r="K743" s="2676" t="s">
        <v>1326</v>
      </c>
      <c r="L743" s="2266" t="s">
        <v>19</v>
      </c>
      <c r="M743" s="2267"/>
      <c r="N743" s="2129"/>
      <c r="O743" s="1323" t="s">
        <v>398</v>
      </c>
      <c r="P743" s="1324"/>
      <c r="Q743" s="1324"/>
      <c r="R743" s="1324"/>
      <c r="S743" s="1324"/>
      <c r="T743" s="1324"/>
      <c r="U743" s="1324"/>
      <c r="V743" s="1324"/>
      <c r="W743" s="1324"/>
      <c r="X743" s="1324"/>
      <c r="Y743" s="1324"/>
      <c r="Z743" s="1324"/>
      <c r="AA743" s="1324"/>
      <c r="AB743" s="1324"/>
      <c r="AC743" s="1324"/>
      <c r="AD743" s="1324"/>
      <c r="AE743" s="1324"/>
      <c r="AF743" s="2665">
        <v>2028</v>
      </c>
      <c r="AG743" s="2666" t="s">
        <v>1103</v>
      </c>
      <c r="AH743" s="2666" t="s">
        <v>1228</v>
      </c>
      <c r="AI743" s="8647"/>
      <c r="AJ743" s="2666" t="s">
        <v>1105</v>
      </c>
      <c r="AK743" s="2666" t="s">
        <v>1105</v>
      </c>
      <c r="AL743" s="2131"/>
      <c r="AM743" s="1968"/>
      <c r="AN743" s="1968"/>
      <c r="AO743" s="1968"/>
      <c r="AP743" s="1968"/>
      <c r="AQ743" s="1968"/>
      <c r="AR743" s="1968"/>
      <c r="AS743" s="1968"/>
      <c r="AT743" s="1968"/>
      <c r="AU743" s="1968"/>
      <c r="AV743" s="1968"/>
      <c r="AW743" s="1968"/>
      <c r="AX743" s="1968"/>
      <c r="AY743" s="1968"/>
      <c r="AZ743" s="1968"/>
      <c r="BA743" s="1968"/>
      <c r="BB743" s="1968"/>
      <c r="BC743" s="1968"/>
      <c r="BD743" s="1968"/>
      <c r="BE743" s="1968"/>
      <c r="BF743" s="1968"/>
      <c r="BG743" s="7235"/>
    </row>
    <row customHeight="1" ht="11.25">
      <c r="A744" s="1312" t="s">
        <v>1069</v>
      </c>
      <c r="B744" s="1312"/>
      <c r="C744" s="1312"/>
      <c r="D744" s="1306"/>
      <c r="E744" s="1316"/>
      <c r="F744" s="1974"/>
      <c r="G744" s="1975"/>
      <c r="H744" s="2674" t="s">
        <v>1199</v>
      </c>
      <c r="I744" s="2675"/>
      <c r="J744" s="2644"/>
      <c r="K744" s="2676"/>
      <c r="L744" s="2266"/>
      <c r="M744" s="2267"/>
      <c r="N744" s="2667"/>
      <c r="O744" s="2668">
        <v>1</v>
      </c>
      <c r="P744" s="2669" t="s">
        <v>63</v>
      </c>
      <c r="Q744" s="8664" t="s">
        <v>1208</v>
      </c>
      <c r="R744" s="8665" t="s">
        <v>1114</v>
      </c>
      <c r="S744" s="8665" t="s">
        <v>113</v>
      </c>
      <c r="T744" s="8665" t="s">
        <v>113</v>
      </c>
      <c r="U744" s="8665" t="s">
        <v>114</v>
      </c>
      <c r="V744" s="8665" t="s">
        <v>1115</v>
      </c>
      <c r="W744" s="8665" t="s">
        <v>1116</v>
      </c>
      <c r="X744" s="8665" t="s">
        <v>1209</v>
      </c>
      <c r="Y744" s="8665" t="s">
        <v>121</v>
      </c>
      <c r="Z744" s="1321"/>
      <c r="AA744" s="1322"/>
      <c r="AB744" s="1322"/>
      <c r="AC744" s="1326"/>
      <c r="AD744" s="1326"/>
      <c r="AE744" s="1327"/>
      <c r="AF744" s="2665"/>
      <c r="AG744" s="2666"/>
      <c r="AH744" s="2666"/>
      <c r="AI744" s="8647"/>
      <c r="AJ744" s="2666"/>
      <c r="AK744" s="2666"/>
      <c r="AL744" s="2131"/>
      <c r="AM744" s="1968"/>
      <c r="AN744" s="1968"/>
      <c r="AO744" s="1968"/>
      <c r="AP744" s="1968"/>
      <c r="AQ744" s="1968"/>
      <c r="AR744" s="1968"/>
      <c r="AS744" s="1968"/>
      <c r="AT744" s="1968"/>
      <c r="AU744" s="1968"/>
      <c r="AV744" s="1968"/>
      <c r="AW744" s="1968"/>
      <c r="AX744" s="1968"/>
      <c r="AY744" s="1968"/>
      <c r="AZ744" s="1968"/>
      <c r="BA744" s="1968"/>
      <c r="BB744" s="1968"/>
      <c r="BC744" s="1968"/>
      <c r="BD744" s="1968"/>
      <c r="BE744" s="1968"/>
      <c r="BF744" s="1968"/>
      <c r="BG744" s="7235"/>
    </row>
    <row customHeight="1" ht="11.25">
      <c r="A745" s="1312" t="s">
        <v>1069</v>
      </c>
      <c r="B745" s="1312"/>
      <c r="C745" s="1312"/>
      <c r="D745" s="1306"/>
      <c r="E745" s="1316"/>
      <c r="F745" s="1974"/>
      <c r="G745" s="1975"/>
      <c r="H745" s="2674" t="s">
        <v>1199</v>
      </c>
      <c r="I745" s="2675"/>
      <c r="J745" s="2644"/>
      <c r="K745" s="2676"/>
      <c r="L745" s="2266"/>
      <c r="M745" s="2267"/>
      <c r="N745" s="2667"/>
      <c r="O745" s="2668"/>
      <c r="P745" s="2670"/>
      <c r="Q745" s="8664"/>
      <c r="R745" s="2672"/>
      <c r="S745" s="2673"/>
      <c r="T745" s="2672"/>
      <c r="U745" s="2672"/>
      <c r="V745" s="2672"/>
      <c r="W745" s="2672"/>
      <c r="X745" s="2672"/>
      <c r="Y745" s="2672"/>
      <c r="Z745" s="1973"/>
      <c r="AA745" s="1939">
        <v>1</v>
      </c>
      <c r="AB745" s="1325" t="s">
        <v>1210</v>
      </c>
      <c r="AC745" s="1315">
        <v>32500</v>
      </c>
      <c r="AD745" s="1325" t="str">
        <f>AB745</f>
        <v>  Кредиты</v>
      </c>
      <c r="AE745" s="1315">
        <v>0</v>
      </c>
      <c r="AF745" s="2665"/>
      <c r="AG745" s="2666"/>
      <c r="AH745" s="2666"/>
      <c r="AI745" s="8647"/>
      <c r="AJ745" s="2666"/>
      <c r="AK745" s="2666"/>
      <c r="AL745" s="2131"/>
      <c r="AM745" s="1968"/>
      <c r="AN745" s="1968"/>
      <c r="AO745" s="1968"/>
      <c r="AP745" s="1968"/>
      <c r="AQ745" s="1968"/>
      <c r="AR745" s="1968"/>
      <c r="AS745" s="1968"/>
      <c r="AT745" s="1968"/>
      <c r="AU745" s="1968"/>
      <c r="AV745" s="1968"/>
      <c r="AW745" s="1968"/>
      <c r="AX745" s="1968"/>
      <c r="AY745" s="1968"/>
      <c r="AZ745" s="1968"/>
      <c r="BA745" s="1968"/>
      <c r="BB745" s="1968"/>
      <c r="BC745" s="1968"/>
      <c r="BD745" s="1968"/>
      <c r="BE745" s="1968"/>
      <c r="BF745" s="1968"/>
      <c r="BG745" s="7235"/>
    </row>
    <row customHeight="1" ht="11.25">
      <c r="A746" s="1312" t="s">
        <v>1069</v>
      </c>
      <c r="B746" s="1312"/>
      <c r="C746" s="1312"/>
      <c r="D746" s="1306"/>
      <c r="E746" s="1316"/>
      <c r="F746" s="1974"/>
      <c r="G746" s="1975"/>
      <c r="H746" s="2674" t="s">
        <v>1199</v>
      </c>
      <c r="I746" s="2675"/>
      <c r="J746" s="2644"/>
      <c r="K746" s="2676"/>
      <c r="L746" s="2266"/>
      <c r="M746" s="2267"/>
      <c r="N746" s="2667"/>
      <c r="O746" s="2668"/>
      <c r="P746" s="2671"/>
      <c r="Q746" s="8664"/>
      <c r="R746" s="2672"/>
      <c r="S746" s="2673"/>
      <c r="T746" s="2672"/>
      <c r="U746" s="2672"/>
      <c r="V746" s="2672"/>
      <c r="W746" s="2672"/>
      <c r="X746" s="2672"/>
      <c r="Y746" s="2672"/>
      <c r="Z746" s="1321"/>
      <c r="AA746" s="1322"/>
      <c r="AB746" s="1387" t="s">
        <v>1107</v>
      </c>
      <c r="AC746" s="1326"/>
      <c r="AD746" s="1326"/>
      <c r="AE746" s="1328"/>
      <c r="AF746" s="2665"/>
      <c r="AG746" s="2666"/>
      <c r="AH746" s="2666"/>
      <c r="AI746" s="8647"/>
      <c r="AJ746" s="2666"/>
      <c r="AK746" s="2666"/>
      <c r="AL746" s="2131"/>
      <c r="AM746" s="1968"/>
      <c r="AN746" s="1968"/>
      <c r="AO746" s="1968"/>
      <c r="AP746" s="1968"/>
      <c r="AQ746" s="1968"/>
      <c r="AR746" s="1968"/>
      <c r="AS746" s="1968"/>
      <c r="AT746" s="1968"/>
      <c r="AU746" s="1968"/>
      <c r="AV746" s="1968"/>
      <c r="AW746" s="1968"/>
      <c r="AX746" s="1968"/>
      <c r="AY746" s="1968"/>
      <c r="AZ746" s="1968"/>
      <c r="BA746" s="1968"/>
      <c r="BB746" s="1968"/>
      <c r="BC746" s="1968"/>
      <c r="BD746" s="1968"/>
      <c r="BE746" s="1968"/>
      <c r="BF746" s="1968"/>
      <c r="BG746" s="7235"/>
    </row>
    <row customHeight="1" ht="11.25">
      <c r="A747" s="1312" t="s">
        <v>1069</v>
      </c>
      <c r="B747" s="1312"/>
      <c r="C747" s="1312"/>
      <c r="D747" s="1306"/>
      <c r="E747" s="1316"/>
      <c r="F747" s="1974"/>
      <c r="G747" s="1975"/>
      <c r="H747" s="2674" t="s">
        <v>1199</v>
      </c>
      <c r="I747" s="2675"/>
      <c r="J747" s="2644"/>
      <c r="K747" s="2676"/>
      <c r="L747" s="2266"/>
      <c r="M747" s="2267"/>
      <c r="N747" s="1321"/>
      <c r="O747" s="1322"/>
      <c r="P747" s="1314" t="s">
        <v>1108</v>
      </c>
      <c r="Q747" s="1322"/>
      <c r="R747" s="1322"/>
      <c r="S747" s="1322"/>
      <c r="T747" s="1322"/>
      <c r="U747" s="1322"/>
      <c r="V747" s="1322"/>
      <c r="W747" s="1322"/>
      <c r="X747" s="1322"/>
      <c r="Y747" s="1322"/>
      <c r="Z747" s="1322"/>
      <c r="AA747" s="1322"/>
      <c r="AB747" s="1322"/>
      <c r="AC747" s="1322"/>
      <c r="AD747" s="1322"/>
      <c r="AE747" s="1329"/>
      <c r="AF747" s="2665"/>
      <c r="AG747" s="2666"/>
      <c r="AH747" s="2666"/>
      <c r="AI747" s="8647"/>
      <c r="AJ747" s="2666"/>
      <c r="AK747" s="2666"/>
      <c r="AL747" s="2131"/>
      <c r="AM747" s="1968"/>
      <c r="AN747" s="1968"/>
      <c r="AO747" s="1968"/>
      <c r="AP747" s="1968"/>
      <c r="AQ747" s="1968"/>
      <c r="AR747" s="1968"/>
      <c r="AS747" s="1968"/>
      <c r="AT747" s="1968"/>
      <c r="AU747" s="1968"/>
      <c r="AV747" s="1968"/>
      <c r="AW747" s="1968"/>
      <c r="AX747" s="1968"/>
      <c r="AY747" s="1968"/>
      <c r="AZ747" s="1968"/>
      <c r="BA747" s="1968"/>
      <c r="BB747" s="1968"/>
      <c r="BC747" s="1968"/>
      <c r="BD747" s="1968"/>
      <c r="BE747" s="1968"/>
      <c r="BF747" s="1968"/>
      <c r="BG747" s="7235"/>
    </row>
    <row customHeight="1" ht="11.25">
      <c r="A748" s="1312" t="s">
        <v>1069</v>
      </c>
      <c r="B748" s="1312" t="s">
        <v>1198</v>
      </c>
      <c r="C748" s="1312"/>
      <c r="D748" s="1306"/>
      <c r="E748" s="1316"/>
      <c r="F748" s="1974"/>
      <c r="G748" s="7143" t="s">
        <v>106</v>
      </c>
      <c r="H748" s="2674" t="s">
        <v>1141</v>
      </c>
      <c r="I748" s="2675" t="s">
        <v>1200</v>
      </c>
      <c r="J748" s="8666" t="s">
        <v>1206</v>
      </c>
      <c r="K748" s="2676" t="s">
        <v>1294</v>
      </c>
      <c r="L748" s="2266" t="s">
        <v>19</v>
      </c>
      <c r="M748" s="2267"/>
      <c r="N748" s="2129"/>
      <c r="O748" s="1323" t="s">
        <v>398</v>
      </c>
      <c r="P748" s="1324"/>
      <c r="Q748" s="1324"/>
      <c r="R748" s="1324"/>
      <c r="S748" s="1324"/>
      <c r="T748" s="1324"/>
      <c r="U748" s="1324"/>
      <c r="V748" s="1324"/>
      <c r="W748" s="1324"/>
      <c r="X748" s="1324"/>
      <c r="Y748" s="1324"/>
      <c r="Z748" s="1324"/>
      <c r="AA748" s="1324"/>
      <c r="AB748" s="1324"/>
      <c r="AC748" s="1324"/>
      <c r="AD748" s="1324"/>
      <c r="AE748" s="1324"/>
      <c r="AF748" s="2665">
        <v>2027</v>
      </c>
      <c r="AG748" s="2666" t="s">
        <v>1103</v>
      </c>
      <c r="AH748" s="2666" t="s">
        <v>1164</v>
      </c>
      <c r="AI748" s="8647"/>
      <c r="AJ748" s="2666" t="s">
        <v>1105</v>
      </c>
      <c r="AK748" s="2666" t="s">
        <v>1105</v>
      </c>
      <c r="AL748" s="2131"/>
      <c r="AM748" s="1968"/>
      <c r="AN748" s="1968"/>
      <c r="AO748" s="1968"/>
      <c r="AP748" s="1968"/>
      <c r="AQ748" s="1968"/>
      <c r="AR748" s="1968"/>
      <c r="AS748" s="1968"/>
      <c r="AT748" s="1968"/>
      <c r="AU748" s="1968"/>
      <c r="AV748" s="1968"/>
      <c r="AW748" s="1968"/>
      <c r="AX748" s="1968"/>
      <c r="AY748" s="1968"/>
      <c r="AZ748" s="1968"/>
      <c r="BA748" s="1968"/>
      <c r="BB748" s="1968"/>
      <c r="BC748" s="1968"/>
      <c r="BD748" s="1968"/>
      <c r="BE748" s="1968"/>
      <c r="BF748" s="1968"/>
      <c r="BG748" s="7235"/>
    </row>
    <row customHeight="1" ht="11.25">
      <c r="A749" s="1312" t="s">
        <v>1069</v>
      </c>
      <c r="B749" s="1312"/>
      <c r="C749" s="1312"/>
      <c r="D749" s="1306"/>
      <c r="E749" s="1316"/>
      <c r="F749" s="1974"/>
      <c r="G749" s="1975"/>
      <c r="H749" s="2674" t="s">
        <v>1141</v>
      </c>
      <c r="I749" s="2675"/>
      <c r="J749" s="8666"/>
      <c r="K749" s="2676"/>
      <c r="L749" s="2266"/>
      <c r="M749" s="2267"/>
      <c r="N749" s="2667"/>
      <c r="O749" s="2668">
        <v>1</v>
      </c>
      <c r="P749" s="2669" t="s">
        <v>63</v>
      </c>
      <c r="Q749" s="8645" t="s">
        <v>1208</v>
      </c>
      <c r="R749" s="8646" t="s">
        <v>1114</v>
      </c>
      <c r="S749" s="8646" t="s">
        <v>113</v>
      </c>
      <c r="T749" s="8646" t="s">
        <v>113</v>
      </c>
      <c r="U749" s="8646" t="s">
        <v>114</v>
      </c>
      <c r="V749" s="8646" t="s">
        <v>1115</v>
      </c>
      <c r="W749" s="8646" t="s">
        <v>1116</v>
      </c>
      <c r="X749" s="8646" t="s">
        <v>1209</v>
      </c>
      <c r="Y749" s="8646" t="s">
        <v>121</v>
      </c>
      <c r="Z749" s="1321"/>
      <c r="AA749" s="1322"/>
      <c r="AB749" s="1322"/>
      <c r="AC749" s="1326"/>
      <c r="AD749" s="1326"/>
      <c r="AE749" s="1327"/>
      <c r="AF749" s="2665"/>
      <c r="AG749" s="2666"/>
      <c r="AH749" s="2666"/>
      <c r="AI749" s="8647"/>
      <c r="AJ749" s="2666"/>
      <c r="AK749" s="2666"/>
      <c r="AL749" s="2131"/>
      <c r="AM749" s="1968"/>
      <c r="AN749" s="1968"/>
      <c r="AO749" s="1968"/>
      <c r="AP749" s="1968"/>
      <c r="AQ749" s="1968"/>
      <c r="AR749" s="1968"/>
      <c r="AS749" s="1968"/>
      <c r="AT749" s="1968"/>
      <c r="AU749" s="1968"/>
      <c r="AV749" s="1968"/>
      <c r="AW749" s="1968"/>
      <c r="AX749" s="1968"/>
      <c r="AY749" s="1968"/>
      <c r="AZ749" s="1968"/>
      <c r="BA749" s="1968"/>
      <c r="BB749" s="1968"/>
      <c r="BC749" s="1968"/>
      <c r="BD749" s="1968"/>
      <c r="BE749" s="1968"/>
      <c r="BF749" s="1968"/>
      <c r="BG749" s="7235"/>
    </row>
    <row customHeight="1" ht="11.25">
      <c r="A750" s="1312" t="s">
        <v>1069</v>
      </c>
      <c r="B750" s="1312"/>
      <c r="C750" s="1312"/>
      <c r="D750" s="1306"/>
      <c r="E750" s="1316"/>
      <c r="F750" s="1974"/>
      <c r="G750" s="1975"/>
      <c r="H750" s="2674" t="s">
        <v>1141</v>
      </c>
      <c r="I750" s="2675"/>
      <c r="J750" s="8666"/>
      <c r="K750" s="2676"/>
      <c r="L750" s="2266"/>
      <c r="M750" s="2267"/>
      <c r="N750" s="2667"/>
      <c r="O750" s="2668"/>
      <c r="P750" s="2670"/>
      <c r="Q750" s="8645"/>
      <c r="R750" s="2672"/>
      <c r="S750" s="2673"/>
      <c r="T750" s="2672"/>
      <c r="U750" s="2672"/>
      <c r="V750" s="2672"/>
      <c r="W750" s="2672"/>
      <c r="X750" s="2672"/>
      <c r="Y750" s="2672"/>
      <c r="Z750" s="1973"/>
      <c r="AA750" s="1939">
        <v>1</v>
      </c>
      <c r="AB750" s="1325" t="s">
        <v>1131</v>
      </c>
      <c r="AC750" s="1315">
        <v>12500</v>
      </c>
      <c r="AD750" s="1325" t="str">
        <f>AB750</f>
        <v>      Прочие амортизационные отчисления</v>
      </c>
      <c r="AE750" s="1315">
        <v>0</v>
      </c>
      <c r="AF750" s="2665"/>
      <c r="AG750" s="2666"/>
      <c r="AH750" s="2666"/>
      <c r="AI750" s="8647"/>
      <c r="AJ750" s="2666"/>
      <c r="AK750" s="2666"/>
      <c r="AL750" s="2131"/>
      <c r="AM750" s="1968"/>
      <c r="AN750" s="1968"/>
      <c r="AO750" s="1968"/>
      <c r="AP750" s="1968"/>
      <c r="AQ750" s="1968"/>
      <c r="AR750" s="1968"/>
      <c r="AS750" s="1968"/>
      <c r="AT750" s="1968"/>
      <c r="AU750" s="1968"/>
      <c r="AV750" s="1968"/>
      <c r="AW750" s="1968"/>
      <c r="AX750" s="1968"/>
      <c r="AY750" s="1968"/>
      <c r="AZ750" s="1968"/>
      <c r="BA750" s="1968"/>
      <c r="BB750" s="1968"/>
      <c r="BC750" s="1968"/>
      <c r="BD750" s="1968"/>
      <c r="BE750" s="1968"/>
      <c r="BF750" s="1968"/>
      <c r="BG750" s="7235"/>
    </row>
    <row customHeight="1" ht="11.25">
      <c r="A751" s="1312" t="s">
        <v>1069</v>
      </c>
      <c r="B751" s="1312"/>
      <c r="C751" s="1312"/>
      <c r="D751" s="1306"/>
      <c r="E751" s="1316"/>
      <c r="F751" s="1974"/>
      <c r="G751" s="1975"/>
      <c r="H751" s="2674" t="s">
        <v>1141</v>
      </c>
      <c r="I751" s="2675"/>
      <c r="J751" s="8666"/>
      <c r="K751" s="2676"/>
      <c r="L751" s="2266"/>
      <c r="M751" s="2267"/>
      <c r="N751" s="2667"/>
      <c r="O751" s="2668"/>
      <c r="P751" s="2671"/>
      <c r="Q751" s="8645"/>
      <c r="R751" s="2672"/>
      <c r="S751" s="2673"/>
      <c r="T751" s="2672"/>
      <c r="U751" s="2672"/>
      <c r="V751" s="2672"/>
      <c r="W751" s="2672"/>
      <c r="X751" s="2672"/>
      <c r="Y751" s="2672"/>
      <c r="Z751" s="1321"/>
      <c r="AA751" s="1322"/>
      <c r="AB751" s="1387" t="s">
        <v>1107</v>
      </c>
      <c r="AC751" s="1326"/>
      <c r="AD751" s="1326"/>
      <c r="AE751" s="1328"/>
      <c r="AF751" s="2665"/>
      <c r="AG751" s="2666"/>
      <c r="AH751" s="2666"/>
      <c r="AI751" s="8647"/>
      <c r="AJ751" s="2666"/>
      <c r="AK751" s="2666"/>
      <c r="AL751" s="2131"/>
      <c r="AM751" s="1968"/>
      <c r="AN751" s="1968"/>
      <c r="AO751" s="1968"/>
      <c r="AP751" s="1968"/>
      <c r="AQ751" s="1968"/>
      <c r="AR751" s="1968"/>
      <c r="AS751" s="1968"/>
      <c r="AT751" s="1968"/>
      <c r="AU751" s="1968"/>
      <c r="AV751" s="1968"/>
      <c r="AW751" s="1968"/>
      <c r="AX751" s="1968"/>
      <c r="AY751" s="1968"/>
      <c r="AZ751" s="1968"/>
      <c r="BA751" s="1968"/>
      <c r="BB751" s="1968"/>
      <c r="BC751" s="1968"/>
      <c r="BD751" s="1968"/>
      <c r="BE751" s="1968"/>
      <c r="BF751" s="1968"/>
      <c r="BG751" s="7235"/>
    </row>
    <row customHeight="1" ht="11.25">
      <c r="A752" s="1312" t="s">
        <v>1069</v>
      </c>
      <c r="B752" s="1312"/>
      <c r="C752" s="1312"/>
      <c r="D752" s="1306"/>
      <c r="E752" s="1316"/>
      <c r="F752" s="1974"/>
      <c r="G752" s="1975"/>
      <c r="H752" s="2674" t="s">
        <v>1141</v>
      </c>
      <c r="I752" s="2675"/>
      <c r="J752" s="8666"/>
      <c r="K752" s="2676"/>
      <c r="L752" s="2266"/>
      <c r="M752" s="2267"/>
      <c r="N752" s="1321"/>
      <c r="O752" s="1322"/>
      <c r="P752" s="1314" t="s">
        <v>1108</v>
      </c>
      <c r="Q752" s="1322"/>
      <c r="R752" s="1322"/>
      <c r="S752" s="1322"/>
      <c r="T752" s="1322"/>
      <c r="U752" s="1322"/>
      <c r="V752" s="1322"/>
      <c r="W752" s="1322"/>
      <c r="X752" s="1322"/>
      <c r="Y752" s="1322"/>
      <c r="Z752" s="1322"/>
      <c r="AA752" s="1322"/>
      <c r="AB752" s="1322"/>
      <c r="AC752" s="1322"/>
      <c r="AD752" s="1322"/>
      <c r="AE752" s="1329"/>
      <c r="AF752" s="2665"/>
      <c r="AG752" s="2666"/>
      <c r="AH752" s="2666"/>
      <c r="AI752" s="8647"/>
      <c r="AJ752" s="2666"/>
      <c r="AK752" s="2666"/>
      <c r="AL752" s="2131"/>
      <c r="AM752" s="1968"/>
      <c r="AN752" s="1968"/>
      <c r="AO752" s="1968"/>
      <c r="AP752" s="1968"/>
      <c r="AQ752" s="1968"/>
      <c r="AR752" s="1968"/>
      <c r="AS752" s="1968"/>
      <c r="AT752" s="1968"/>
      <c r="AU752" s="1968"/>
      <c r="AV752" s="1968"/>
      <c r="AW752" s="1968"/>
      <c r="AX752" s="1968"/>
      <c r="AY752" s="1968"/>
      <c r="AZ752" s="1968"/>
      <c r="BA752" s="1968"/>
      <c r="BB752" s="1968"/>
      <c r="BC752" s="1968"/>
      <c r="BD752" s="1968"/>
      <c r="BE752" s="1968"/>
      <c r="BF752" s="1968"/>
      <c r="BG752" s="7235"/>
    </row>
    <row customHeight="1" ht="11.25">
      <c r="A753" s="1312" t="s">
        <v>1069</v>
      </c>
      <c r="B753" s="1312" t="s">
        <v>1198</v>
      </c>
      <c r="C753" s="1312"/>
      <c r="D753" s="1306"/>
      <c r="E753" s="1316"/>
      <c r="F753" s="1974"/>
      <c r="G753" s="7143" t="s">
        <v>106</v>
      </c>
      <c r="H753" s="2674" t="s">
        <v>1204</v>
      </c>
      <c r="I753" s="2675" t="s">
        <v>1200</v>
      </c>
      <c r="J753" s="8666" t="s">
        <v>1206</v>
      </c>
      <c r="K753" s="2676" t="s">
        <v>1327</v>
      </c>
      <c r="L753" s="2266" t="s">
        <v>19</v>
      </c>
      <c r="M753" s="2267"/>
      <c r="N753" s="2129"/>
      <c r="O753" s="1323" t="s">
        <v>398</v>
      </c>
      <c r="P753" s="1324"/>
      <c r="Q753" s="1324"/>
      <c r="R753" s="1324"/>
      <c r="S753" s="1324"/>
      <c r="T753" s="1324"/>
      <c r="U753" s="1324"/>
      <c r="V753" s="1324"/>
      <c r="W753" s="1324"/>
      <c r="X753" s="1324"/>
      <c r="Y753" s="1324"/>
      <c r="Z753" s="1324"/>
      <c r="AA753" s="1324"/>
      <c r="AB753" s="1324"/>
      <c r="AC753" s="1324"/>
      <c r="AD753" s="1324"/>
      <c r="AE753" s="1324"/>
      <c r="AF753" s="2665">
        <v>2027</v>
      </c>
      <c r="AG753" s="2666" t="s">
        <v>1103</v>
      </c>
      <c r="AH753" s="2666" t="s">
        <v>1164</v>
      </c>
      <c r="AI753" s="8647"/>
      <c r="AJ753" s="2666" t="s">
        <v>1105</v>
      </c>
      <c r="AK753" s="2666" t="s">
        <v>1105</v>
      </c>
      <c r="AL753" s="2131"/>
      <c r="AM753" s="1968"/>
      <c r="AN753" s="1968"/>
      <c r="AO753" s="1968"/>
      <c r="AP753" s="1968"/>
      <c r="AQ753" s="1968"/>
      <c r="AR753" s="1968"/>
      <c r="AS753" s="1968"/>
      <c r="AT753" s="1968"/>
      <c r="AU753" s="1968"/>
      <c r="AV753" s="1968"/>
      <c r="AW753" s="1968"/>
      <c r="AX753" s="1968"/>
      <c r="AY753" s="1968"/>
      <c r="AZ753" s="1968"/>
      <c r="BA753" s="1968"/>
      <c r="BB753" s="1968"/>
      <c r="BC753" s="1968"/>
      <c r="BD753" s="1968"/>
      <c r="BE753" s="1968"/>
      <c r="BF753" s="1968"/>
      <c r="BG753" s="7235"/>
    </row>
    <row customHeight="1" ht="11.25">
      <c r="A754" s="1312" t="s">
        <v>1069</v>
      </c>
      <c r="B754" s="1312"/>
      <c r="C754" s="1312"/>
      <c r="D754" s="1306"/>
      <c r="E754" s="1316"/>
      <c r="F754" s="1974"/>
      <c r="G754" s="1975"/>
      <c r="H754" s="2674" t="s">
        <v>1204</v>
      </c>
      <c r="I754" s="2675"/>
      <c r="J754" s="8666"/>
      <c r="K754" s="2676"/>
      <c r="L754" s="2266"/>
      <c r="M754" s="2267"/>
      <c r="N754" s="2667"/>
      <c r="O754" s="2668">
        <v>1</v>
      </c>
      <c r="P754" s="2669" t="s">
        <v>63</v>
      </c>
      <c r="Q754" s="8645" t="s">
        <v>1208</v>
      </c>
      <c r="R754" s="8646" t="s">
        <v>1114</v>
      </c>
      <c r="S754" s="8646" t="s">
        <v>113</v>
      </c>
      <c r="T754" s="8646" t="s">
        <v>113</v>
      </c>
      <c r="U754" s="8646" t="s">
        <v>114</v>
      </c>
      <c r="V754" s="8646" t="s">
        <v>1115</v>
      </c>
      <c r="W754" s="8646" t="s">
        <v>1116</v>
      </c>
      <c r="X754" s="8646" t="s">
        <v>1209</v>
      </c>
      <c r="Y754" s="8646" t="s">
        <v>121</v>
      </c>
      <c r="Z754" s="1321"/>
      <c r="AA754" s="1322"/>
      <c r="AB754" s="1322"/>
      <c r="AC754" s="1326"/>
      <c r="AD754" s="1326"/>
      <c r="AE754" s="1327"/>
      <c r="AF754" s="2665"/>
      <c r="AG754" s="2666"/>
      <c r="AH754" s="2666"/>
      <c r="AI754" s="8647"/>
      <c r="AJ754" s="2666"/>
      <c r="AK754" s="2666"/>
      <c r="AL754" s="2131"/>
      <c r="AM754" s="1968"/>
      <c r="AN754" s="1968"/>
      <c r="AO754" s="1968"/>
      <c r="AP754" s="1968"/>
      <c r="AQ754" s="1968"/>
      <c r="AR754" s="1968"/>
      <c r="AS754" s="1968"/>
      <c r="AT754" s="1968"/>
      <c r="AU754" s="1968"/>
      <c r="AV754" s="1968"/>
      <c r="AW754" s="1968"/>
      <c r="AX754" s="1968"/>
      <c r="AY754" s="1968"/>
      <c r="AZ754" s="1968"/>
      <c r="BA754" s="1968"/>
      <c r="BB754" s="1968"/>
      <c r="BC754" s="1968"/>
      <c r="BD754" s="1968"/>
      <c r="BE754" s="1968"/>
      <c r="BF754" s="1968"/>
      <c r="BG754" s="7235"/>
    </row>
    <row customHeight="1" ht="11.25">
      <c r="A755" s="1312" t="s">
        <v>1069</v>
      </c>
      <c r="B755" s="1312"/>
      <c r="C755" s="1312"/>
      <c r="D755" s="1306"/>
      <c r="E755" s="1316"/>
      <c r="F755" s="1974"/>
      <c r="G755" s="1975"/>
      <c r="H755" s="2674" t="s">
        <v>1204</v>
      </c>
      <c r="I755" s="2675"/>
      <c r="J755" s="8666"/>
      <c r="K755" s="2676"/>
      <c r="L755" s="2266"/>
      <c r="M755" s="2267"/>
      <c r="N755" s="2667"/>
      <c r="O755" s="2668"/>
      <c r="P755" s="2670"/>
      <c r="Q755" s="8645"/>
      <c r="R755" s="2672"/>
      <c r="S755" s="2673"/>
      <c r="T755" s="2672"/>
      <c r="U755" s="2672"/>
      <c r="V755" s="2672"/>
      <c r="W755" s="2672"/>
      <c r="X755" s="2672"/>
      <c r="Y755" s="2672"/>
      <c r="Z755" s="1973"/>
      <c r="AA755" s="1939">
        <v>1</v>
      </c>
      <c r="AB755" s="1325" t="s">
        <v>1131</v>
      </c>
      <c r="AC755" s="1315">
        <v>2537</v>
      </c>
      <c r="AD755" s="1325" t="str">
        <f>AB755</f>
        <v>      Прочие амортизационные отчисления</v>
      </c>
      <c r="AE755" s="1315">
        <v>0</v>
      </c>
      <c r="AF755" s="2665"/>
      <c r="AG755" s="2666"/>
      <c r="AH755" s="2666"/>
      <c r="AI755" s="8647"/>
      <c r="AJ755" s="2666"/>
      <c r="AK755" s="2666"/>
      <c r="AL755" s="2131"/>
      <c r="AM755" s="1968"/>
      <c r="AN755" s="1968"/>
      <c r="AO755" s="1968"/>
      <c r="AP755" s="1968"/>
      <c r="AQ755" s="1968"/>
      <c r="AR755" s="1968"/>
      <c r="AS755" s="1968"/>
      <c r="AT755" s="1968"/>
      <c r="AU755" s="1968"/>
      <c r="AV755" s="1968"/>
      <c r="AW755" s="1968"/>
      <c r="AX755" s="1968"/>
      <c r="AY755" s="1968"/>
      <c r="AZ755" s="1968"/>
      <c r="BA755" s="1968"/>
      <c r="BB755" s="1968"/>
      <c r="BC755" s="1968"/>
      <c r="BD755" s="1968"/>
      <c r="BE755" s="1968"/>
      <c r="BF755" s="1968"/>
      <c r="BG755" s="7235"/>
    </row>
    <row customHeight="1" ht="11.25">
      <c r="A756" s="1312" t="s">
        <v>1069</v>
      </c>
      <c r="B756" s="1312"/>
      <c r="C756" s="1312"/>
      <c r="D756" s="1306"/>
      <c r="E756" s="1316"/>
      <c r="F756" s="1974"/>
      <c r="G756" s="1975"/>
      <c r="H756" s="2674" t="s">
        <v>1204</v>
      </c>
      <c r="I756" s="2675"/>
      <c r="J756" s="8666"/>
      <c r="K756" s="2676"/>
      <c r="L756" s="2266"/>
      <c r="M756" s="2267"/>
      <c r="N756" s="2667"/>
      <c r="O756" s="2668"/>
      <c r="P756" s="2671"/>
      <c r="Q756" s="8645"/>
      <c r="R756" s="2672"/>
      <c r="S756" s="2673"/>
      <c r="T756" s="2672"/>
      <c r="U756" s="2672"/>
      <c r="V756" s="2672"/>
      <c r="W756" s="2672"/>
      <c r="X756" s="2672"/>
      <c r="Y756" s="2672"/>
      <c r="Z756" s="1321"/>
      <c r="AA756" s="1322"/>
      <c r="AB756" s="1387" t="s">
        <v>1107</v>
      </c>
      <c r="AC756" s="1326"/>
      <c r="AD756" s="1326"/>
      <c r="AE756" s="1328"/>
      <c r="AF756" s="2665"/>
      <c r="AG756" s="2666"/>
      <c r="AH756" s="2666"/>
      <c r="AI756" s="8647"/>
      <c r="AJ756" s="2666"/>
      <c r="AK756" s="2666"/>
      <c r="AL756" s="2131"/>
      <c r="AM756" s="1968"/>
      <c r="AN756" s="1968"/>
      <c r="AO756" s="1968"/>
      <c r="AP756" s="1968"/>
      <c r="AQ756" s="1968"/>
      <c r="AR756" s="1968"/>
      <c r="AS756" s="1968"/>
      <c r="AT756" s="1968"/>
      <c r="AU756" s="1968"/>
      <c r="AV756" s="1968"/>
      <c r="AW756" s="1968"/>
      <c r="AX756" s="1968"/>
      <c r="AY756" s="1968"/>
      <c r="AZ756" s="1968"/>
      <c r="BA756" s="1968"/>
      <c r="BB756" s="1968"/>
      <c r="BC756" s="1968"/>
      <c r="BD756" s="1968"/>
      <c r="BE756" s="1968"/>
      <c r="BF756" s="1968"/>
      <c r="BG756" s="7235"/>
    </row>
    <row customHeight="1" ht="11.25">
      <c r="A757" s="1312" t="s">
        <v>1069</v>
      </c>
      <c r="B757" s="1312"/>
      <c r="C757" s="1312"/>
      <c r="D757" s="1306"/>
      <c r="E757" s="1316"/>
      <c r="F757" s="1974"/>
      <c r="G757" s="1975"/>
      <c r="H757" s="2674" t="s">
        <v>1204</v>
      </c>
      <c r="I757" s="2675"/>
      <c r="J757" s="8666"/>
      <c r="K757" s="2676"/>
      <c r="L757" s="2266"/>
      <c r="M757" s="2267"/>
      <c r="N757" s="1321"/>
      <c r="O757" s="1322"/>
      <c r="P757" s="1314" t="s">
        <v>1108</v>
      </c>
      <c r="Q757" s="1322"/>
      <c r="R757" s="1322"/>
      <c r="S757" s="1322"/>
      <c r="T757" s="1322"/>
      <c r="U757" s="1322"/>
      <c r="V757" s="1322"/>
      <c r="W757" s="1322"/>
      <c r="X757" s="1322"/>
      <c r="Y757" s="1322"/>
      <c r="Z757" s="1322"/>
      <c r="AA757" s="1322"/>
      <c r="AB757" s="1322"/>
      <c r="AC757" s="1322"/>
      <c r="AD757" s="1322"/>
      <c r="AE757" s="1329"/>
      <c r="AF757" s="2665"/>
      <c r="AG757" s="2666"/>
      <c r="AH757" s="2666"/>
      <c r="AI757" s="8647"/>
      <c r="AJ757" s="2666"/>
      <c r="AK757" s="2666"/>
      <c r="AL757" s="2131"/>
      <c r="AM757" s="1968"/>
      <c r="AN757" s="1968"/>
      <c r="AO757" s="1968"/>
      <c r="AP757" s="1968"/>
      <c r="AQ757" s="1968"/>
      <c r="AR757" s="1968"/>
      <c r="AS757" s="1968"/>
      <c r="AT757" s="1968"/>
      <c r="AU757" s="1968"/>
      <c r="AV757" s="1968"/>
      <c r="AW757" s="1968"/>
      <c r="AX757" s="1968"/>
      <c r="AY757" s="1968"/>
      <c r="AZ757" s="1968"/>
      <c r="BA757" s="1968"/>
      <c r="BB757" s="1968"/>
      <c r="BC757" s="1968"/>
      <c r="BD757" s="1968"/>
      <c r="BE757" s="1968"/>
      <c r="BF757" s="1968"/>
      <c r="BG757" s="7235"/>
    </row>
    <row customHeight="1" ht="11.25">
      <c r="A758" s="1312" t="s">
        <v>1069</v>
      </c>
      <c r="B758" s="1312" t="s">
        <v>1198</v>
      </c>
      <c r="C758" s="1312"/>
      <c r="D758" s="1306"/>
      <c r="E758" s="1316"/>
      <c r="F758" s="1974"/>
      <c r="G758" s="7143" t="s">
        <v>106</v>
      </c>
      <c r="H758" s="2674" t="s">
        <v>1157</v>
      </c>
      <c r="I758" s="2675" t="s">
        <v>1200</v>
      </c>
      <c r="J758" s="8666" t="s">
        <v>1206</v>
      </c>
      <c r="K758" s="2676" t="s">
        <v>1299</v>
      </c>
      <c r="L758" s="2266" t="s">
        <v>19</v>
      </c>
      <c r="M758" s="2267"/>
      <c r="N758" s="2129"/>
      <c r="O758" s="1323" t="s">
        <v>398</v>
      </c>
      <c r="P758" s="1324"/>
      <c r="Q758" s="1324"/>
      <c r="R758" s="1324"/>
      <c r="S758" s="1324"/>
      <c r="T758" s="1324"/>
      <c r="U758" s="1324"/>
      <c r="V758" s="1324"/>
      <c r="W758" s="1324"/>
      <c r="X758" s="1324"/>
      <c r="Y758" s="1324"/>
      <c r="Z758" s="1324"/>
      <c r="AA758" s="1324"/>
      <c r="AB758" s="1324"/>
      <c r="AC758" s="1324"/>
      <c r="AD758" s="1324"/>
      <c r="AE758" s="1324"/>
      <c r="AF758" s="2665">
        <v>2026</v>
      </c>
      <c r="AG758" s="2666" t="s">
        <v>1103</v>
      </c>
      <c r="AH758" s="2666" t="s">
        <v>1162</v>
      </c>
      <c r="AI758" s="8647"/>
      <c r="AJ758" s="2666" t="s">
        <v>1105</v>
      </c>
      <c r="AK758" s="2666" t="s">
        <v>1105</v>
      </c>
      <c r="AL758" s="2131"/>
      <c r="AM758" s="1968"/>
      <c r="AN758" s="1968"/>
      <c r="AO758" s="1968"/>
      <c r="AP758" s="1968"/>
      <c r="AQ758" s="1968"/>
      <c r="AR758" s="1968"/>
      <c r="AS758" s="1968"/>
      <c r="AT758" s="1968"/>
      <c r="AU758" s="1968"/>
      <c r="AV758" s="1968"/>
      <c r="AW758" s="1968"/>
      <c r="AX758" s="1968"/>
      <c r="AY758" s="1968"/>
      <c r="AZ758" s="1968"/>
      <c r="BA758" s="1968"/>
      <c r="BB758" s="1968"/>
      <c r="BC758" s="1968"/>
      <c r="BD758" s="1968"/>
      <c r="BE758" s="1968"/>
      <c r="BF758" s="1968"/>
      <c r="BG758" s="7235"/>
    </row>
    <row customHeight="1" ht="11.25">
      <c r="A759" s="1312" t="s">
        <v>1069</v>
      </c>
      <c r="B759" s="1312"/>
      <c r="C759" s="1312"/>
      <c r="D759" s="1306"/>
      <c r="E759" s="1316"/>
      <c r="F759" s="1974"/>
      <c r="G759" s="1975"/>
      <c r="H759" s="2674" t="s">
        <v>1157</v>
      </c>
      <c r="I759" s="2675"/>
      <c r="J759" s="8666"/>
      <c r="K759" s="2676"/>
      <c r="L759" s="2266"/>
      <c r="M759" s="2267"/>
      <c r="N759" s="2667"/>
      <c r="O759" s="2668">
        <v>1</v>
      </c>
      <c r="P759" s="2669" t="s">
        <v>63</v>
      </c>
      <c r="Q759" s="8645" t="s">
        <v>1208</v>
      </c>
      <c r="R759" s="8646" t="s">
        <v>1114</v>
      </c>
      <c r="S759" s="8646" t="s">
        <v>113</v>
      </c>
      <c r="T759" s="8646" t="s">
        <v>113</v>
      </c>
      <c r="U759" s="8646" t="s">
        <v>114</v>
      </c>
      <c r="V759" s="8646" t="s">
        <v>1115</v>
      </c>
      <c r="W759" s="8646" t="s">
        <v>1116</v>
      </c>
      <c r="X759" s="8646" t="s">
        <v>1209</v>
      </c>
      <c r="Y759" s="8646" t="s">
        <v>121</v>
      </c>
      <c r="Z759" s="1321"/>
      <c r="AA759" s="1322"/>
      <c r="AB759" s="1322"/>
      <c r="AC759" s="1326"/>
      <c r="AD759" s="1326"/>
      <c r="AE759" s="1327"/>
      <c r="AF759" s="2665"/>
      <c r="AG759" s="2666"/>
      <c r="AH759" s="2666"/>
      <c r="AI759" s="8647"/>
      <c r="AJ759" s="2666"/>
      <c r="AK759" s="2666"/>
      <c r="AL759" s="2131"/>
      <c r="AM759" s="1968"/>
      <c r="AN759" s="1968"/>
      <c r="AO759" s="1968"/>
      <c r="AP759" s="1968"/>
      <c r="AQ759" s="1968"/>
      <c r="AR759" s="1968"/>
      <c r="AS759" s="1968"/>
      <c r="AT759" s="1968"/>
      <c r="AU759" s="1968"/>
      <c r="AV759" s="1968"/>
      <c r="AW759" s="1968"/>
      <c r="AX759" s="1968"/>
      <c r="AY759" s="1968"/>
      <c r="AZ759" s="1968"/>
      <c r="BA759" s="1968"/>
      <c r="BB759" s="1968"/>
      <c r="BC759" s="1968"/>
      <c r="BD759" s="1968"/>
      <c r="BE759" s="1968"/>
      <c r="BF759" s="1968"/>
      <c r="BG759" s="7235"/>
    </row>
    <row customHeight="1" ht="11.25">
      <c r="A760" s="1312" t="s">
        <v>1069</v>
      </c>
      <c r="B760" s="1312"/>
      <c r="C760" s="1312"/>
      <c r="D760" s="1306"/>
      <c r="E760" s="1316"/>
      <c r="F760" s="1974"/>
      <c r="G760" s="1975"/>
      <c r="H760" s="2674" t="s">
        <v>1157</v>
      </c>
      <c r="I760" s="2675"/>
      <c r="J760" s="8666"/>
      <c r="K760" s="2676"/>
      <c r="L760" s="2266"/>
      <c r="M760" s="2267"/>
      <c r="N760" s="2667"/>
      <c r="O760" s="2668"/>
      <c r="P760" s="2670"/>
      <c r="Q760" s="8645"/>
      <c r="R760" s="2672"/>
      <c r="S760" s="2673"/>
      <c r="T760" s="2672"/>
      <c r="U760" s="2672"/>
      <c r="V760" s="2672"/>
      <c r="W760" s="2672"/>
      <c r="X760" s="2672"/>
      <c r="Y760" s="2672"/>
      <c r="Z760" s="1973"/>
      <c r="AA760" s="1939">
        <v>1</v>
      </c>
      <c r="AB760" s="1325" t="s">
        <v>1131</v>
      </c>
      <c r="AC760" s="1315">
        <v>857</v>
      </c>
      <c r="AD760" s="1325" t="str">
        <f>AB760</f>
        <v>      Прочие амортизационные отчисления</v>
      </c>
      <c r="AE760" s="1315">
        <v>0</v>
      </c>
      <c r="AF760" s="2665"/>
      <c r="AG760" s="2666"/>
      <c r="AH760" s="2666"/>
      <c r="AI760" s="8647"/>
      <c r="AJ760" s="2666"/>
      <c r="AK760" s="2666"/>
      <c r="AL760" s="2131"/>
      <c r="AM760" s="1968"/>
      <c r="AN760" s="1968"/>
      <c r="AO760" s="1968"/>
      <c r="AP760" s="1968"/>
      <c r="AQ760" s="1968"/>
      <c r="AR760" s="1968"/>
      <c r="AS760" s="1968"/>
      <c r="AT760" s="1968"/>
      <c r="AU760" s="1968"/>
      <c r="AV760" s="1968"/>
      <c r="AW760" s="1968"/>
      <c r="AX760" s="1968"/>
      <c r="AY760" s="1968"/>
      <c r="AZ760" s="1968"/>
      <c r="BA760" s="1968"/>
      <c r="BB760" s="1968"/>
      <c r="BC760" s="1968"/>
      <c r="BD760" s="1968"/>
      <c r="BE760" s="1968"/>
      <c r="BF760" s="1968"/>
      <c r="BG760" s="7235"/>
    </row>
    <row customHeight="1" ht="11.25">
      <c r="A761" s="1312" t="s">
        <v>1069</v>
      </c>
      <c r="B761" s="1312"/>
      <c r="C761" s="1312"/>
      <c r="D761" s="1306"/>
      <c r="E761" s="1316"/>
      <c r="F761" s="1974"/>
      <c r="G761" s="1975"/>
      <c r="H761" s="2674" t="s">
        <v>1157</v>
      </c>
      <c r="I761" s="2675"/>
      <c r="J761" s="8666"/>
      <c r="K761" s="2676"/>
      <c r="L761" s="2266"/>
      <c r="M761" s="2267"/>
      <c r="N761" s="2667"/>
      <c r="O761" s="2668"/>
      <c r="P761" s="2671"/>
      <c r="Q761" s="8645"/>
      <c r="R761" s="2672"/>
      <c r="S761" s="2673"/>
      <c r="T761" s="2672"/>
      <c r="U761" s="2672"/>
      <c r="V761" s="2672"/>
      <c r="W761" s="2672"/>
      <c r="X761" s="2672"/>
      <c r="Y761" s="2672"/>
      <c r="Z761" s="1321"/>
      <c r="AA761" s="1322"/>
      <c r="AB761" s="1387" t="s">
        <v>1107</v>
      </c>
      <c r="AC761" s="1326"/>
      <c r="AD761" s="1326"/>
      <c r="AE761" s="1328"/>
      <c r="AF761" s="2665"/>
      <c r="AG761" s="2666"/>
      <c r="AH761" s="2666"/>
      <c r="AI761" s="8647"/>
      <c r="AJ761" s="2666"/>
      <c r="AK761" s="2666"/>
      <c r="AL761" s="2131"/>
      <c r="AM761" s="1968"/>
      <c r="AN761" s="1968"/>
      <c r="AO761" s="1968"/>
      <c r="AP761" s="1968"/>
      <c r="AQ761" s="1968"/>
      <c r="AR761" s="1968"/>
      <c r="AS761" s="1968"/>
      <c r="AT761" s="1968"/>
      <c r="AU761" s="1968"/>
      <c r="AV761" s="1968"/>
      <c r="AW761" s="1968"/>
      <c r="AX761" s="1968"/>
      <c r="AY761" s="1968"/>
      <c r="AZ761" s="1968"/>
      <c r="BA761" s="1968"/>
      <c r="BB761" s="1968"/>
      <c r="BC761" s="1968"/>
      <c r="BD761" s="1968"/>
      <c r="BE761" s="1968"/>
      <c r="BF761" s="1968"/>
      <c r="BG761" s="7235"/>
    </row>
    <row customHeight="1" ht="11.25">
      <c r="A762" s="1312" t="s">
        <v>1069</v>
      </c>
      <c r="B762" s="1312"/>
      <c r="C762" s="1312"/>
      <c r="D762" s="1306"/>
      <c r="E762" s="1316"/>
      <c r="F762" s="1974"/>
      <c r="G762" s="1975"/>
      <c r="H762" s="2674" t="s">
        <v>1157</v>
      </c>
      <c r="I762" s="2675"/>
      <c r="J762" s="8666"/>
      <c r="K762" s="2676"/>
      <c r="L762" s="2266"/>
      <c r="M762" s="2267"/>
      <c r="N762" s="1321"/>
      <c r="O762" s="1322"/>
      <c r="P762" s="1314" t="s">
        <v>1108</v>
      </c>
      <c r="Q762" s="1322"/>
      <c r="R762" s="1322"/>
      <c r="S762" s="1322"/>
      <c r="T762" s="1322"/>
      <c r="U762" s="1322"/>
      <c r="V762" s="1322"/>
      <c r="W762" s="1322"/>
      <c r="X762" s="1322"/>
      <c r="Y762" s="1322"/>
      <c r="Z762" s="1322"/>
      <c r="AA762" s="1322"/>
      <c r="AB762" s="1322"/>
      <c r="AC762" s="1322"/>
      <c r="AD762" s="1322"/>
      <c r="AE762" s="1329"/>
      <c r="AF762" s="2665"/>
      <c r="AG762" s="2666"/>
      <c r="AH762" s="2666"/>
      <c r="AI762" s="8647"/>
      <c r="AJ762" s="2666"/>
      <c r="AK762" s="2666"/>
      <c r="AL762" s="2131"/>
      <c r="AM762" s="1968"/>
      <c r="AN762" s="1968"/>
      <c r="AO762" s="1968"/>
      <c r="AP762" s="1968"/>
      <c r="AQ762" s="1968"/>
      <c r="AR762" s="1968"/>
      <c r="AS762" s="1968"/>
      <c r="AT762" s="1968"/>
      <c r="AU762" s="1968"/>
      <c r="AV762" s="1968"/>
      <c r="AW762" s="1968"/>
      <c r="AX762" s="1968"/>
      <c r="AY762" s="1968"/>
      <c r="AZ762" s="1968"/>
      <c r="BA762" s="1968"/>
      <c r="BB762" s="1968"/>
      <c r="BC762" s="1968"/>
      <c r="BD762" s="1968"/>
      <c r="BE762" s="1968"/>
      <c r="BF762" s="1968"/>
      <c r="BG762" s="7235"/>
    </row>
    <row customHeight="1" ht="11.25">
      <c r="A763" s="1312" t="s">
        <v>1069</v>
      </c>
      <c r="B763" s="1312" t="s">
        <v>1198</v>
      </c>
      <c r="C763" s="1312"/>
      <c r="D763" s="1306"/>
      <c r="E763" s="1316"/>
      <c r="F763" s="1974"/>
      <c r="G763" s="7143" t="s">
        <v>106</v>
      </c>
      <c r="H763" s="2674" t="s">
        <v>1211</v>
      </c>
      <c r="I763" s="2675" t="s">
        <v>1200</v>
      </c>
      <c r="J763" s="8666" t="s">
        <v>1206</v>
      </c>
      <c r="K763" s="2676" t="s">
        <v>1328</v>
      </c>
      <c r="L763" s="2266" t="s">
        <v>19</v>
      </c>
      <c r="M763" s="2267"/>
      <c r="N763" s="2129"/>
      <c r="O763" s="1323" t="s">
        <v>398</v>
      </c>
      <c r="P763" s="1324"/>
      <c r="Q763" s="1324"/>
      <c r="R763" s="1324"/>
      <c r="S763" s="1324"/>
      <c r="T763" s="1324"/>
      <c r="U763" s="1324"/>
      <c r="V763" s="1324"/>
      <c r="W763" s="1324"/>
      <c r="X763" s="1324"/>
      <c r="Y763" s="1324"/>
      <c r="Z763" s="1324"/>
      <c r="AA763" s="1324"/>
      <c r="AB763" s="1324"/>
      <c r="AC763" s="1324"/>
      <c r="AD763" s="1324"/>
      <c r="AE763" s="1324"/>
      <c r="AF763" s="2665">
        <v>2026</v>
      </c>
      <c r="AG763" s="2666" t="s">
        <v>1103</v>
      </c>
      <c r="AH763" s="2666" t="s">
        <v>1162</v>
      </c>
      <c r="AI763" s="8647"/>
      <c r="AJ763" s="2666" t="s">
        <v>1105</v>
      </c>
      <c r="AK763" s="2666" t="s">
        <v>1105</v>
      </c>
      <c r="AL763" s="2131"/>
      <c r="AM763" s="1968"/>
      <c r="AN763" s="1968"/>
      <c r="AO763" s="1968"/>
      <c r="AP763" s="1968"/>
      <c r="AQ763" s="1968"/>
      <c r="AR763" s="1968"/>
      <c r="AS763" s="1968"/>
      <c r="AT763" s="1968"/>
      <c r="AU763" s="1968"/>
      <c r="AV763" s="1968"/>
      <c r="AW763" s="1968"/>
      <c r="AX763" s="1968"/>
      <c r="AY763" s="1968"/>
      <c r="AZ763" s="1968"/>
      <c r="BA763" s="1968"/>
      <c r="BB763" s="1968"/>
      <c r="BC763" s="1968"/>
      <c r="BD763" s="1968"/>
      <c r="BE763" s="1968"/>
      <c r="BF763" s="1968"/>
      <c r="BG763" s="7235"/>
    </row>
    <row customHeight="1" ht="11.25">
      <c r="A764" s="1312" t="s">
        <v>1069</v>
      </c>
      <c r="B764" s="1312"/>
      <c r="C764" s="1312"/>
      <c r="D764" s="1306"/>
      <c r="E764" s="1316"/>
      <c r="F764" s="1974"/>
      <c r="G764" s="1975"/>
      <c r="H764" s="2674" t="s">
        <v>1211</v>
      </c>
      <c r="I764" s="2675"/>
      <c r="J764" s="8666"/>
      <c r="K764" s="2676"/>
      <c r="L764" s="2266"/>
      <c r="M764" s="2267"/>
      <c r="N764" s="2667"/>
      <c r="O764" s="2668">
        <v>1</v>
      </c>
      <c r="P764" s="2669" t="s">
        <v>63</v>
      </c>
      <c r="Q764" s="8645" t="s">
        <v>1208</v>
      </c>
      <c r="R764" s="8646" t="s">
        <v>1114</v>
      </c>
      <c r="S764" s="8646" t="s">
        <v>113</v>
      </c>
      <c r="T764" s="8646" t="s">
        <v>113</v>
      </c>
      <c r="U764" s="8646" t="s">
        <v>114</v>
      </c>
      <c r="V764" s="8646" t="s">
        <v>1115</v>
      </c>
      <c r="W764" s="8646" t="s">
        <v>1116</v>
      </c>
      <c r="X764" s="8646" t="s">
        <v>1209</v>
      </c>
      <c r="Y764" s="8646" t="s">
        <v>121</v>
      </c>
      <c r="Z764" s="1321"/>
      <c r="AA764" s="1322"/>
      <c r="AB764" s="1322"/>
      <c r="AC764" s="1326"/>
      <c r="AD764" s="1326"/>
      <c r="AE764" s="1327"/>
      <c r="AF764" s="2665"/>
      <c r="AG764" s="2666"/>
      <c r="AH764" s="2666"/>
      <c r="AI764" s="8647"/>
      <c r="AJ764" s="2666"/>
      <c r="AK764" s="2666"/>
      <c r="AL764" s="2131"/>
      <c r="AM764" s="1968"/>
      <c r="AN764" s="1968"/>
      <c r="AO764" s="1968"/>
      <c r="AP764" s="1968"/>
      <c r="AQ764" s="1968"/>
      <c r="AR764" s="1968"/>
      <c r="AS764" s="1968"/>
      <c r="AT764" s="1968"/>
      <c r="AU764" s="1968"/>
      <c r="AV764" s="1968"/>
      <c r="AW764" s="1968"/>
      <c r="AX764" s="1968"/>
      <c r="AY764" s="1968"/>
      <c r="AZ764" s="1968"/>
      <c r="BA764" s="1968"/>
      <c r="BB764" s="1968"/>
      <c r="BC764" s="1968"/>
      <c r="BD764" s="1968"/>
      <c r="BE764" s="1968"/>
      <c r="BF764" s="1968"/>
      <c r="BG764" s="7235"/>
    </row>
    <row customHeight="1" ht="11.25">
      <c r="A765" s="1312" t="s">
        <v>1069</v>
      </c>
      <c r="B765" s="1312"/>
      <c r="C765" s="1312"/>
      <c r="D765" s="1306"/>
      <c r="E765" s="1316"/>
      <c r="F765" s="1974"/>
      <c r="G765" s="1975"/>
      <c r="H765" s="2674" t="s">
        <v>1211</v>
      </c>
      <c r="I765" s="2675"/>
      <c r="J765" s="8666"/>
      <c r="K765" s="2676"/>
      <c r="L765" s="2266"/>
      <c r="M765" s="2267"/>
      <c r="N765" s="2667"/>
      <c r="O765" s="2668"/>
      <c r="P765" s="2670"/>
      <c r="Q765" s="8645"/>
      <c r="R765" s="2672"/>
      <c r="S765" s="2673"/>
      <c r="T765" s="2672"/>
      <c r="U765" s="2672"/>
      <c r="V765" s="2672"/>
      <c r="W765" s="2672"/>
      <c r="X765" s="2672"/>
      <c r="Y765" s="2672"/>
      <c r="Z765" s="1973"/>
      <c r="AA765" s="1939">
        <v>1</v>
      </c>
      <c r="AB765" s="1325" t="s">
        <v>1131</v>
      </c>
      <c r="AC765" s="1315">
        <v>1860</v>
      </c>
      <c r="AD765" s="1325" t="str">
        <f>AB765</f>
        <v>      Прочие амортизационные отчисления</v>
      </c>
      <c r="AE765" s="1315">
        <v>0</v>
      </c>
      <c r="AF765" s="2665"/>
      <c r="AG765" s="2666"/>
      <c r="AH765" s="2666"/>
      <c r="AI765" s="8647"/>
      <c r="AJ765" s="2666"/>
      <c r="AK765" s="2666"/>
      <c r="AL765" s="2131"/>
      <c r="AM765" s="1968"/>
      <c r="AN765" s="1968"/>
      <c r="AO765" s="1968"/>
      <c r="AP765" s="1968"/>
      <c r="AQ765" s="1968"/>
      <c r="AR765" s="1968"/>
      <c r="AS765" s="1968"/>
      <c r="AT765" s="1968"/>
      <c r="AU765" s="1968"/>
      <c r="AV765" s="1968"/>
      <c r="AW765" s="1968"/>
      <c r="AX765" s="1968"/>
      <c r="AY765" s="1968"/>
      <c r="AZ765" s="1968"/>
      <c r="BA765" s="1968"/>
      <c r="BB765" s="1968"/>
      <c r="BC765" s="1968"/>
      <c r="BD765" s="1968"/>
      <c r="BE765" s="1968"/>
      <c r="BF765" s="1968"/>
      <c r="BG765" s="7235"/>
    </row>
    <row customHeight="1" ht="11.25">
      <c r="A766" s="1312" t="s">
        <v>1069</v>
      </c>
      <c r="B766" s="1312"/>
      <c r="C766" s="1312"/>
      <c r="D766" s="1306"/>
      <c r="E766" s="1316"/>
      <c r="F766" s="1974"/>
      <c r="G766" s="1975"/>
      <c r="H766" s="2674" t="s">
        <v>1211</v>
      </c>
      <c r="I766" s="2675"/>
      <c r="J766" s="8666"/>
      <c r="K766" s="2676"/>
      <c r="L766" s="2266"/>
      <c r="M766" s="2267"/>
      <c r="N766" s="2667"/>
      <c r="O766" s="2668"/>
      <c r="P766" s="2671"/>
      <c r="Q766" s="8645"/>
      <c r="R766" s="2672"/>
      <c r="S766" s="2673"/>
      <c r="T766" s="2672"/>
      <c r="U766" s="2672"/>
      <c r="V766" s="2672"/>
      <c r="W766" s="2672"/>
      <c r="X766" s="2672"/>
      <c r="Y766" s="2672"/>
      <c r="Z766" s="1321"/>
      <c r="AA766" s="1322"/>
      <c r="AB766" s="1387" t="s">
        <v>1107</v>
      </c>
      <c r="AC766" s="1326"/>
      <c r="AD766" s="1326"/>
      <c r="AE766" s="1328"/>
      <c r="AF766" s="2665"/>
      <c r="AG766" s="2666"/>
      <c r="AH766" s="2666"/>
      <c r="AI766" s="8647"/>
      <c r="AJ766" s="2666"/>
      <c r="AK766" s="2666"/>
      <c r="AL766" s="2131"/>
      <c r="AM766" s="1968"/>
      <c r="AN766" s="1968"/>
      <c r="AO766" s="1968"/>
      <c r="AP766" s="1968"/>
      <c r="AQ766" s="1968"/>
      <c r="AR766" s="1968"/>
      <c r="AS766" s="1968"/>
      <c r="AT766" s="1968"/>
      <c r="AU766" s="1968"/>
      <c r="AV766" s="1968"/>
      <c r="AW766" s="1968"/>
      <c r="AX766" s="1968"/>
      <c r="AY766" s="1968"/>
      <c r="AZ766" s="1968"/>
      <c r="BA766" s="1968"/>
      <c r="BB766" s="1968"/>
      <c r="BC766" s="1968"/>
      <c r="BD766" s="1968"/>
      <c r="BE766" s="1968"/>
      <c r="BF766" s="1968"/>
      <c r="BG766" s="7235"/>
    </row>
    <row customHeight="1" ht="11.25">
      <c r="A767" s="1312" t="s">
        <v>1069</v>
      </c>
      <c r="B767" s="1312"/>
      <c r="C767" s="1312"/>
      <c r="D767" s="1306"/>
      <c r="E767" s="1316"/>
      <c r="F767" s="1974"/>
      <c r="G767" s="1975"/>
      <c r="H767" s="2674" t="s">
        <v>1211</v>
      </c>
      <c r="I767" s="2675"/>
      <c r="J767" s="8666"/>
      <c r="K767" s="2676"/>
      <c r="L767" s="2266"/>
      <c r="M767" s="2267"/>
      <c r="N767" s="1321"/>
      <c r="O767" s="1322"/>
      <c r="P767" s="1314" t="s">
        <v>1108</v>
      </c>
      <c r="Q767" s="1322"/>
      <c r="R767" s="1322"/>
      <c r="S767" s="1322"/>
      <c r="T767" s="1322"/>
      <c r="U767" s="1322"/>
      <c r="V767" s="1322"/>
      <c r="W767" s="1322"/>
      <c r="X767" s="1322"/>
      <c r="Y767" s="1322"/>
      <c r="Z767" s="1322"/>
      <c r="AA767" s="1322"/>
      <c r="AB767" s="1322"/>
      <c r="AC767" s="1322"/>
      <c r="AD767" s="1322"/>
      <c r="AE767" s="1329"/>
      <c r="AF767" s="2665"/>
      <c r="AG767" s="2666"/>
      <c r="AH767" s="2666"/>
      <c r="AI767" s="8647"/>
      <c r="AJ767" s="2666"/>
      <c r="AK767" s="2666"/>
      <c r="AL767" s="2131"/>
      <c r="AM767" s="1968"/>
      <c r="AN767" s="1968"/>
      <c r="AO767" s="1968"/>
      <c r="AP767" s="1968"/>
      <c r="AQ767" s="1968"/>
      <c r="AR767" s="1968"/>
      <c r="AS767" s="1968"/>
      <c r="AT767" s="1968"/>
      <c r="AU767" s="1968"/>
      <c r="AV767" s="1968"/>
      <c r="AW767" s="1968"/>
      <c r="AX767" s="1968"/>
      <c r="AY767" s="1968"/>
      <c r="AZ767" s="1968"/>
      <c r="BA767" s="1968"/>
      <c r="BB767" s="1968"/>
      <c r="BC767" s="1968"/>
      <c r="BD767" s="1968"/>
      <c r="BE767" s="1968"/>
      <c r="BF767" s="1968"/>
      <c r="BG767" s="7235"/>
    </row>
    <row customHeight="1" ht="11.25">
      <c r="A768" s="1312" t="s">
        <v>1069</v>
      </c>
      <c r="B768" s="1312" t="s">
        <v>1198</v>
      </c>
      <c r="C768" s="1312"/>
      <c r="D768" s="1306"/>
      <c r="E768" s="1316"/>
      <c r="F768" s="1974"/>
      <c r="G768" s="7143" t="s">
        <v>106</v>
      </c>
      <c r="H768" s="2674" t="s">
        <v>1213</v>
      </c>
      <c r="I768" s="2675" t="s">
        <v>1200</v>
      </c>
      <c r="J768" s="2644" t="s">
        <v>1206</v>
      </c>
      <c r="K768" s="2676" t="s">
        <v>1329</v>
      </c>
      <c r="L768" s="2266" t="s">
        <v>19</v>
      </c>
      <c r="M768" s="2267"/>
      <c r="N768" s="2129"/>
      <c r="O768" s="1323" t="s">
        <v>398</v>
      </c>
      <c r="P768" s="1324"/>
      <c r="Q768" s="1324"/>
      <c r="R768" s="1324"/>
      <c r="S768" s="1324"/>
      <c r="T768" s="1324"/>
      <c r="U768" s="1324"/>
      <c r="V768" s="1324"/>
      <c r="W768" s="1324"/>
      <c r="X768" s="1324"/>
      <c r="Y768" s="1324"/>
      <c r="Z768" s="1324"/>
      <c r="AA768" s="1324"/>
      <c r="AB768" s="1324"/>
      <c r="AC768" s="1324"/>
      <c r="AD768" s="1324"/>
      <c r="AE768" s="1324"/>
      <c r="AF768" s="2665">
        <v>2026</v>
      </c>
      <c r="AG768" s="2666" t="s">
        <v>1103</v>
      </c>
      <c r="AH768" s="2666" t="s">
        <v>1162</v>
      </c>
      <c r="AI768" s="8678"/>
      <c r="AJ768" s="2666" t="s">
        <v>1105</v>
      </c>
      <c r="AK768" s="2666" t="s">
        <v>1105</v>
      </c>
      <c r="AL768" s="2131"/>
      <c r="AM768" s="1968"/>
      <c r="AN768" s="1968"/>
      <c r="AO768" s="1968"/>
      <c r="AP768" s="1968"/>
      <c r="AQ768" s="1968"/>
      <c r="AR768" s="1968"/>
      <c r="AS768" s="1968"/>
      <c r="AT768" s="1968"/>
      <c r="AU768" s="1968"/>
      <c r="AV768" s="1968"/>
      <c r="AW768" s="1968"/>
      <c r="AX768" s="1968"/>
      <c r="AY768" s="1968"/>
      <c r="AZ768" s="1968"/>
      <c r="BA768" s="1968"/>
      <c r="BB768" s="1968"/>
      <c r="BC768" s="1968"/>
      <c r="BD768" s="1968"/>
      <c r="BE768" s="1968"/>
      <c r="BF768" s="1968"/>
      <c r="BG768" s="7235"/>
    </row>
    <row customHeight="1" ht="11.25">
      <c r="A769" s="1312" t="s">
        <v>1069</v>
      </c>
      <c r="B769" s="1312"/>
      <c r="C769" s="1312"/>
      <c r="D769" s="1306"/>
      <c r="E769" s="1316"/>
      <c r="F769" s="1974"/>
      <c r="G769" s="1975"/>
      <c r="H769" s="2674" t="s">
        <v>1211</v>
      </c>
      <c r="I769" s="2675"/>
      <c r="J769" s="2644"/>
      <c r="K769" s="2676"/>
      <c r="L769" s="2266"/>
      <c r="M769" s="2267"/>
      <c r="N769" s="2667"/>
      <c r="O769" s="2668">
        <v>1</v>
      </c>
      <c r="P769" s="2669" t="s">
        <v>63</v>
      </c>
      <c r="Q769" s="8664" t="s">
        <v>1208</v>
      </c>
      <c r="R769" s="8665" t="s">
        <v>1114</v>
      </c>
      <c r="S769" s="8665" t="s">
        <v>113</v>
      </c>
      <c r="T769" s="8665" t="s">
        <v>113</v>
      </c>
      <c r="U769" s="8665" t="s">
        <v>114</v>
      </c>
      <c r="V769" s="8665" t="s">
        <v>1115</v>
      </c>
      <c r="W769" s="8665" t="s">
        <v>1116</v>
      </c>
      <c r="X769" s="8665" t="s">
        <v>1209</v>
      </c>
      <c r="Y769" s="8665" t="s">
        <v>121</v>
      </c>
      <c r="Z769" s="1321"/>
      <c r="AA769" s="1322"/>
      <c r="AB769" s="1322"/>
      <c r="AC769" s="1326"/>
      <c r="AD769" s="1326"/>
      <c r="AE769" s="1327"/>
      <c r="AF769" s="2665"/>
      <c r="AG769" s="2666"/>
      <c r="AH769" s="2666"/>
      <c r="AI769" s="8678"/>
      <c r="AJ769" s="2666"/>
      <c r="AK769" s="2666"/>
      <c r="AL769" s="2131"/>
      <c r="AM769" s="1968"/>
      <c r="AN769" s="1968"/>
      <c r="AO769" s="1968"/>
      <c r="AP769" s="1968"/>
      <c r="AQ769" s="1968"/>
      <c r="AR769" s="1968"/>
      <c r="AS769" s="1968"/>
      <c r="AT769" s="1968"/>
      <c r="AU769" s="1968"/>
      <c r="AV769" s="1968"/>
      <c r="AW769" s="1968"/>
      <c r="AX769" s="1968"/>
      <c r="AY769" s="1968"/>
      <c r="AZ769" s="1968"/>
      <c r="BA769" s="1968"/>
      <c r="BB769" s="1968"/>
      <c r="BC769" s="1968"/>
      <c r="BD769" s="1968"/>
      <c r="BE769" s="1968"/>
      <c r="BF769" s="1968"/>
      <c r="BG769" s="7235"/>
    </row>
    <row customHeight="1" ht="11.25">
      <c r="A770" s="1312" t="s">
        <v>1069</v>
      </c>
      <c r="B770" s="1312"/>
      <c r="C770" s="1312"/>
      <c r="D770" s="1306"/>
      <c r="E770" s="1316"/>
      <c r="F770" s="1974"/>
      <c r="G770" s="1975"/>
      <c r="H770" s="2674" t="s">
        <v>1211</v>
      </c>
      <c r="I770" s="2675"/>
      <c r="J770" s="2644"/>
      <c r="K770" s="2676"/>
      <c r="L770" s="2266"/>
      <c r="M770" s="2267"/>
      <c r="N770" s="2667"/>
      <c r="O770" s="2668"/>
      <c r="P770" s="2670"/>
      <c r="Q770" s="8664"/>
      <c r="R770" s="2672"/>
      <c r="S770" s="2673"/>
      <c r="T770" s="2672"/>
      <c r="U770" s="2672"/>
      <c r="V770" s="2672"/>
      <c r="W770" s="2672"/>
      <c r="X770" s="2672"/>
      <c r="Y770" s="2672"/>
      <c r="Z770" s="1973"/>
      <c r="AA770" s="1939">
        <v>1</v>
      </c>
      <c r="AB770" s="1325" t="s">
        <v>1131</v>
      </c>
      <c r="AC770" s="1315">
        <v>5120</v>
      </c>
      <c r="AD770" s="1325" t="str">
        <f>AB770</f>
        <v>      Прочие амортизационные отчисления</v>
      </c>
      <c r="AE770" s="1315">
        <v>0</v>
      </c>
      <c r="AF770" s="2665"/>
      <c r="AG770" s="2666"/>
      <c r="AH770" s="2666"/>
      <c r="AI770" s="8678"/>
      <c r="AJ770" s="2666"/>
      <c r="AK770" s="2666"/>
      <c r="AL770" s="2131"/>
      <c r="AM770" s="1968"/>
      <c r="AN770" s="1968"/>
      <c r="AO770" s="1968"/>
      <c r="AP770" s="1968"/>
      <c r="AQ770" s="1968"/>
      <c r="AR770" s="1968"/>
      <c r="AS770" s="1968"/>
      <c r="AT770" s="1968"/>
      <c r="AU770" s="1968"/>
      <c r="AV770" s="1968"/>
      <c r="AW770" s="1968"/>
      <c r="AX770" s="1968"/>
      <c r="AY770" s="1968"/>
      <c r="AZ770" s="1968"/>
      <c r="BA770" s="1968"/>
      <c r="BB770" s="1968"/>
      <c r="BC770" s="1968"/>
      <c r="BD770" s="1968"/>
      <c r="BE770" s="1968"/>
      <c r="BF770" s="1968"/>
      <c r="BG770" s="7235"/>
    </row>
    <row customHeight="1" ht="11.25">
      <c r="A771" s="1312" t="s">
        <v>1069</v>
      </c>
      <c r="B771" s="1312"/>
      <c r="C771" s="1312"/>
      <c r="D771" s="1306"/>
      <c r="E771" s="1316"/>
      <c r="F771" s="1974"/>
      <c r="G771" s="1975"/>
      <c r="H771" s="2674" t="s">
        <v>1211</v>
      </c>
      <c r="I771" s="2675"/>
      <c r="J771" s="2644"/>
      <c r="K771" s="2676"/>
      <c r="L771" s="2266"/>
      <c r="M771" s="2267"/>
      <c r="N771" s="2667"/>
      <c r="O771" s="2668"/>
      <c r="P771" s="2671"/>
      <c r="Q771" s="8664"/>
      <c r="R771" s="2672"/>
      <c r="S771" s="2673"/>
      <c r="T771" s="2672"/>
      <c r="U771" s="2672"/>
      <c r="V771" s="2672"/>
      <c r="W771" s="2672"/>
      <c r="X771" s="2672"/>
      <c r="Y771" s="2672"/>
      <c r="Z771" s="1321"/>
      <c r="AA771" s="1322"/>
      <c r="AB771" s="1387" t="s">
        <v>1107</v>
      </c>
      <c r="AC771" s="1326"/>
      <c r="AD771" s="1326"/>
      <c r="AE771" s="1328"/>
      <c r="AF771" s="2665"/>
      <c r="AG771" s="2666"/>
      <c r="AH771" s="2666"/>
      <c r="AI771" s="8678"/>
      <c r="AJ771" s="2666"/>
      <c r="AK771" s="2666"/>
      <c r="AL771" s="2131"/>
      <c r="AM771" s="1968"/>
      <c r="AN771" s="1968"/>
      <c r="AO771" s="1968"/>
      <c r="AP771" s="1968"/>
      <c r="AQ771" s="1968"/>
      <c r="AR771" s="1968"/>
      <c r="AS771" s="1968"/>
      <c r="AT771" s="1968"/>
      <c r="AU771" s="1968"/>
      <c r="AV771" s="1968"/>
      <c r="AW771" s="1968"/>
      <c r="AX771" s="1968"/>
      <c r="AY771" s="1968"/>
      <c r="AZ771" s="1968"/>
      <c r="BA771" s="1968"/>
      <c r="BB771" s="1968"/>
      <c r="BC771" s="1968"/>
      <c r="BD771" s="1968"/>
      <c r="BE771" s="1968"/>
      <c r="BF771" s="1968"/>
      <c r="BG771" s="7235"/>
    </row>
    <row customHeight="1" ht="11.25">
      <c r="A772" s="1312" t="s">
        <v>1069</v>
      </c>
      <c r="B772" s="1312"/>
      <c r="C772" s="1312"/>
      <c r="D772" s="1306"/>
      <c r="E772" s="1316"/>
      <c r="F772" s="1974"/>
      <c r="G772" s="1975"/>
      <c r="H772" s="2674" t="s">
        <v>1211</v>
      </c>
      <c r="I772" s="2675"/>
      <c r="J772" s="2644"/>
      <c r="K772" s="2676"/>
      <c r="L772" s="2266"/>
      <c r="M772" s="2267"/>
      <c r="N772" s="1321"/>
      <c r="O772" s="1322"/>
      <c r="P772" s="1314" t="s">
        <v>1108</v>
      </c>
      <c r="Q772" s="1322"/>
      <c r="R772" s="1322"/>
      <c r="S772" s="1322"/>
      <c r="T772" s="1322"/>
      <c r="U772" s="1322"/>
      <c r="V772" s="1322"/>
      <c r="W772" s="1322"/>
      <c r="X772" s="1322"/>
      <c r="Y772" s="1322"/>
      <c r="Z772" s="1322"/>
      <c r="AA772" s="1322"/>
      <c r="AB772" s="1322"/>
      <c r="AC772" s="1322"/>
      <c r="AD772" s="1322"/>
      <c r="AE772" s="1329"/>
      <c r="AF772" s="2665"/>
      <c r="AG772" s="2666"/>
      <c r="AH772" s="2666"/>
      <c r="AI772" s="8678"/>
      <c r="AJ772" s="2666"/>
      <c r="AK772" s="2666"/>
      <c r="AL772" s="2131"/>
      <c r="AM772" s="1968"/>
      <c r="AN772" s="1968"/>
      <c r="AO772" s="1968"/>
      <c r="AP772" s="1968"/>
      <c r="AQ772" s="1968"/>
      <c r="AR772" s="1968"/>
      <c r="AS772" s="1968"/>
      <c r="AT772" s="1968"/>
      <c r="AU772" s="1968"/>
      <c r="AV772" s="1968"/>
      <c r="AW772" s="1968"/>
      <c r="AX772" s="1968"/>
      <c r="AY772" s="1968"/>
      <c r="AZ772" s="1968"/>
      <c r="BA772" s="1968"/>
      <c r="BB772" s="1968"/>
      <c r="BC772" s="1968"/>
      <c r="BD772" s="1968"/>
      <c r="BE772" s="1968"/>
      <c r="BF772" s="1968"/>
      <c r="BG772" s="7235"/>
    </row>
    <row customHeight="1" ht="11.25">
      <c r="A773" s="1312" t="s">
        <v>1069</v>
      </c>
      <c r="B773" s="1312" t="s">
        <v>1198</v>
      </c>
      <c r="C773" s="1312"/>
      <c r="D773" s="1306"/>
      <c r="E773" s="1316"/>
      <c r="F773" s="1974"/>
      <c r="G773" s="7143" t="s">
        <v>106</v>
      </c>
      <c r="H773" s="2674" t="s">
        <v>1149</v>
      </c>
      <c r="I773" s="2675" t="s">
        <v>1200</v>
      </c>
      <c r="J773" s="2644" t="s">
        <v>1206</v>
      </c>
      <c r="K773" s="2676" t="s">
        <v>1330</v>
      </c>
      <c r="L773" s="2266" t="s">
        <v>19</v>
      </c>
      <c r="M773" s="2267"/>
      <c r="N773" s="2129"/>
      <c r="O773" s="1323" t="s">
        <v>398</v>
      </c>
      <c r="P773" s="1324"/>
      <c r="Q773" s="1324"/>
      <c r="R773" s="1324"/>
      <c r="S773" s="1324"/>
      <c r="T773" s="1324"/>
      <c r="U773" s="1324"/>
      <c r="V773" s="1324"/>
      <c r="W773" s="1324"/>
      <c r="X773" s="1324"/>
      <c r="Y773" s="1324"/>
      <c r="Z773" s="1324"/>
      <c r="AA773" s="1324"/>
      <c r="AB773" s="1324"/>
      <c r="AC773" s="1324"/>
      <c r="AD773" s="1324"/>
      <c r="AE773" s="1324"/>
      <c r="AF773" s="2665">
        <v>2027</v>
      </c>
      <c r="AG773" s="2666" t="s">
        <v>1103</v>
      </c>
      <c r="AH773" s="2666" t="s">
        <v>1164</v>
      </c>
      <c r="AI773" s="8678"/>
      <c r="AJ773" s="2666" t="s">
        <v>1105</v>
      </c>
      <c r="AK773" s="2666" t="s">
        <v>1105</v>
      </c>
      <c r="AL773" s="2131"/>
      <c r="AM773" s="1968"/>
      <c r="AN773" s="1968"/>
      <c r="AO773" s="1968"/>
      <c r="AP773" s="1968"/>
      <c r="AQ773" s="1968"/>
      <c r="AR773" s="1968"/>
      <c r="AS773" s="1968"/>
      <c r="AT773" s="1968"/>
      <c r="AU773" s="1968"/>
      <c r="AV773" s="1968"/>
      <c r="AW773" s="1968"/>
      <c r="AX773" s="1968"/>
      <c r="AY773" s="1968"/>
      <c r="AZ773" s="1968"/>
      <c r="BA773" s="1968"/>
      <c r="BB773" s="1968"/>
      <c r="BC773" s="1968"/>
      <c r="BD773" s="1968"/>
      <c r="BE773" s="1968"/>
      <c r="BF773" s="1968"/>
      <c r="BG773" s="7235"/>
    </row>
    <row customHeight="1" ht="11.25">
      <c r="A774" s="1312" t="s">
        <v>1069</v>
      </c>
      <c r="B774" s="1312"/>
      <c r="C774" s="1312"/>
      <c r="D774" s="1306"/>
      <c r="E774" s="1316"/>
      <c r="F774" s="1974"/>
      <c r="G774" s="1975"/>
      <c r="H774" s="2674" t="s">
        <v>1213</v>
      </c>
      <c r="I774" s="2675"/>
      <c r="J774" s="2644"/>
      <c r="K774" s="2676"/>
      <c r="L774" s="2266"/>
      <c r="M774" s="2267"/>
      <c r="N774" s="2667"/>
      <c r="O774" s="2668">
        <v>1</v>
      </c>
      <c r="P774" s="2669" t="s">
        <v>63</v>
      </c>
      <c r="Q774" s="8664" t="s">
        <v>1208</v>
      </c>
      <c r="R774" s="8665" t="s">
        <v>1114</v>
      </c>
      <c r="S774" s="8665" t="s">
        <v>113</v>
      </c>
      <c r="T774" s="8665" t="s">
        <v>113</v>
      </c>
      <c r="U774" s="8665" t="s">
        <v>114</v>
      </c>
      <c r="V774" s="8665" t="s">
        <v>1115</v>
      </c>
      <c r="W774" s="8665" t="s">
        <v>1116</v>
      </c>
      <c r="X774" s="8665" t="s">
        <v>1209</v>
      </c>
      <c r="Y774" s="8665" t="s">
        <v>121</v>
      </c>
      <c r="Z774" s="1321"/>
      <c r="AA774" s="1322"/>
      <c r="AB774" s="1322"/>
      <c r="AC774" s="1326"/>
      <c r="AD774" s="1326"/>
      <c r="AE774" s="1327"/>
      <c r="AF774" s="2665"/>
      <c r="AG774" s="2666"/>
      <c r="AH774" s="2666"/>
      <c r="AI774" s="8678"/>
      <c r="AJ774" s="2666"/>
      <c r="AK774" s="2666"/>
      <c r="AL774" s="2131"/>
      <c r="AM774" s="1968"/>
      <c r="AN774" s="1968"/>
      <c r="AO774" s="1968"/>
      <c r="AP774" s="1968"/>
      <c r="AQ774" s="1968"/>
      <c r="AR774" s="1968"/>
      <c r="AS774" s="1968"/>
      <c r="AT774" s="1968"/>
      <c r="AU774" s="1968"/>
      <c r="AV774" s="1968"/>
      <c r="AW774" s="1968"/>
      <c r="AX774" s="1968"/>
      <c r="AY774" s="1968"/>
      <c r="AZ774" s="1968"/>
      <c r="BA774" s="1968"/>
      <c r="BB774" s="1968"/>
      <c r="BC774" s="1968"/>
      <c r="BD774" s="1968"/>
      <c r="BE774" s="1968"/>
      <c r="BF774" s="1968"/>
      <c r="BG774" s="7235"/>
    </row>
    <row customHeight="1" ht="11.25">
      <c r="A775" s="1312" t="s">
        <v>1069</v>
      </c>
      <c r="B775" s="1312"/>
      <c r="C775" s="1312"/>
      <c r="D775" s="1306"/>
      <c r="E775" s="1316"/>
      <c r="F775" s="1974"/>
      <c r="G775" s="1975"/>
      <c r="H775" s="2674" t="s">
        <v>1213</v>
      </c>
      <c r="I775" s="2675"/>
      <c r="J775" s="2644"/>
      <c r="K775" s="2676"/>
      <c r="L775" s="2266"/>
      <c r="M775" s="2267"/>
      <c r="N775" s="2667"/>
      <c r="O775" s="2668"/>
      <c r="P775" s="2670"/>
      <c r="Q775" s="8664"/>
      <c r="R775" s="2672"/>
      <c r="S775" s="2673"/>
      <c r="T775" s="2672"/>
      <c r="U775" s="2672"/>
      <c r="V775" s="2672"/>
      <c r="W775" s="2672"/>
      <c r="X775" s="2672"/>
      <c r="Y775" s="2672"/>
      <c r="Z775" s="1973"/>
      <c r="AA775" s="1939">
        <v>1</v>
      </c>
      <c r="AB775" s="1325" t="s">
        <v>1131</v>
      </c>
      <c r="AC775" s="1315">
        <v>260</v>
      </c>
      <c r="AD775" s="1325" t="str">
        <f>AB775</f>
        <v>      Прочие амортизационные отчисления</v>
      </c>
      <c r="AE775" s="1315">
        <v>0</v>
      </c>
      <c r="AF775" s="2665"/>
      <c r="AG775" s="2666"/>
      <c r="AH775" s="2666"/>
      <c r="AI775" s="8678"/>
      <c r="AJ775" s="2666"/>
      <c r="AK775" s="2666"/>
      <c r="AL775" s="2131"/>
      <c r="AM775" s="1968"/>
      <c r="AN775" s="1968"/>
      <c r="AO775" s="1968"/>
      <c r="AP775" s="1968"/>
      <c r="AQ775" s="1968"/>
      <c r="AR775" s="1968"/>
      <c r="AS775" s="1968"/>
      <c r="AT775" s="1968"/>
      <c r="AU775" s="1968"/>
      <c r="AV775" s="1968"/>
      <c r="AW775" s="1968"/>
      <c r="AX775" s="1968"/>
      <c r="AY775" s="1968"/>
      <c r="AZ775" s="1968"/>
      <c r="BA775" s="1968"/>
      <c r="BB775" s="1968"/>
      <c r="BC775" s="1968"/>
      <c r="BD775" s="1968"/>
      <c r="BE775" s="1968"/>
      <c r="BF775" s="1968"/>
      <c r="BG775" s="7235"/>
    </row>
    <row customHeight="1" ht="11.25">
      <c r="A776" s="1312" t="s">
        <v>1069</v>
      </c>
      <c r="B776" s="1312"/>
      <c r="C776" s="1312"/>
      <c r="D776" s="1306"/>
      <c r="E776" s="1316"/>
      <c r="F776" s="1974"/>
      <c r="G776" s="1975"/>
      <c r="H776" s="2674" t="s">
        <v>1213</v>
      </c>
      <c r="I776" s="2675"/>
      <c r="J776" s="2644"/>
      <c r="K776" s="2676"/>
      <c r="L776" s="2266"/>
      <c r="M776" s="2267"/>
      <c r="N776" s="2667"/>
      <c r="O776" s="2668"/>
      <c r="P776" s="2671"/>
      <c r="Q776" s="8664"/>
      <c r="R776" s="2672"/>
      <c r="S776" s="2673"/>
      <c r="T776" s="2672"/>
      <c r="U776" s="2672"/>
      <c r="V776" s="2672"/>
      <c r="W776" s="2672"/>
      <c r="X776" s="2672"/>
      <c r="Y776" s="2672"/>
      <c r="Z776" s="1321"/>
      <c r="AA776" s="1322"/>
      <c r="AB776" s="1387" t="s">
        <v>1107</v>
      </c>
      <c r="AC776" s="1326"/>
      <c r="AD776" s="1326"/>
      <c r="AE776" s="1328"/>
      <c r="AF776" s="2665"/>
      <c r="AG776" s="2666"/>
      <c r="AH776" s="2666"/>
      <c r="AI776" s="8678"/>
      <c r="AJ776" s="2666"/>
      <c r="AK776" s="2666"/>
      <c r="AL776" s="2131"/>
      <c r="AM776" s="1968"/>
      <c r="AN776" s="1968"/>
      <c r="AO776" s="1968"/>
      <c r="AP776" s="1968"/>
      <c r="AQ776" s="1968"/>
      <c r="AR776" s="1968"/>
      <c r="AS776" s="1968"/>
      <c r="AT776" s="1968"/>
      <c r="AU776" s="1968"/>
      <c r="AV776" s="1968"/>
      <c r="AW776" s="1968"/>
      <c r="AX776" s="1968"/>
      <c r="AY776" s="1968"/>
      <c r="AZ776" s="1968"/>
      <c r="BA776" s="1968"/>
      <c r="BB776" s="1968"/>
      <c r="BC776" s="1968"/>
      <c r="BD776" s="1968"/>
      <c r="BE776" s="1968"/>
      <c r="BF776" s="1968"/>
      <c r="BG776" s="7235"/>
    </row>
    <row customHeight="1" ht="11.25">
      <c r="A777" s="1312" t="s">
        <v>1069</v>
      </c>
      <c r="B777" s="1312"/>
      <c r="C777" s="1312"/>
      <c r="D777" s="1306"/>
      <c r="E777" s="1316"/>
      <c r="F777" s="1974"/>
      <c r="G777" s="1975"/>
      <c r="H777" s="2674" t="s">
        <v>1213</v>
      </c>
      <c r="I777" s="2675"/>
      <c r="J777" s="2644"/>
      <c r="K777" s="2676"/>
      <c r="L777" s="2266"/>
      <c r="M777" s="2267"/>
      <c r="N777" s="1321"/>
      <c r="O777" s="1322"/>
      <c r="P777" s="1314" t="s">
        <v>1108</v>
      </c>
      <c r="Q777" s="1322"/>
      <c r="R777" s="1322"/>
      <c r="S777" s="1322"/>
      <c r="T777" s="1322"/>
      <c r="U777" s="1322"/>
      <c r="V777" s="1322"/>
      <c r="W777" s="1322"/>
      <c r="X777" s="1322"/>
      <c r="Y777" s="1322"/>
      <c r="Z777" s="1322"/>
      <c r="AA777" s="1322"/>
      <c r="AB777" s="1322"/>
      <c r="AC777" s="1322"/>
      <c r="AD777" s="1322"/>
      <c r="AE777" s="1329"/>
      <c r="AF777" s="2665"/>
      <c r="AG777" s="2666"/>
      <c r="AH777" s="2666"/>
      <c r="AI777" s="8678"/>
      <c r="AJ777" s="2666"/>
      <c r="AK777" s="2666"/>
      <c r="AL777" s="2131"/>
      <c r="AM777" s="1968"/>
      <c r="AN777" s="1968"/>
      <c r="AO777" s="1968"/>
      <c r="AP777" s="1968"/>
      <c r="AQ777" s="1968"/>
      <c r="AR777" s="1968"/>
      <c r="AS777" s="1968"/>
      <c r="AT777" s="1968"/>
      <c r="AU777" s="1968"/>
      <c r="AV777" s="1968"/>
      <c r="AW777" s="1968"/>
      <c r="AX777" s="1968"/>
      <c r="AY777" s="1968"/>
      <c r="AZ777" s="1968"/>
      <c r="BA777" s="1968"/>
      <c r="BB777" s="1968"/>
      <c r="BC777" s="1968"/>
      <c r="BD777" s="1968"/>
      <c r="BE777" s="1968"/>
      <c r="BF777" s="1968"/>
      <c r="BG777" s="7235"/>
    </row>
    <row customHeight="1" ht="11.25">
      <c r="A778" s="1312" t="s">
        <v>1069</v>
      </c>
      <c r="B778" s="1312" t="s">
        <v>1198</v>
      </c>
      <c r="C778" s="1312"/>
      <c r="D778" s="1306"/>
      <c r="E778" s="1316"/>
      <c r="F778" s="1974"/>
      <c r="G778" s="7143" t="s">
        <v>106</v>
      </c>
      <c r="H778" s="2674" t="s">
        <v>1217</v>
      </c>
      <c r="I778" s="2675" t="s">
        <v>1200</v>
      </c>
      <c r="J778" s="2644" t="s">
        <v>1206</v>
      </c>
      <c r="K778" s="2676" t="s">
        <v>1331</v>
      </c>
      <c r="L778" s="2266" t="s">
        <v>19</v>
      </c>
      <c r="M778" s="2267"/>
      <c r="N778" s="2129"/>
      <c r="O778" s="1323" t="s">
        <v>398</v>
      </c>
      <c r="P778" s="1324"/>
      <c r="Q778" s="1324"/>
      <c r="R778" s="1324"/>
      <c r="S778" s="1324"/>
      <c r="T778" s="1324"/>
      <c r="U778" s="1324"/>
      <c r="V778" s="1324"/>
      <c r="W778" s="1324"/>
      <c r="X778" s="1324"/>
      <c r="Y778" s="1324"/>
      <c r="Z778" s="1324"/>
      <c r="AA778" s="1324"/>
      <c r="AB778" s="1324"/>
      <c r="AC778" s="1324"/>
      <c r="AD778" s="1324"/>
      <c r="AE778" s="1324"/>
      <c r="AF778" s="2665">
        <v>2028</v>
      </c>
      <c r="AG778" s="2666" t="s">
        <v>1103</v>
      </c>
      <c r="AH778" s="2666" t="s">
        <v>1228</v>
      </c>
      <c r="AI778" s="8678"/>
      <c r="AJ778" s="2666" t="s">
        <v>1105</v>
      </c>
      <c r="AK778" s="2666" t="s">
        <v>1105</v>
      </c>
      <c r="AL778" s="2131"/>
      <c r="AM778" s="1968"/>
      <c r="AN778" s="1968"/>
      <c r="AO778" s="1968"/>
      <c r="AP778" s="1968"/>
      <c r="AQ778" s="1968"/>
      <c r="AR778" s="1968"/>
      <c r="AS778" s="1968"/>
      <c r="AT778" s="1968"/>
      <c r="AU778" s="1968"/>
      <c r="AV778" s="1968"/>
      <c r="AW778" s="1968"/>
      <c r="AX778" s="1968"/>
      <c r="AY778" s="1968"/>
      <c r="AZ778" s="1968"/>
      <c r="BA778" s="1968"/>
      <c r="BB778" s="1968"/>
      <c r="BC778" s="1968"/>
      <c r="BD778" s="1968"/>
      <c r="BE778" s="1968"/>
      <c r="BF778" s="1968"/>
      <c r="BG778" s="7235"/>
    </row>
    <row customHeight="1" ht="11.25">
      <c r="A779" s="1312" t="s">
        <v>1069</v>
      </c>
      <c r="B779" s="1312"/>
      <c r="C779" s="1312"/>
      <c r="D779" s="1306"/>
      <c r="E779" s="1316"/>
      <c r="F779" s="1974"/>
      <c r="G779" s="1975"/>
      <c r="H779" s="2674" t="s">
        <v>1149</v>
      </c>
      <c r="I779" s="2675"/>
      <c r="J779" s="2644"/>
      <c r="K779" s="2676"/>
      <c r="L779" s="2266"/>
      <c r="M779" s="2267"/>
      <c r="N779" s="2667"/>
      <c r="O779" s="2668">
        <v>1</v>
      </c>
      <c r="P779" s="2669" t="s">
        <v>63</v>
      </c>
      <c r="Q779" s="8664" t="s">
        <v>1208</v>
      </c>
      <c r="R779" s="8665" t="s">
        <v>1114</v>
      </c>
      <c r="S779" s="8665" t="s">
        <v>113</v>
      </c>
      <c r="T779" s="8665" t="s">
        <v>113</v>
      </c>
      <c r="U779" s="8665" t="s">
        <v>114</v>
      </c>
      <c r="V779" s="8665" t="s">
        <v>1115</v>
      </c>
      <c r="W779" s="8665" t="s">
        <v>1116</v>
      </c>
      <c r="X779" s="8665" t="s">
        <v>1209</v>
      </c>
      <c r="Y779" s="8665" t="s">
        <v>121</v>
      </c>
      <c r="Z779" s="1321"/>
      <c r="AA779" s="1322"/>
      <c r="AB779" s="1322"/>
      <c r="AC779" s="1326"/>
      <c r="AD779" s="1326"/>
      <c r="AE779" s="1327"/>
      <c r="AF779" s="2665"/>
      <c r="AG779" s="2666"/>
      <c r="AH779" s="2666"/>
      <c r="AI779" s="8678"/>
      <c r="AJ779" s="2666"/>
      <c r="AK779" s="2666"/>
      <c r="AL779" s="2131"/>
      <c r="AM779" s="1968"/>
      <c r="AN779" s="1968"/>
      <c r="AO779" s="1968"/>
      <c r="AP779" s="1968"/>
      <c r="AQ779" s="1968"/>
      <c r="AR779" s="1968"/>
      <c r="AS779" s="1968"/>
      <c r="AT779" s="1968"/>
      <c r="AU779" s="1968"/>
      <c r="AV779" s="1968"/>
      <c r="AW779" s="1968"/>
      <c r="AX779" s="1968"/>
      <c r="AY779" s="1968"/>
      <c r="AZ779" s="1968"/>
      <c r="BA779" s="1968"/>
      <c r="BB779" s="1968"/>
      <c r="BC779" s="1968"/>
      <c r="BD779" s="1968"/>
      <c r="BE779" s="1968"/>
      <c r="BF779" s="1968"/>
      <c r="BG779" s="7235"/>
    </row>
    <row customHeight="1" ht="11.25">
      <c r="A780" s="1312" t="s">
        <v>1069</v>
      </c>
      <c r="B780" s="1312"/>
      <c r="C780" s="1312"/>
      <c r="D780" s="1306"/>
      <c r="E780" s="1316"/>
      <c r="F780" s="1974"/>
      <c r="G780" s="1975"/>
      <c r="H780" s="2674" t="s">
        <v>1149</v>
      </c>
      <c r="I780" s="2675"/>
      <c r="J780" s="2644"/>
      <c r="K780" s="2676"/>
      <c r="L780" s="2266"/>
      <c r="M780" s="2267"/>
      <c r="N780" s="2667"/>
      <c r="O780" s="2668"/>
      <c r="P780" s="2670"/>
      <c r="Q780" s="8664"/>
      <c r="R780" s="2672"/>
      <c r="S780" s="2673"/>
      <c r="T780" s="2672"/>
      <c r="U780" s="2672"/>
      <c r="V780" s="2672"/>
      <c r="W780" s="2672"/>
      <c r="X780" s="2672"/>
      <c r="Y780" s="2672"/>
      <c r="Z780" s="1973"/>
      <c r="AA780" s="1939">
        <v>1</v>
      </c>
      <c r="AB780" s="1325" t="s">
        <v>1131</v>
      </c>
      <c r="AC780" s="1315">
        <v>59643</v>
      </c>
      <c r="AD780" s="1325" t="str">
        <f>AB780</f>
        <v>      Прочие амортизационные отчисления</v>
      </c>
      <c r="AE780" s="1315">
        <v>0</v>
      </c>
      <c r="AF780" s="2665"/>
      <c r="AG780" s="2666"/>
      <c r="AH780" s="2666"/>
      <c r="AI780" s="8678"/>
      <c r="AJ780" s="2666"/>
      <c r="AK780" s="2666"/>
      <c r="AL780" s="2131"/>
      <c r="AM780" s="1968"/>
      <c r="AN780" s="1968"/>
      <c r="AO780" s="1968"/>
      <c r="AP780" s="1968"/>
      <c r="AQ780" s="1968"/>
      <c r="AR780" s="1968"/>
      <c r="AS780" s="1968"/>
      <c r="AT780" s="1968"/>
      <c r="AU780" s="1968"/>
      <c r="AV780" s="1968"/>
      <c r="AW780" s="1968"/>
      <c r="AX780" s="1968"/>
      <c r="AY780" s="1968"/>
      <c r="AZ780" s="1968"/>
      <c r="BA780" s="1968"/>
      <c r="BB780" s="1968"/>
      <c r="BC780" s="1968"/>
      <c r="BD780" s="1968"/>
      <c r="BE780" s="1968"/>
      <c r="BF780" s="1968"/>
      <c r="BG780" s="7235"/>
    </row>
    <row customHeight="1" ht="11.25">
      <c r="A781" s="1312" t="s">
        <v>1069</v>
      </c>
      <c r="B781" s="1312"/>
      <c r="C781" s="1312"/>
      <c r="D781" s="1306"/>
      <c r="E781" s="1316"/>
      <c r="F781" s="1974"/>
      <c r="G781" s="1975"/>
      <c r="H781" s="2674" t="s">
        <v>1149</v>
      </c>
      <c r="I781" s="2675"/>
      <c r="J781" s="2644"/>
      <c r="K781" s="2676"/>
      <c r="L781" s="2266"/>
      <c r="M781" s="2267"/>
      <c r="N781" s="2667"/>
      <c r="O781" s="2668"/>
      <c r="P781" s="2671"/>
      <c r="Q781" s="8664"/>
      <c r="R781" s="2672"/>
      <c r="S781" s="2673"/>
      <c r="T781" s="2672"/>
      <c r="U781" s="2672"/>
      <c r="V781" s="2672"/>
      <c r="W781" s="2672"/>
      <c r="X781" s="2672"/>
      <c r="Y781" s="2672"/>
      <c r="Z781" s="1321"/>
      <c r="AA781" s="1322"/>
      <c r="AB781" s="1387" t="s">
        <v>1107</v>
      </c>
      <c r="AC781" s="1326"/>
      <c r="AD781" s="1326"/>
      <c r="AE781" s="1328"/>
      <c r="AF781" s="2665"/>
      <c r="AG781" s="2666"/>
      <c r="AH781" s="2666"/>
      <c r="AI781" s="8678"/>
      <c r="AJ781" s="2666"/>
      <c r="AK781" s="2666"/>
      <c r="AL781" s="2131"/>
      <c r="AM781" s="1968"/>
      <c r="AN781" s="1968"/>
      <c r="AO781" s="1968"/>
      <c r="AP781" s="1968"/>
      <c r="AQ781" s="1968"/>
      <c r="AR781" s="1968"/>
      <c r="AS781" s="1968"/>
      <c r="AT781" s="1968"/>
      <c r="AU781" s="1968"/>
      <c r="AV781" s="1968"/>
      <c r="AW781" s="1968"/>
      <c r="AX781" s="1968"/>
      <c r="AY781" s="1968"/>
      <c r="AZ781" s="1968"/>
      <c r="BA781" s="1968"/>
      <c r="BB781" s="1968"/>
      <c r="BC781" s="1968"/>
      <c r="BD781" s="1968"/>
      <c r="BE781" s="1968"/>
      <c r="BF781" s="1968"/>
      <c r="BG781" s="7235"/>
    </row>
    <row customHeight="1" ht="11.25">
      <c r="A782" s="1312" t="s">
        <v>1069</v>
      </c>
      <c r="B782" s="1312"/>
      <c r="C782" s="1312"/>
      <c r="D782" s="1306"/>
      <c r="E782" s="1316"/>
      <c r="F782" s="1974"/>
      <c r="G782" s="1975"/>
      <c r="H782" s="2674" t="s">
        <v>1149</v>
      </c>
      <c r="I782" s="2675"/>
      <c r="J782" s="2644"/>
      <c r="K782" s="2676"/>
      <c r="L782" s="2266"/>
      <c r="M782" s="2267"/>
      <c r="N782" s="1321"/>
      <c r="O782" s="1322"/>
      <c r="P782" s="1314" t="s">
        <v>1108</v>
      </c>
      <c r="Q782" s="1322"/>
      <c r="R782" s="1322"/>
      <c r="S782" s="1322"/>
      <c r="T782" s="1322"/>
      <c r="U782" s="1322"/>
      <c r="V782" s="1322"/>
      <c r="W782" s="1322"/>
      <c r="X782" s="1322"/>
      <c r="Y782" s="1322"/>
      <c r="Z782" s="1322"/>
      <c r="AA782" s="1322"/>
      <c r="AB782" s="1322"/>
      <c r="AC782" s="1322"/>
      <c r="AD782" s="1322"/>
      <c r="AE782" s="1329"/>
      <c r="AF782" s="2665"/>
      <c r="AG782" s="2666"/>
      <c r="AH782" s="2666"/>
      <c r="AI782" s="8678"/>
      <c r="AJ782" s="2666"/>
      <c r="AK782" s="2666"/>
      <c r="AL782" s="2131"/>
      <c r="AM782" s="1968"/>
      <c r="AN782" s="1968"/>
      <c r="AO782" s="1968"/>
      <c r="AP782" s="1968"/>
      <c r="AQ782" s="1968"/>
      <c r="AR782" s="1968"/>
      <c r="AS782" s="1968"/>
      <c r="AT782" s="1968"/>
      <c r="AU782" s="1968"/>
      <c r="AV782" s="1968"/>
      <c r="AW782" s="1968"/>
      <c r="AX782" s="1968"/>
      <c r="AY782" s="1968"/>
      <c r="AZ782" s="1968"/>
      <c r="BA782" s="1968"/>
      <c r="BB782" s="1968"/>
      <c r="BC782" s="1968"/>
      <c r="BD782" s="1968"/>
      <c r="BE782" s="1968"/>
      <c r="BF782" s="1968"/>
      <c r="BG782" s="7235"/>
    </row>
    <row customHeight="1" ht="11.25">
      <c r="A783" s="1312" t="s">
        <v>1069</v>
      </c>
      <c r="B783" s="1312" t="s">
        <v>1198</v>
      </c>
      <c r="C783" s="1312"/>
      <c r="D783" s="1306"/>
      <c r="E783" s="1316"/>
      <c r="F783" s="1974"/>
      <c r="G783" s="7143" t="s">
        <v>106</v>
      </c>
      <c r="H783" s="2674" t="s">
        <v>1167</v>
      </c>
      <c r="I783" s="2675" t="s">
        <v>1200</v>
      </c>
      <c r="J783" s="2644" t="s">
        <v>1206</v>
      </c>
      <c r="K783" s="2676" t="s">
        <v>1332</v>
      </c>
      <c r="L783" s="2266" t="s">
        <v>19</v>
      </c>
      <c r="M783" s="2267"/>
      <c r="N783" s="2129"/>
      <c r="O783" s="1323" t="s">
        <v>398</v>
      </c>
      <c r="P783" s="1324"/>
      <c r="Q783" s="1324"/>
      <c r="R783" s="1324"/>
      <c r="S783" s="1324"/>
      <c r="T783" s="1324"/>
      <c r="U783" s="1324"/>
      <c r="V783" s="1324"/>
      <c r="W783" s="1324"/>
      <c r="X783" s="1324"/>
      <c r="Y783" s="1324"/>
      <c r="Z783" s="1324"/>
      <c r="AA783" s="1324"/>
      <c r="AB783" s="1324"/>
      <c r="AC783" s="1324"/>
      <c r="AD783" s="1324"/>
      <c r="AE783" s="1324"/>
      <c r="AF783" s="2665">
        <v>2028</v>
      </c>
      <c r="AG783" s="2666" t="s">
        <v>1103</v>
      </c>
      <c r="AH783" s="2666" t="s">
        <v>1228</v>
      </c>
      <c r="AI783" s="8678"/>
      <c r="AJ783" s="2666" t="s">
        <v>1105</v>
      </c>
      <c r="AK783" s="2666" t="s">
        <v>1105</v>
      </c>
      <c r="AL783" s="2131"/>
      <c r="AM783" s="1968"/>
      <c r="AN783" s="1968"/>
      <c r="AO783" s="1968"/>
      <c r="AP783" s="1968"/>
      <c r="AQ783" s="1968"/>
      <c r="AR783" s="1968"/>
      <c r="AS783" s="1968"/>
      <c r="AT783" s="1968"/>
      <c r="AU783" s="1968"/>
      <c r="AV783" s="1968"/>
      <c r="AW783" s="1968"/>
      <c r="AX783" s="1968"/>
      <c r="AY783" s="1968"/>
      <c r="AZ783" s="1968"/>
      <c r="BA783" s="1968"/>
      <c r="BB783" s="1968"/>
      <c r="BC783" s="1968"/>
      <c r="BD783" s="1968"/>
      <c r="BE783" s="1968"/>
      <c r="BF783" s="1968"/>
      <c r="BG783" s="7235"/>
    </row>
    <row customHeight="1" ht="11.25">
      <c r="A784" s="1312" t="s">
        <v>1069</v>
      </c>
      <c r="B784" s="1312"/>
      <c r="C784" s="1312"/>
      <c r="D784" s="1306"/>
      <c r="E784" s="1316"/>
      <c r="F784" s="1974"/>
      <c r="G784" s="1975"/>
      <c r="H784" s="2674" t="s">
        <v>1217</v>
      </c>
      <c r="I784" s="2675"/>
      <c r="J784" s="2644"/>
      <c r="K784" s="2676"/>
      <c r="L784" s="2266"/>
      <c r="M784" s="2267"/>
      <c r="N784" s="2667"/>
      <c r="O784" s="2668">
        <v>1</v>
      </c>
      <c r="P784" s="2669" t="s">
        <v>63</v>
      </c>
      <c r="Q784" s="8664" t="s">
        <v>1208</v>
      </c>
      <c r="R784" s="8665" t="s">
        <v>1114</v>
      </c>
      <c r="S784" s="8665" t="s">
        <v>113</v>
      </c>
      <c r="T784" s="8665" t="s">
        <v>113</v>
      </c>
      <c r="U784" s="8665" t="s">
        <v>114</v>
      </c>
      <c r="V784" s="8665" t="s">
        <v>1115</v>
      </c>
      <c r="W784" s="8665" t="s">
        <v>1116</v>
      </c>
      <c r="X784" s="8665" t="s">
        <v>1209</v>
      </c>
      <c r="Y784" s="8665" t="s">
        <v>121</v>
      </c>
      <c r="Z784" s="1321"/>
      <c r="AA784" s="1322"/>
      <c r="AB784" s="1322"/>
      <c r="AC784" s="1326"/>
      <c r="AD784" s="1326"/>
      <c r="AE784" s="1327"/>
      <c r="AF784" s="2665"/>
      <c r="AG784" s="2666"/>
      <c r="AH784" s="2666"/>
      <c r="AI784" s="8678"/>
      <c r="AJ784" s="2666"/>
      <c r="AK784" s="2666"/>
      <c r="AL784" s="2131"/>
      <c r="AM784" s="1968"/>
      <c r="AN784" s="1968"/>
      <c r="AO784" s="1968"/>
      <c r="AP784" s="1968"/>
      <c r="AQ784" s="1968"/>
      <c r="AR784" s="1968"/>
      <c r="AS784" s="1968"/>
      <c r="AT784" s="1968"/>
      <c r="AU784" s="1968"/>
      <c r="AV784" s="1968"/>
      <c r="AW784" s="1968"/>
      <c r="AX784" s="1968"/>
      <c r="AY784" s="1968"/>
      <c r="AZ784" s="1968"/>
      <c r="BA784" s="1968"/>
      <c r="BB784" s="1968"/>
      <c r="BC784" s="1968"/>
      <c r="BD784" s="1968"/>
      <c r="BE784" s="1968"/>
      <c r="BF784" s="1968"/>
      <c r="BG784" s="7235"/>
    </row>
    <row customHeight="1" ht="11.25">
      <c r="A785" s="1312" t="s">
        <v>1069</v>
      </c>
      <c r="B785" s="1312"/>
      <c r="C785" s="1312"/>
      <c r="D785" s="1306"/>
      <c r="E785" s="1316"/>
      <c r="F785" s="1974"/>
      <c r="G785" s="1975"/>
      <c r="H785" s="2674" t="s">
        <v>1217</v>
      </c>
      <c r="I785" s="2675"/>
      <c r="J785" s="2644"/>
      <c r="K785" s="2676"/>
      <c r="L785" s="2266"/>
      <c r="M785" s="2267"/>
      <c r="N785" s="2667"/>
      <c r="O785" s="2668"/>
      <c r="P785" s="2670"/>
      <c r="Q785" s="8664"/>
      <c r="R785" s="2672"/>
      <c r="S785" s="2673"/>
      <c r="T785" s="2672"/>
      <c r="U785" s="2672"/>
      <c r="V785" s="2672"/>
      <c r="W785" s="2672"/>
      <c r="X785" s="2672"/>
      <c r="Y785" s="2672"/>
      <c r="Z785" s="1973"/>
      <c r="AA785" s="1939">
        <v>1</v>
      </c>
      <c r="AB785" s="1325" t="s">
        <v>1131</v>
      </c>
      <c r="AC785" s="1315">
        <v>18858</v>
      </c>
      <c r="AD785" s="1325" t="str">
        <f>AB785</f>
        <v>      Прочие амортизационные отчисления</v>
      </c>
      <c r="AE785" s="1315">
        <v>0</v>
      </c>
      <c r="AF785" s="2665"/>
      <c r="AG785" s="2666"/>
      <c r="AH785" s="2666"/>
      <c r="AI785" s="8678"/>
      <c r="AJ785" s="2666"/>
      <c r="AK785" s="2666"/>
      <c r="AL785" s="2131"/>
      <c r="AM785" s="1968"/>
      <c r="AN785" s="1968"/>
      <c r="AO785" s="1968"/>
      <c r="AP785" s="1968"/>
      <c r="AQ785" s="1968"/>
      <c r="AR785" s="1968"/>
      <c r="AS785" s="1968"/>
      <c r="AT785" s="1968"/>
      <c r="AU785" s="1968"/>
      <c r="AV785" s="1968"/>
      <c r="AW785" s="1968"/>
      <c r="AX785" s="1968"/>
      <c r="AY785" s="1968"/>
      <c r="AZ785" s="1968"/>
      <c r="BA785" s="1968"/>
      <c r="BB785" s="1968"/>
      <c r="BC785" s="1968"/>
      <c r="BD785" s="1968"/>
      <c r="BE785" s="1968"/>
      <c r="BF785" s="1968"/>
      <c r="BG785" s="7235"/>
    </row>
    <row customHeight="1" ht="11.25">
      <c r="A786" s="1312" t="s">
        <v>1069</v>
      </c>
      <c r="B786" s="1312"/>
      <c r="C786" s="1312"/>
      <c r="D786" s="1306"/>
      <c r="E786" s="1316"/>
      <c r="F786" s="1974"/>
      <c r="G786" s="1975"/>
      <c r="H786" s="2674" t="s">
        <v>1217</v>
      </c>
      <c r="I786" s="2675"/>
      <c r="J786" s="2644"/>
      <c r="K786" s="2676"/>
      <c r="L786" s="2266"/>
      <c r="M786" s="2267"/>
      <c r="N786" s="2667"/>
      <c r="O786" s="2668"/>
      <c r="P786" s="2671"/>
      <c r="Q786" s="8664"/>
      <c r="R786" s="2672"/>
      <c r="S786" s="2673"/>
      <c r="T786" s="2672"/>
      <c r="U786" s="2672"/>
      <c r="V786" s="2672"/>
      <c r="W786" s="2672"/>
      <c r="X786" s="2672"/>
      <c r="Y786" s="2672"/>
      <c r="Z786" s="1321"/>
      <c r="AA786" s="1322"/>
      <c r="AB786" s="1387" t="s">
        <v>1107</v>
      </c>
      <c r="AC786" s="1326"/>
      <c r="AD786" s="1326"/>
      <c r="AE786" s="1328"/>
      <c r="AF786" s="2665"/>
      <c r="AG786" s="2666"/>
      <c r="AH786" s="2666"/>
      <c r="AI786" s="8678"/>
      <c r="AJ786" s="2666"/>
      <c r="AK786" s="2666"/>
      <c r="AL786" s="2131"/>
      <c r="AM786" s="1968"/>
      <c r="AN786" s="1968"/>
      <c r="AO786" s="1968"/>
      <c r="AP786" s="1968"/>
      <c r="AQ786" s="1968"/>
      <c r="AR786" s="1968"/>
      <c r="AS786" s="1968"/>
      <c r="AT786" s="1968"/>
      <c r="AU786" s="1968"/>
      <c r="AV786" s="1968"/>
      <c r="AW786" s="1968"/>
      <c r="AX786" s="1968"/>
      <c r="AY786" s="1968"/>
      <c r="AZ786" s="1968"/>
      <c r="BA786" s="1968"/>
      <c r="BB786" s="1968"/>
      <c r="BC786" s="1968"/>
      <c r="BD786" s="1968"/>
      <c r="BE786" s="1968"/>
      <c r="BF786" s="1968"/>
      <c r="BG786" s="7235"/>
    </row>
    <row customHeight="1" ht="11.25">
      <c r="A787" s="1312" t="s">
        <v>1069</v>
      </c>
      <c r="B787" s="1312"/>
      <c r="C787" s="1312"/>
      <c r="D787" s="1306"/>
      <c r="E787" s="1316"/>
      <c r="F787" s="1974"/>
      <c r="G787" s="1975"/>
      <c r="H787" s="2674" t="s">
        <v>1217</v>
      </c>
      <c r="I787" s="2675"/>
      <c r="J787" s="2644"/>
      <c r="K787" s="2676"/>
      <c r="L787" s="2266"/>
      <c r="M787" s="2267"/>
      <c r="N787" s="1321"/>
      <c r="O787" s="1322"/>
      <c r="P787" s="1314" t="s">
        <v>1108</v>
      </c>
      <c r="Q787" s="1322"/>
      <c r="R787" s="1322"/>
      <c r="S787" s="1322"/>
      <c r="T787" s="1322"/>
      <c r="U787" s="1322"/>
      <c r="V787" s="1322"/>
      <c r="W787" s="1322"/>
      <c r="X787" s="1322"/>
      <c r="Y787" s="1322"/>
      <c r="Z787" s="1322"/>
      <c r="AA787" s="1322"/>
      <c r="AB787" s="1322"/>
      <c r="AC787" s="1322"/>
      <c r="AD787" s="1322"/>
      <c r="AE787" s="1329"/>
      <c r="AF787" s="2665"/>
      <c r="AG787" s="2666"/>
      <c r="AH787" s="2666"/>
      <c r="AI787" s="8678"/>
      <c r="AJ787" s="2666"/>
      <c r="AK787" s="2666"/>
      <c r="AL787" s="2131"/>
      <c r="AM787" s="1968"/>
      <c r="AN787" s="1968"/>
      <c r="AO787" s="1968"/>
      <c r="AP787" s="1968"/>
      <c r="AQ787" s="1968"/>
      <c r="AR787" s="1968"/>
      <c r="AS787" s="1968"/>
      <c r="AT787" s="1968"/>
      <c r="AU787" s="1968"/>
      <c r="AV787" s="1968"/>
      <c r="AW787" s="1968"/>
      <c r="AX787" s="1968"/>
      <c r="AY787" s="1968"/>
      <c r="AZ787" s="1968"/>
      <c r="BA787" s="1968"/>
      <c r="BB787" s="1968"/>
      <c r="BC787" s="1968"/>
      <c r="BD787" s="1968"/>
      <c r="BE787" s="1968"/>
      <c r="BF787" s="1968"/>
      <c r="BG787" s="7235"/>
    </row>
    <row customHeight="1" ht="11.25">
      <c r="A788" s="1312" t="s">
        <v>1069</v>
      </c>
      <c r="B788" s="1312" t="s">
        <v>1198</v>
      </c>
      <c r="C788" s="1312"/>
      <c r="D788" s="1306"/>
      <c r="E788" s="1316"/>
      <c r="F788" s="1974"/>
      <c r="G788" s="7143" t="s">
        <v>106</v>
      </c>
      <c r="H788" s="2674" t="s">
        <v>1220</v>
      </c>
      <c r="I788" s="2675" t="s">
        <v>1200</v>
      </c>
      <c r="J788" s="2644" t="s">
        <v>1206</v>
      </c>
      <c r="K788" s="2676" t="s">
        <v>1333</v>
      </c>
      <c r="L788" s="2266" t="s">
        <v>19</v>
      </c>
      <c r="M788" s="2267"/>
      <c r="N788" s="2129"/>
      <c r="O788" s="1323" t="s">
        <v>398</v>
      </c>
      <c r="P788" s="1324"/>
      <c r="Q788" s="1324"/>
      <c r="R788" s="1324"/>
      <c r="S788" s="1324"/>
      <c r="T788" s="1324"/>
      <c r="U788" s="1324"/>
      <c r="V788" s="1324"/>
      <c r="W788" s="1324"/>
      <c r="X788" s="1324"/>
      <c r="Y788" s="1324"/>
      <c r="Z788" s="1324"/>
      <c r="AA788" s="1324"/>
      <c r="AB788" s="1324"/>
      <c r="AC788" s="1324"/>
      <c r="AD788" s="1324"/>
      <c r="AE788" s="1324"/>
      <c r="AF788" s="2665">
        <v>2026</v>
      </c>
      <c r="AG788" s="2666" t="s">
        <v>1103</v>
      </c>
      <c r="AH788" s="2666" t="s">
        <v>1162</v>
      </c>
      <c r="AI788" s="8678"/>
      <c r="AJ788" s="2666" t="s">
        <v>1105</v>
      </c>
      <c r="AK788" s="2666" t="s">
        <v>1105</v>
      </c>
      <c r="AL788" s="2131"/>
      <c r="AM788" s="1968"/>
      <c r="AN788" s="1968"/>
      <c r="AO788" s="1968"/>
      <c r="AP788" s="1968"/>
      <c r="AQ788" s="1968"/>
      <c r="AR788" s="1968"/>
      <c r="AS788" s="1968"/>
      <c r="AT788" s="1968"/>
      <c r="AU788" s="1968"/>
      <c r="AV788" s="1968"/>
      <c r="AW788" s="1968"/>
      <c r="AX788" s="1968"/>
      <c r="AY788" s="1968"/>
      <c r="AZ788" s="1968"/>
      <c r="BA788" s="1968"/>
      <c r="BB788" s="1968"/>
      <c r="BC788" s="1968"/>
      <c r="BD788" s="1968"/>
      <c r="BE788" s="1968"/>
      <c r="BF788" s="1968"/>
      <c r="BG788" s="7235"/>
    </row>
    <row customHeight="1" ht="11.25">
      <c r="A789" s="1312" t="s">
        <v>1069</v>
      </c>
      <c r="B789" s="1312"/>
      <c r="C789" s="1312"/>
      <c r="D789" s="1306"/>
      <c r="E789" s="1316"/>
      <c r="F789" s="1974"/>
      <c r="G789" s="1975"/>
      <c r="H789" s="2674" t="s">
        <v>1167</v>
      </c>
      <c r="I789" s="2675"/>
      <c r="J789" s="2644"/>
      <c r="K789" s="2676"/>
      <c r="L789" s="2266"/>
      <c r="M789" s="2267"/>
      <c r="N789" s="2667"/>
      <c r="O789" s="2668">
        <v>1</v>
      </c>
      <c r="P789" s="2669" t="s">
        <v>63</v>
      </c>
      <c r="Q789" s="8664" t="s">
        <v>133</v>
      </c>
      <c r="R789" s="8665" t="s">
        <v>1114</v>
      </c>
      <c r="S789" s="8665" t="s">
        <v>109</v>
      </c>
      <c r="T789" s="8665" t="s">
        <v>109</v>
      </c>
      <c r="U789" s="8665" t="s">
        <v>110</v>
      </c>
      <c r="V789" s="8665" t="s">
        <v>1192</v>
      </c>
      <c r="W789" s="8665" t="s">
        <v>1193</v>
      </c>
      <c r="X789" s="8665" t="s">
        <v>1194</v>
      </c>
      <c r="Y789" s="8665" t="s">
        <v>1195</v>
      </c>
      <c r="Z789" s="1321"/>
      <c r="AA789" s="1322"/>
      <c r="AB789" s="1322"/>
      <c r="AC789" s="1326"/>
      <c r="AD789" s="1326"/>
      <c r="AE789" s="1327"/>
      <c r="AF789" s="2665"/>
      <c r="AG789" s="2666"/>
      <c r="AH789" s="2666"/>
      <c r="AI789" s="8678"/>
      <c r="AJ789" s="2666"/>
      <c r="AK789" s="2666"/>
      <c r="AL789" s="2131"/>
      <c r="AM789" s="1968"/>
      <c r="AN789" s="1968"/>
      <c r="AO789" s="1968"/>
      <c r="AP789" s="1968"/>
      <c r="AQ789" s="1968"/>
      <c r="AR789" s="1968"/>
      <c r="AS789" s="1968"/>
      <c r="AT789" s="1968"/>
      <c r="AU789" s="1968"/>
      <c r="AV789" s="1968"/>
      <c r="AW789" s="1968"/>
      <c r="AX789" s="1968"/>
      <c r="AY789" s="1968"/>
      <c r="AZ789" s="1968"/>
      <c r="BA789" s="1968"/>
      <c r="BB789" s="1968"/>
      <c r="BC789" s="1968"/>
      <c r="BD789" s="1968"/>
      <c r="BE789" s="1968"/>
      <c r="BF789" s="1968"/>
      <c r="BG789" s="7235"/>
    </row>
    <row customHeight="1" ht="11.25">
      <c r="A790" s="1312" t="s">
        <v>1069</v>
      </c>
      <c r="B790" s="1312"/>
      <c r="C790" s="1312"/>
      <c r="D790" s="1306"/>
      <c r="E790" s="1316"/>
      <c r="F790" s="1974"/>
      <c r="G790" s="1975"/>
      <c r="H790" s="2674" t="s">
        <v>1167</v>
      </c>
      <c r="I790" s="2675"/>
      <c r="J790" s="2644"/>
      <c r="K790" s="2676"/>
      <c r="L790" s="2266"/>
      <c r="M790" s="2267"/>
      <c r="N790" s="2667"/>
      <c r="O790" s="2668"/>
      <c r="P790" s="2670"/>
      <c r="Q790" s="8664"/>
      <c r="R790" s="2672"/>
      <c r="S790" s="2673"/>
      <c r="T790" s="2672"/>
      <c r="U790" s="2672"/>
      <c r="V790" s="2672"/>
      <c r="W790" s="2672"/>
      <c r="X790" s="2672"/>
      <c r="Y790" s="2672"/>
      <c r="Z790" s="1973"/>
      <c r="AA790" s="1939">
        <v>1</v>
      </c>
      <c r="AB790" s="1325" t="s">
        <v>1131</v>
      </c>
      <c r="AC790" s="1315">
        <v>6232</v>
      </c>
      <c r="AD790" s="1325" t="str">
        <f>AB790</f>
        <v>      Прочие амортизационные отчисления</v>
      </c>
      <c r="AE790" s="1315">
        <v>0</v>
      </c>
      <c r="AF790" s="2665"/>
      <c r="AG790" s="2666"/>
      <c r="AH790" s="2666"/>
      <c r="AI790" s="8678"/>
      <c r="AJ790" s="2666"/>
      <c r="AK790" s="2666"/>
      <c r="AL790" s="2131"/>
      <c r="AM790" s="1968"/>
      <c r="AN790" s="1968"/>
      <c r="AO790" s="1968"/>
      <c r="AP790" s="1968"/>
      <c r="AQ790" s="1968"/>
      <c r="AR790" s="1968"/>
      <c r="AS790" s="1968"/>
      <c r="AT790" s="1968"/>
      <c r="AU790" s="1968"/>
      <c r="AV790" s="1968"/>
      <c r="AW790" s="1968"/>
      <c r="AX790" s="1968"/>
      <c r="AY790" s="1968"/>
      <c r="AZ790" s="1968"/>
      <c r="BA790" s="1968"/>
      <c r="BB790" s="1968"/>
      <c r="BC790" s="1968"/>
      <c r="BD790" s="1968"/>
      <c r="BE790" s="1968"/>
      <c r="BF790" s="1968"/>
      <c r="BG790" s="7235"/>
    </row>
    <row customHeight="1" ht="11.25">
      <c r="A791" s="1312" t="s">
        <v>1069</v>
      </c>
      <c r="B791" s="1312"/>
      <c r="C791" s="1312"/>
      <c r="D791" s="1306"/>
      <c r="E791" s="1316"/>
      <c r="F791" s="1974"/>
      <c r="G791" s="1975"/>
      <c r="H791" s="2674" t="s">
        <v>1167</v>
      </c>
      <c r="I791" s="2675"/>
      <c r="J791" s="2644"/>
      <c r="K791" s="2676"/>
      <c r="L791" s="2266"/>
      <c r="M791" s="2267"/>
      <c r="N791" s="2667"/>
      <c r="O791" s="2668"/>
      <c r="P791" s="2671"/>
      <c r="Q791" s="8664"/>
      <c r="R791" s="2672"/>
      <c r="S791" s="2673"/>
      <c r="T791" s="2672"/>
      <c r="U791" s="2672"/>
      <c r="V791" s="2672"/>
      <c r="W791" s="2672"/>
      <c r="X791" s="2672"/>
      <c r="Y791" s="2672"/>
      <c r="Z791" s="1321"/>
      <c r="AA791" s="1322"/>
      <c r="AB791" s="1387" t="s">
        <v>1107</v>
      </c>
      <c r="AC791" s="1326"/>
      <c r="AD791" s="1326"/>
      <c r="AE791" s="1328"/>
      <c r="AF791" s="2665"/>
      <c r="AG791" s="2666"/>
      <c r="AH791" s="2666"/>
      <c r="AI791" s="8678"/>
      <c r="AJ791" s="2666"/>
      <c r="AK791" s="2666"/>
      <c r="AL791" s="2131"/>
      <c r="AM791" s="1968"/>
      <c r="AN791" s="1968"/>
      <c r="AO791" s="1968"/>
      <c r="AP791" s="1968"/>
      <c r="AQ791" s="1968"/>
      <c r="AR791" s="1968"/>
      <c r="AS791" s="1968"/>
      <c r="AT791" s="1968"/>
      <c r="AU791" s="1968"/>
      <c r="AV791" s="1968"/>
      <c r="AW791" s="1968"/>
      <c r="AX791" s="1968"/>
      <c r="AY791" s="1968"/>
      <c r="AZ791" s="1968"/>
      <c r="BA791" s="1968"/>
      <c r="BB791" s="1968"/>
      <c r="BC791" s="1968"/>
      <c r="BD791" s="1968"/>
      <c r="BE791" s="1968"/>
      <c r="BF791" s="1968"/>
      <c r="BG791" s="7235"/>
    </row>
    <row customHeight="1" ht="11.25">
      <c r="A792" s="1312" t="s">
        <v>1069</v>
      </c>
      <c r="B792" s="1312"/>
      <c r="C792" s="1312"/>
      <c r="D792" s="1306"/>
      <c r="E792" s="1316"/>
      <c r="F792" s="1974"/>
      <c r="G792" s="1975"/>
      <c r="H792" s="2674" t="s">
        <v>1167</v>
      </c>
      <c r="I792" s="2675"/>
      <c r="J792" s="2644"/>
      <c r="K792" s="2676"/>
      <c r="L792" s="2266"/>
      <c r="M792" s="2267"/>
      <c r="N792" s="1321"/>
      <c r="O792" s="1322"/>
      <c r="P792" s="1314" t="s">
        <v>1108</v>
      </c>
      <c r="Q792" s="1322"/>
      <c r="R792" s="1322"/>
      <c r="S792" s="1322"/>
      <c r="T792" s="1322"/>
      <c r="U792" s="1322"/>
      <c r="V792" s="1322"/>
      <c r="W792" s="1322"/>
      <c r="X792" s="1322"/>
      <c r="Y792" s="1322"/>
      <c r="Z792" s="1322"/>
      <c r="AA792" s="1322"/>
      <c r="AB792" s="1322"/>
      <c r="AC792" s="1322"/>
      <c r="AD792" s="1322"/>
      <c r="AE792" s="1329"/>
      <c r="AF792" s="2665"/>
      <c r="AG792" s="2666"/>
      <c r="AH792" s="2666"/>
      <c r="AI792" s="8678"/>
      <c r="AJ792" s="2666"/>
      <c r="AK792" s="2666"/>
      <c r="AL792" s="2131"/>
      <c r="AM792" s="1968"/>
      <c r="AN792" s="1968"/>
      <c r="AO792" s="1968"/>
      <c r="AP792" s="1968"/>
      <c r="AQ792" s="1968"/>
      <c r="AR792" s="1968"/>
      <c r="AS792" s="1968"/>
      <c r="AT792" s="1968"/>
      <c r="AU792" s="1968"/>
      <c r="AV792" s="1968"/>
      <c r="AW792" s="1968"/>
      <c r="AX792" s="1968"/>
      <c r="AY792" s="1968"/>
      <c r="AZ792" s="1968"/>
      <c r="BA792" s="1968"/>
      <c r="BB792" s="1968"/>
      <c r="BC792" s="1968"/>
      <c r="BD792" s="1968"/>
      <c r="BE792" s="1968"/>
      <c r="BF792" s="1968"/>
      <c r="BG792" s="7235"/>
    </row>
    <row customHeight="1" ht="11.25">
      <c r="A793" s="1312" t="s">
        <v>1069</v>
      </c>
      <c r="B793" s="1312" t="s">
        <v>1198</v>
      </c>
      <c r="C793" s="1312"/>
      <c r="D793" s="1306"/>
      <c r="E793" s="1316"/>
      <c r="F793" s="1974"/>
      <c r="G793" s="7143" t="s">
        <v>106</v>
      </c>
      <c r="H793" s="2674" t="s">
        <v>1222</v>
      </c>
      <c r="I793" s="2675" t="s">
        <v>1200</v>
      </c>
      <c r="J793" s="2644" t="s">
        <v>1206</v>
      </c>
      <c r="K793" s="2676" t="s">
        <v>1334</v>
      </c>
      <c r="L793" s="2266" t="s">
        <v>19</v>
      </c>
      <c r="M793" s="2267"/>
      <c r="N793" s="2129"/>
      <c r="O793" s="1323" t="s">
        <v>398</v>
      </c>
      <c r="P793" s="1324"/>
      <c r="Q793" s="1324"/>
      <c r="R793" s="1324"/>
      <c r="S793" s="1324"/>
      <c r="T793" s="1324"/>
      <c r="U793" s="1324"/>
      <c r="V793" s="1324"/>
      <c r="W793" s="1324"/>
      <c r="X793" s="1324"/>
      <c r="Y793" s="1324"/>
      <c r="Z793" s="1324"/>
      <c r="AA793" s="1324"/>
      <c r="AB793" s="1324"/>
      <c r="AC793" s="1324"/>
      <c r="AD793" s="1324"/>
      <c r="AE793" s="1324"/>
      <c r="AF793" s="2665">
        <v>2026</v>
      </c>
      <c r="AG793" s="2666" t="s">
        <v>1103</v>
      </c>
      <c r="AH793" s="2666" t="s">
        <v>1162</v>
      </c>
      <c r="AI793" s="8678"/>
      <c r="AJ793" s="2666" t="s">
        <v>1105</v>
      </c>
      <c r="AK793" s="2666" t="s">
        <v>1105</v>
      </c>
      <c r="AL793" s="2131"/>
      <c r="AM793" s="1968"/>
      <c r="AN793" s="1968"/>
      <c r="AO793" s="1968"/>
      <c r="AP793" s="1968"/>
      <c r="AQ793" s="1968"/>
      <c r="AR793" s="1968"/>
      <c r="AS793" s="1968"/>
      <c r="AT793" s="1968"/>
      <c r="AU793" s="1968"/>
      <c r="AV793" s="1968"/>
      <c r="AW793" s="1968"/>
      <c r="AX793" s="1968"/>
      <c r="AY793" s="1968"/>
      <c r="AZ793" s="1968"/>
      <c r="BA793" s="1968"/>
      <c r="BB793" s="1968"/>
      <c r="BC793" s="1968"/>
      <c r="BD793" s="1968"/>
      <c r="BE793" s="1968"/>
      <c r="BF793" s="1968"/>
      <c r="BG793" s="7235"/>
    </row>
    <row customHeight="1" ht="11.25">
      <c r="A794" s="1312" t="s">
        <v>1069</v>
      </c>
      <c r="B794" s="1312"/>
      <c r="C794" s="1312"/>
      <c r="D794" s="1306"/>
      <c r="E794" s="1316"/>
      <c r="F794" s="1974"/>
      <c r="G794" s="1975"/>
      <c r="H794" s="2674" t="s">
        <v>1220</v>
      </c>
      <c r="I794" s="2675"/>
      <c r="J794" s="2644"/>
      <c r="K794" s="2676"/>
      <c r="L794" s="2266"/>
      <c r="M794" s="2267"/>
      <c r="N794" s="2667"/>
      <c r="O794" s="2668">
        <v>1</v>
      </c>
      <c r="P794" s="2669" t="s">
        <v>63</v>
      </c>
      <c r="Q794" s="8664" t="s">
        <v>128</v>
      </c>
      <c r="R794" s="8665" t="s">
        <v>1114</v>
      </c>
      <c r="S794" s="8665" t="s">
        <v>101</v>
      </c>
      <c r="T794" s="8665" t="s">
        <v>102</v>
      </c>
      <c r="U794" s="8665" t="s">
        <v>103</v>
      </c>
      <c r="V794" s="8665" t="s">
        <v>1238</v>
      </c>
      <c r="W794" s="8665" t="s">
        <v>1239</v>
      </c>
      <c r="X794" s="8665" t="s">
        <v>1240</v>
      </c>
      <c r="Y794" s="8665" t="s">
        <v>1190</v>
      </c>
      <c r="Z794" s="1321"/>
      <c r="AA794" s="1322"/>
      <c r="AB794" s="1322"/>
      <c r="AC794" s="1326"/>
      <c r="AD794" s="1326"/>
      <c r="AE794" s="1327"/>
      <c r="AF794" s="2665"/>
      <c r="AG794" s="2666"/>
      <c r="AH794" s="2666"/>
      <c r="AI794" s="8678"/>
      <c r="AJ794" s="2666"/>
      <c r="AK794" s="2666"/>
      <c r="AL794" s="2131"/>
      <c r="AM794" s="1968"/>
      <c r="AN794" s="1968"/>
      <c r="AO794" s="1968"/>
      <c r="AP794" s="1968"/>
      <c r="AQ794" s="1968"/>
      <c r="AR794" s="1968"/>
      <c r="AS794" s="1968"/>
      <c r="AT794" s="1968"/>
      <c r="AU794" s="1968"/>
      <c r="AV794" s="1968"/>
      <c r="AW794" s="1968"/>
      <c r="AX794" s="1968"/>
      <c r="AY794" s="1968"/>
      <c r="AZ794" s="1968"/>
      <c r="BA794" s="1968"/>
      <c r="BB794" s="1968"/>
      <c r="BC794" s="1968"/>
      <c r="BD794" s="1968"/>
      <c r="BE794" s="1968"/>
      <c r="BF794" s="1968"/>
      <c r="BG794" s="7235"/>
    </row>
    <row customHeight="1" ht="11.25">
      <c r="A795" s="1312" t="s">
        <v>1069</v>
      </c>
      <c r="B795" s="1312"/>
      <c r="C795" s="1312"/>
      <c r="D795" s="1306"/>
      <c r="E795" s="1316"/>
      <c r="F795" s="1974"/>
      <c r="G795" s="1975"/>
      <c r="H795" s="2674" t="s">
        <v>1220</v>
      </c>
      <c r="I795" s="2675"/>
      <c r="J795" s="2644"/>
      <c r="K795" s="2676"/>
      <c r="L795" s="2266"/>
      <c r="M795" s="2267"/>
      <c r="N795" s="2667"/>
      <c r="O795" s="2668"/>
      <c r="P795" s="2670"/>
      <c r="Q795" s="8664"/>
      <c r="R795" s="2672"/>
      <c r="S795" s="2673"/>
      <c r="T795" s="2672"/>
      <c r="U795" s="2672"/>
      <c r="V795" s="2672"/>
      <c r="W795" s="2672"/>
      <c r="X795" s="2672"/>
      <c r="Y795" s="2672"/>
      <c r="Z795" s="1973"/>
      <c r="AA795" s="1939">
        <v>1</v>
      </c>
      <c r="AB795" s="1325" t="s">
        <v>1131</v>
      </c>
      <c r="AC795" s="1315">
        <v>5781</v>
      </c>
      <c r="AD795" s="1325" t="str">
        <f>AB795</f>
        <v>      Прочие амортизационные отчисления</v>
      </c>
      <c r="AE795" s="1315">
        <v>0</v>
      </c>
      <c r="AF795" s="2665"/>
      <c r="AG795" s="2666"/>
      <c r="AH795" s="2666"/>
      <c r="AI795" s="8678"/>
      <c r="AJ795" s="2666"/>
      <c r="AK795" s="2666"/>
      <c r="AL795" s="2131"/>
      <c r="AM795" s="1968"/>
      <c r="AN795" s="1968"/>
      <c r="AO795" s="1968"/>
      <c r="AP795" s="1968"/>
      <c r="AQ795" s="1968"/>
      <c r="AR795" s="1968"/>
      <c r="AS795" s="1968"/>
      <c r="AT795" s="1968"/>
      <c r="AU795" s="1968"/>
      <c r="AV795" s="1968"/>
      <c r="AW795" s="1968"/>
      <c r="AX795" s="1968"/>
      <c r="AY795" s="1968"/>
      <c r="AZ795" s="1968"/>
      <c r="BA795" s="1968"/>
      <c r="BB795" s="1968"/>
      <c r="BC795" s="1968"/>
      <c r="BD795" s="1968"/>
      <c r="BE795" s="1968"/>
      <c r="BF795" s="1968"/>
      <c r="BG795" s="7235"/>
    </row>
    <row customHeight="1" ht="11.25">
      <c r="A796" s="1312" t="s">
        <v>1069</v>
      </c>
      <c r="B796" s="1312"/>
      <c r="C796" s="1312"/>
      <c r="D796" s="1306"/>
      <c r="E796" s="1316"/>
      <c r="F796" s="1974"/>
      <c r="G796" s="1975"/>
      <c r="H796" s="2674" t="s">
        <v>1220</v>
      </c>
      <c r="I796" s="2675"/>
      <c r="J796" s="2644"/>
      <c r="K796" s="2676"/>
      <c r="L796" s="2266"/>
      <c r="M796" s="2267"/>
      <c r="N796" s="2667"/>
      <c r="O796" s="2668"/>
      <c r="P796" s="2671"/>
      <c r="Q796" s="8664"/>
      <c r="R796" s="2672"/>
      <c r="S796" s="2673"/>
      <c r="T796" s="2672"/>
      <c r="U796" s="2672"/>
      <c r="V796" s="2672"/>
      <c r="W796" s="2672"/>
      <c r="X796" s="2672"/>
      <c r="Y796" s="2672"/>
      <c r="Z796" s="1321"/>
      <c r="AA796" s="1322"/>
      <c r="AB796" s="1387" t="s">
        <v>1107</v>
      </c>
      <c r="AC796" s="1326"/>
      <c r="AD796" s="1326"/>
      <c r="AE796" s="1328"/>
      <c r="AF796" s="2665"/>
      <c r="AG796" s="2666"/>
      <c r="AH796" s="2666"/>
      <c r="AI796" s="8678"/>
      <c r="AJ796" s="2666"/>
      <c r="AK796" s="2666"/>
      <c r="AL796" s="2131"/>
      <c r="AM796" s="1968"/>
      <c r="AN796" s="1968"/>
      <c r="AO796" s="1968"/>
      <c r="AP796" s="1968"/>
      <c r="AQ796" s="1968"/>
      <c r="AR796" s="1968"/>
      <c r="AS796" s="1968"/>
      <c r="AT796" s="1968"/>
      <c r="AU796" s="1968"/>
      <c r="AV796" s="1968"/>
      <c r="AW796" s="1968"/>
      <c r="AX796" s="1968"/>
      <c r="AY796" s="1968"/>
      <c r="AZ796" s="1968"/>
      <c r="BA796" s="1968"/>
      <c r="BB796" s="1968"/>
      <c r="BC796" s="1968"/>
      <c r="BD796" s="1968"/>
      <c r="BE796" s="1968"/>
      <c r="BF796" s="1968"/>
      <c r="BG796" s="7235"/>
    </row>
    <row customHeight="1" ht="11.25">
      <c r="A797" s="1312" t="s">
        <v>1069</v>
      </c>
      <c r="B797" s="1312"/>
      <c r="C797" s="1312"/>
      <c r="D797" s="1306"/>
      <c r="E797" s="1316"/>
      <c r="F797" s="1974"/>
      <c r="G797" s="1975"/>
      <c r="H797" s="2674" t="s">
        <v>1220</v>
      </c>
      <c r="I797" s="2675"/>
      <c r="J797" s="2644"/>
      <c r="K797" s="2676"/>
      <c r="L797" s="2266"/>
      <c r="M797" s="2267"/>
      <c r="N797" s="1321"/>
      <c r="O797" s="1322"/>
      <c r="P797" s="1314" t="s">
        <v>1108</v>
      </c>
      <c r="Q797" s="1322"/>
      <c r="R797" s="1322"/>
      <c r="S797" s="1322"/>
      <c r="T797" s="1322"/>
      <c r="U797" s="1322"/>
      <c r="V797" s="1322"/>
      <c r="W797" s="1322"/>
      <c r="X797" s="1322"/>
      <c r="Y797" s="1322"/>
      <c r="Z797" s="1322"/>
      <c r="AA797" s="1322"/>
      <c r="AB797" s="1322"/>
      <c r="AC797" s="1322"/>
      <c r="AD797" s="1322"/>
      <c r="AE797" s="1329"/>
      <c r="AF797" s="2665"/>
      <c r="AG797" s="2666"/>
      <c r="AH797" s="2666"/>
      <c r="AI797" s="8678"/>
      <c r="AJ797" s="2666"/>
      <c r="AK797" s="2666"/>
      <c r="AL797" s="2131"/>
      <c r="AM797" s="1968"/>
      <c r="AN797" s="1968"/>
      <c r="AO797" s="1968"/>
      <c r="AP797" s="1968"/>
      <c r="AQ797" s="1968"/>
      <c r="AR797" s="1968"/>
      <c r="AS797" s="1968"/>
      <c r="AT797" s="1968"/>
      <c r="AU797" s="1968"/>
      <c r="AV797" s="1968"/>
      <c r="AW797" s="1968"/>
      <c r="AX797" s="1968"/>
      <c r="AY797" s="1968"/>
      <c r="AZ797" s="1968"/>
      <c r="BA797" s="1968"/>
      <c r="BB797" s="1968"/>
      <c r="BC797" s="1968"/>
      <c r="BD797" s="1968"/>
      <c r="BE797" s="1968"/>
      <c r="BF797" s="1968"/>
      <c r="BG797" s="7235"/>
    </row>
    <row customHeight="1" ht="11.25">
      <c r="A798" s="1312" t="s">
        <v>1069</v>
      </c>
      <c r="B798" s="1312" t="s">
        <v>1198</v>
      </c>
      <c r="C798" s="1312"/>
      <c r="D798" s="1306"/>
      <c r="E798" s="1316"/>
      <c r="F798" s="1974"/>
      <c r="G798" s="7143" t="s">
        <v>106</v>
      </c>
      <c r="H798" s="2674" t="s">
        <v>1224</v>
      </c>
      <c r="I798" s="2675" t="s">
        <v>1200</v>
      </c>
      <c r="J798" s="2644" t="s">
        <v>1206</v>
      </c>
      <c r="K798" s="2676" t="s">
        <v>1302</v>
      </c>
      <c r="L798" s="2266" t="s">
        <v>19</v>
      </c>
      <c r="M798" s="2267"/>
      <c r="N798" s="2129"/>
      <c r="O798" s="1323" t="s">
        <v>398</v>
      </c>
      <c r="P798" s="1324"/>
      <c r="Q798" s="1324"/>
      <c r="R798" s="1324"/>
      <c r="S798" s="1324"/>
      <c r="T798" s="1324"/>
      <c r="U798" s="1324"/>
      <c r="V798" s="1324"/>
      <c r="W798" s="1324"/>
      <c r="X798" s="1324"/>
      <c r="Y798" s="1324"/>
      <c r="Z798" s="1324"/>
      <c r="AA798" s="1324"/>
      <c r="AB798" s="1324"/>
      <c r="AC798" s="1324"/>
      <c r="AD798" s="1324"/>
      <c r="AE798" s="1324"/>
      <c r="AF798" s="2665">
        <v>2026</v>
      </c>
      <c r="AG798" s="2666" t="s">
        <v>1103</v>
      </c>
      <c r="AH798" s="2666" t="s">
        <v>1162</v>
      </c>
      <c r="AI798" s="8678"/>
      <c r="AJ798" s="2666" t="s">
        <v>1105</v>
      </c>
      <c r="AK798" s="2666" t="s">
        <v>1105</v>
      </c>
      <c r="AL798" s="2131"/>
      <c r="AM798" s="1968"/>
      <c r="AN798" s="1968"/>
      <c r="AO798" s="1968"/>
      <c r="AP798" s="1968"/>
      <c r="AQ798" s="1968"/>
      <c r="AR798" s="1968"/>
      <c r="AS798" s="1968"/>
      <c r="AT798" s="1968"/>
      <c r="AU798" s="1968"/>
      <c r="AV798" s="1968"/>
      <c r="AW798" s="1968"/>
      <c r="AX798" s="1968"/>
      <c r="AY798" s="1968"/>
      <c r="AZ798" s="1968"/>
      <c r="BA798" s="1968"/>
      <c r="BB798" s="1968"/>
      <c r="BC798" s="1968"/>
      <c r="BD798" s="1968"/>
      <c r="BE798" s="1968"/>
      <c r="BF798" s="1968"/>
      <c r="BG798" s="7235"/>
    </row>
    <row customHeight="1" ht="11.25">
      <c r="A799" s="1312" t="s">
        <v>1069</v>
      </c>
      <c r="B799" s="1312"/>
      <c r="C799" s="1312"/>
      <c r="D799" s="1306"/>
      <c r="E799" s="1316"/>
      <c r="F799" s="1974"/>
      <c r="G799" s="1975"/>
      <c r="H799" s="2674" t="s">
        <v>1222</v>
      </c>
      <c r="I799" s="2675"/>
      <c r="J799" s="2644"/>
      <c r="K799" s="2676"/>
      <c r="L799" s="2266"/>
      <c r="M799" s="2267"/>
      <c r="N799" s="2667"/>
      <c r="O799" s="2668">
        <v>1</v>
      </c>
      <c r="P799" s="2669" t="s">
        <v>19</v>
      </c>
      <c r="Q799" s="8674" t="s">
        <v>22</v>
      </c>
      <c r="R799" s="8674" t="s">
        <v>22</v>
      </c>
      <c r="S799" s="8674" t="s">
        <v>22</v>
      </c>
      <c r="T799" s="8674" t="s">
        <v>22</v>
      </c>
      <c r="U799" s="8674" t="s">
        <v>22</v>
      </c>
      <c r="V799" s="8674" t="s">
        <v>22</v>
      </c>
      <c r="W799" s="8674" t="s">
        <v>22</v>
      </c>
      <c r="X799" s="8674" t="s">
        <v>22</v>
      </c>
      <c r="Y799" s="8674" t="s">
        <v>22</v>
      </c>
      <c r="Z799" s="1321"/>
      <c r="AA799" s="1322"/>
      <c r="AB799" s="1322"/>
      <c r="AC799" s="1326"/>
      <c r="AD799" s="1326"/>
      <c r="AE799" s="1327"/>
      <c r="AF799" s="2665"/>
      <c r="AG799" s="2666"/>
      <c r="AH799" s="2666"/>
      <c r="AI799" s="8678"/>
      <c r="AJ799" s="2666"/>
      <c r="AK799" s="2666"/>
      <c r="AL799" s="2131"/>
      <c r="AM799" s="1968"/>
      <c r="AN799" s="1968"/>
      <c r="AO799" s="1968"/>
      <c r="AP799" s="1968"/>
      <c r="AQ799" s="1968"/>
      <c r="AR799" s="1968"/>
      <c r="AS799" s="1968"/>
      <c r="AT799" s="1968"/>
      <c r="AU799" s="1968"/>
      <c r="AV799" s="1968"/>
      <c r="AW799" s="1968"/>
      <c r="AX799" s="1968"/>
      <c r="AY799" s="1968"/>
      <c r="AZ799" s="1968"/>
      <c r="BA799" s="1968"/>
      <c r="BB799" s="1968"/>
      <c r="BC799" s="1968"/>
      <c r="BD799" s="1968"/>
      <c r="BE799" s="1968"/>
      <c r="BF799" s="1968"/>
      <c r="BG799" s="7235"/>
    </row>
    <row customHeight="1" ht="11.25">
      <c r="A800" s="1312" t="s">
        <v>1069</v>
      </c>
      <c r="B800" s="1312"/>
      <c r="C800" s="1312"/>
      <c r="D800" s="1306"/>
      <c r="E800" s="1316"/>
      <c r="F800" s="1974"/>
      <c r="G800" s="1975"/>
      <c r="H800" s="2674" t="s">
        <v>1222</v>
      </c>
      <c r="I800" s="2675"/>
      <c r="J800" s="2644"/>
      <c r="K800" s="2676"/>
      <c r="L800" s="2266"/>
      <c r="M800" s="2267"/>
      <c r="N800" s="2667"/>
      <c r="O800" s="2668"/>
      <c r="P800" s="2670"/>
      <c r="Q800" s="8664"/>
      <c r="R800" s="2672"/>
      <c r="S800" s="2673"/>
      <c r="T800" s="2672"/>
      <c r="U800" s="2672"/>
      <c r="V800" s="2672"/>
      <c r="W800" s="2672"/>
      <c r="X800" s="2672"/>
      <c r="Y800" s="2672"/>
      <c r="Z800" s="1973"/>
      <c r="AA800" s="1939">
        <v>1</v>
      </c>
      <c r="AB800" s="1325" t="s">
        <v>1131</v>
      </c>
      <c r="AC800" s="1315">
        <v>23956</v>
      </c>
      <c r="AD800" s="1325" t="str">
        <f>AB800</f>
        <v>      Прочие амортизационные отчисления</v>
      </c>
      <c r="AE800" s="1315">
        <v>0</v>
      </c>
      <c r="AF800" s="2665"/>
      <c r="AG800" s="2666"/>
      <c r="AH800" s="2666"/>
      <c r="AI800" s="8678"/>
      <c r="AJ800" s="2666"/>
      <c r="AK800" s="2666"/>
      <c r="AL800" s="2131"/>
      <c r="AM800" s="1968"/>
      <c r="AN800" s="1968"/>
      <c r="AO800" s="1968"/>
      <c r="AP800" s="1968"/>
      <c r="AQ800" s="1968"/>
      <c r="AR800" s="1968"/>
      <c r="AS800" s="1968"/>
      <c r="AT800" s="1968"/>
      <c r="AU800" s="1968"/>
      <c r="AV800" s="1968"/>
      <c r="AW800" s="1968"/>
      <c r="AX800" s="1968"/>
      <c r="AY800" s="1968"/>
      <c r="AZ800" s="1968"/>
      <c r="BA800" s="1968"/>
      <c r="BB800" s="1968"/>
      <c r="BC800" s="1968"/>
      <c r="BD800" s="1968"/>
      <c r="BE800" s="1968"/>
      <c r="BF800" s="1968"/>
      <c r="BG800" s="7235"/>
    </row>
    <row customHeight="1" ht="11.25">
      <c r="A801" s="1312" t="s">
        <v>1069</v>
      </c>
      <c r="B801" s="1312"/>
      <c r="C801" s="1312"/>
      <c r="D801" s="1306"/>
      <c r="E801" s="1316"/>
      <c r="F801" s="1974"/>
      <c r="G801" s="1975"/>
      <c r="H801" s="2674" t="s">
        <v>1222</v>
      </c>
      <c r="I801" s="2675"/>
      <c r="J801" s="2644"/>
      <c r="K801" s="2676"/>
      <c r="L801" s="2266"/>
      <c r="M801" s="2267"/>
      <c r="N801" s="2667"/>
      <c r="O801" s="2668"/>
      <c r="P801" s="2671"/>
      <c r="Q801" s="8664"/>
      <c r="R801" s="2672"/>
      <c r="S801" s="2673"/>
      <c r="T801" s="2672"/>
      <c r="U801" s="2672"/>
      <c r="V801" s="2672"/>
      <c r="W801" s="2672"/>
      <c r="X801" s="2672"/>
      <c r="Y801" s="2672"/>
      <c r="Z801" s="1321"/>
      <c r="AA801" s="1322"/>
      <c r="AB801" s="1387" t="s">
        <v>1107</v>
      </c>
      <c r="AC801" s="1326"/>
      <c r="AD801" s="1326"/>
      <c r="AE801" s="1328"/>
      <c r="AF801" s="2665"/>
      <c r="AG801" s="2666"/>
      <c r="AH801" s="2666"/>
      <c r="AI801" s="8678"/>
      <c r="AJ801" s="2666"/>
      <c r="AK801" s="2666"/>
      <c r="AL801" s="2131"/>
      <c r="AM801" s="1968"/>
      <c r="AN801" s="1968"/>
      <c r="AO801" s="1968"/>
      <c r="AP801" s="1968"/>
      <c r="AQ801" s="1968"/>
      <c r="AR801" s="1968"/>
      <c r="AS801" s="1968"/>
      <c r="AT801" s="1968"/>
      <c r="AU801" s="1968"/>
      <c r="AV801" s="1968"/>
      <c r="AW801" s="1968"/>
      <c r="AX801" s="1968"/>
      <c r="AY801" s="1968"/>
      <c r="AZ801" s="1968"/>
      <c r="BA801" s="1968"/>
      <c r="BB801" s="1968"/>
      <c r="BC801" s="1968"/>
      <c r="BD801" s="1968"/>
      <c r="BE801" s="1968"/>
      <c r="BF801" s="1968"/>
      <c r="BG801" s="7235"/>
    </row>
    <row customHeight="1" ht="11.25">
      <c r="A802" s="1312" t="s">
        <v>1069</v>
      </c>
      <c r="B802" s="1312"/>
      <c r="C802" s="1312"/>
      <c r="D802" s="1306"/>
      <c r="E802" s="1316"/>
      <c r="F802" s="1974"/>
      <c r="G802" s="1975"/>
      <c r="H802" s="2674" t="s">
        <v>1222</v>
      </c>
      <c r="I802" s="2675"/>
      <c r="J802" s="2644"/>
      <c r="K802" s="2676"/>
      <c r="L802" s="2266"/>
      <c r="M802" s="2267"/>
      <c r="N802" s="1321"/>
      <c r="O802" s="1322"/>
      <c r="P802" s="1314" t="s">
        <v>1108</v>
      </c>
      <c r="Q802" s="1322"/>
      <c r="R802" s="1322"/>
      <c r="S802" s="1322"/>
      <c r="T802" s="1322"/>
      <c r="U802" s="1322"/>
      <c r="V802" s="1322"/>
      <c r="W802" s="1322"/>
      <c r="X802" s="1322"/>
      <c r="Y802" s="1322"/>
      <c r="Z802" s="1322"/>
      <c r="AA802" s="1322"/>
      <c r="AB802" s="1322"/>
      <c r="AC802" s="1322"/>
      <c r="AD802" s="1322"/>
      <c r="AE802" s="1329"/>
      <c r="AF802" s="2665"/>
      <c r="AG802" s="2666"/>
      <c r="AH802" s="2666"/>
      <c r="AI802" s="8678"/>
      <c r="AJ802" s="2666"/>
      <c r="AK802" s="2666"/>
      <c r="AL802" s="2131"/>
      <c r="AM802" s="1968"/>
      <c r="AN802" s="1968"/>
      <c r="AO802" s="1968"/>
      <c r="AP802" s="1968"/>
      <c r="AQ802" s="1968"/>
      <c r="AR802" s="1968"/>
      <c r="AS802" s="1968"/>
      <c r="AT802" s="1968"/>
      <c r="AU802" s="1968"/>
      <c r="AV802" s="1968"/>
      <c r="AW802" s="1968"/>
      <c r="AX802" s="1968"/>
      <c r="AY802" s="1968"/>
      <c r="AZ802" s="1968"/>
      <c r="BA802" s="1968"/>
      <c r="BB802" s="1968"/>
      <c r="BC802" s="1968"/>
      <c r="BD802" s="1968"/>
      <c r="BE802" s="1968"/>
      <c r="BF802" s="1968"/>
      <c r="BG802" s="7235"/>
    </row>
    <row customHeight="1" ht="11.25">
      <c r="A803" s="1312" t="s">
        <v>1069</v>
      </c>
      <c r="B803" s="1312" t="s">
        <v>1198</v>
      </c>
      <c r="C803" s="1312"/>
      <c r="D803" s="1306"/>
      <c r="E803" s="1316"/>
      <c r="F803" s="1974"/>
      <c r="G803" s="7143" t="s">
        <v>106</v>
      </c>
      <c r="H803" s="2674" t="s">
        <v>1226</v>
      </c>
      <c r="I803" s="2675" t="s">
        <v>1200</v>
      </c>
      <c r="J803" s="2644" t="s">
        <v>1206</v>
      </c>
      <c r="K803" s="2676" t="s">
        <v>1335</v>
      </c>
      <c r="L803" s="2266" t="s">
        <v>19</v>
      </c>
      <c r="M803" s="2267"/>
      <c r="N803" s="2129"/>
      <c r="O803" s="1323" t="s">
        <v>398</v>
      </c>
      <c r="P803" s="1324"/>
      <c r="Q803" s="1324"/>
      <c r="R803" s="1324"/>
      <c r="S803" s="1324"/>
      <c r="T803" s="1324"/>
      <c r="U803" s="1324"/>
      <c r="V803" s="1324"/>
      <c r="W803" s="1324"/>
      <c r="X803" s="1324"/>
      <c r="Y803" s="1324"/>
      <c r="Z803" s="1324"/>
      <c r="AA803" s="1324"/>
      <c r="AB803" s="1324"/>
      <c r="AC803" s="1324"/>
      <c r="AD803" s="1324"/>
      <c r="AE803" s="1324"/>
      <c r="AF803" s="2665">
        <v>2026</v>
      </c>
      <c r="AG803" s="2666" t="s">
        <v>1103</v>
      </c>
      <c r="AH803" s="2666" t="s">
        <v>1162</v>
      </c>
      <c r="AI803" s="8678"/>
      <c r="AJ803" s="2666" t="s">
        <v>1105</v>
      </c>
      <c r="AK803" s="2666" t="s">
        <v>1105</v>
      </c>
      <c r="AL803" s="2131"/>
      <c r="AM803" s="1968"/>
      <c r="AN803" s="1968"/>
      <c r="AO803" s="1968"/>
      <c r="AP803" s="1968"/>
      <c r="AQ803" s="1968"/>
      <c r="AR803" s="1968"/>
      <c r="AS803" s="1968"/>
      <c r="AT803" s="1968"/>
      <c r="AU803" s="1968"/>
      <c r="AV803" s="1968"/>
      <c r="AW803" s="1968"/>
      <c r="AX803" s="1968"/>
      <c r="AY803" s="1968"/>
      <c r="AZ803" s="1968"/>
      <c r="BA803" s="1968"/>
      <c r="BB803" s="1968"/>
      <c r="BC803" s="1968"/>
      <c r="BD803" s="1968"/>
      <c r="BE803" s="1968"/>
      <c r="BF803" s="1968"/>
      <c r="BG803" s="7235"/>
    </row>
    <row customHeight="1" ht="11.25">
      <c r="A804" s="1312" t="s">
        <v>1069</v>
      </c>
      <c r="B804" s="1312"/>
      <c r="C804" s="1312"/>
      <c r="D804" s="1306"/>
      <c r="E804" s="1316"/>
      <c r="F804" s="1974"/>
      <c r="G804" s="1975"/>
      <c r="H804" s="2674" t="s">
        <v>1224</v>
      </c>
      <c r="I804" s="2675"/>
      <c r="J804" s="2644"/>
      <c r="K804" s="2676"/>
      <c r="L804" s="2266"/>
      <c r="M804" s="2267"/>
      <c r="N804" s="2667"/>
      <c r="O804" s="2668">
        <v>1</v>
      </c>
      <c r="P804" s="2669" t="s">
        <v>19</v>
      </c>
      <c r="Q804" s="2672" t="s">
        <v>22</v>
      </c>
      <c r="R804" s="2672" t="s">
        <v>22</v>
      </c>
      <c r="S804" s="2672" t="s">
        <v>22</v>
      </c>
      <c r="T804" s="2672" t="s">
        <v>22</v>
      </c>
      <c r="U804" s="2672" t="s">
        <v>22</v>
      </c>
      <c r="V804" s="2672" t="s">
        <v>22</v>
      </c>
      <c r="W804" s="2672" t="s">
        <v>22</v>
      </c>
      <c r="X804" s="2672" t="s">
        <v>22</v>
      </c>
      <c r="Y804" s="2672"/>
      <c r="Z804" s="1321"/>
      <c r="AA804" s="1322"/>
      <c r="AB804" s="1322"/>
      <c r="AC804" s="1326"/>
      <c r="AD804" s="1326"/>
      <c r="AE804" s="1327"/>
      <c r="AF804" s="2665"/>
      <c r="AG804" s="2666"/>
      <c r="AH804" s="2666"/>
      <c r="AI804" s="8678"/>
      <c r="AJ804" s="2666"/>
      <c r="AK804" s="2666"/>
      <c r="AL804" s="2131"/>
      <c r="AM804" s="1968"/>
      <c r="AN804" s="1968"/>
      <c r="AO804" s="1968"/>
      <c r="AP804" s="1968"/>
      <c r="AQ804" s="1968"/>
      <c r="AR804" s="1968"/>
      <c r="AS804" s="1968"/>
      <c r="AT804" s="1968"/>
      <c r="AU804" s="1968"/>
      <c r="AV804" s="1968"/>
      <c r="AW804" s="1968"/>
      <c r="AX804" s="1968"/>
      <c r="AY804" s="1968"/>
      <c r="AZ804" s="1968"/>
      <c r="BA804" s="1968"/>
      <c r="BB804" s="1968"/>
      <c r="BC804" s="1968"/>
      <c r="BD804" s="1968"/>
      <c r="BE804" s="1968"/>
      <c r="BF804" s="1968"/>
      <c r="BG804" s="7235"/>
    </row>
    <row customHeight="1" ht="11.25">
      <c r="A805" s="1312" t="s">
        <v>1069</v>
      </c>
      <c r="B805" s="1312"/>
      <c r="C805" s="1312"/>
      <c r="D805" s="1306"/>
      <c r="E805" s="1316"/>
      <c r="F805" s="1974"/>
      <c r="G805" s="1975"/>
      <c r="H805" s="2674" t="s">
        <v>1224</v>
      </c>
      <c r="I805" s="2675"/>
      <c r="J805" s="2644"/>
      <c r="K805" s="2676"/>
      <c r="L805" s="2266"/>
      <c r="M805" s="2267"/>
      <c r="N805" s="2667"/>
      <c r="O805" s="2668"/>
      <c r="P805" s="2670"/>
      <c r="Q805" s="2672"/>
      <c r="R805" s="2672"/>
      <c r="S805" s="2673"/>
      <c r="T805" s="2672"/>
      <c r="U805" s="2672"/>
      <c r="V805" s="2672"/>
      <c r="W805" s="2672"/>
      <c r="X805" s="2672"/>
      <c r="Y805" s="2672"/>
      <c r="Z805" s="1973"/>
      <c r="AA805" s="1939">
        <v>1</v>
      </c>
      <c r="AB805" s="1325" t="s">
        <v>1131</v>
      </c>
      <c r="AC805" s="1315">
        <v>41813</v>
      </c>
      <c r="AD805" s="1325" t="str">
        <f>AB805</f>
        <v>      Прочие амортизационные отчисления</v>
      </c>
      <c r="AE805" s="1315">
        <v>0</v>
      </c>
      <c r="AF805" s="2665"/>
      <c r="AG805" s="2666"/>
      <c r="AH805" s="2666"/>
      <c r="AI805" s="8678"/>
      <c r="AJ805" s="2666"/>
      <c r="AK805" s="2666"/>
      <c r="AL805" s="2131"/>
      <c r="AM805" s="1968"/>
      <c r="AN805" s="1968"/>
      <c r="AO805" s="1968"/>
      <c r="AP805" s="1968"/>
      <c r="AQ805" s="1968"/>
      <c r="AR805" s="1968"/>
      <c r="AS805" s="1968"/>
      <c r="AT805" s="1968"/>
      <c r="AU805" s="1968"/>
      <c r="AV805" s="1968"/>
      <c r="AW805" s="1968"/>
      <c r="AX805" s="1968"/>
      <c r="AY805" s="1968"/>
      <c r="AZ805" s="1968"/>
      <c r="BA805" s="1968"/>
      <c r="BB805" s="1968"/>
      <c r="BC805" s="1968"/>
      <c r="BD805" s="1968"/>
      <c r="BE805" s="1968"/>
      <c r="BF805" s="1968"/>
      <c r="BG805" s="7235"/>
    </row>
    <row customHeight="1" ht="11.25">
      <c r="A806" s="1312" t="s">
        <v>1069</v>
      </c>
      <c r="B806" s="1312"/>
      <c r="C806" s="1312"/>
      <c r="D806" s="1306"/>
      <c r="E806" s="1316"/>
      <c r="F806" s="1974"/>
      <c r="G806" s="1975"/>
      <c r="H806" s="2674" t="s">
        <v>1224</v>
      </c>
      <c r="I806" s="2675"/>
      <c r="J806" s="2644"/>
      <c r="K806" s="2676"/>
      <c r="L806" s="2266"/>
      <c r="M806" s="2267"/>
      <c r="N806" s="2667"/>
      <c r="O806" s="2668"/>
      <c r="P806" s="2671"/>
      <c r="Q806" s="2672"/>
      <c r="R806" s="2672"/>
      <c r="S806" s="2673"/>
      <c r="T806" s="2672"/>
      <c r="U806" s="2672"/>
      <c r="V806" s="2672"/>
      <c r="W806" s="2672"/>
      <c r="X806" s="2672"/>
      <c r="Y806" s="2672"/>
      <c r="Z806" s="1321"/>
      <c r="AA806" s="1322"/>
      <c r="AB806" s="1387" t="s">
        <v>1107</v>
      </c>
      <c r="AC806" s="1326"/>
      <c r="AD806" s="1326"/>
      <c r="AE806" s="1328"/>
      <c r="AF806" s="2665"/>
      <c r="AG806" s="2666"/>
      <c r="AH806" s="2666"/>
      <c r="AI806" s="8678"/>
      <c r="AJ806" s="2666"/>
      <c r="AK806" s="2666"/>
      <c r="AL806" s="2131"/>
      <c r="AM806" s="1968"/>
      <c r="AN806" s="1968"/>
      <c r="AO806" s="1968"/>
      <c r="AP806" s="1968"/>
      <c r="AQ806" s="1968"/>
      <c r="AR806" s="1968"/>
      <c r="AS806" s="1968"/>
      <c r="AT806" s="1968"/>
      <c r="AU806" s="1968"/>
      <c r="AV806" s="1968"/>
      <c r="AW806" s="1968"/>
      <c r="AX806" s="1968"/>
      <c r="AY806" s="1968"/>
      <c r="AZ806" s="1968"/>
      <c r="BA806" s="1968"/>
      <c r="BB806" s="1968"/>
      <c r="BC806" s="1968"/>
      <c r="BD806" s="1968"/>
      <c r="BE806" s="1968"/>
      <c r="BF806" s="1968"/>
      <c r="BG806" s="7235"/>
    </row>
    <row customHeight="1" ht="11.25">
      <c r="A807" s="1312" t="s">
        <v>1069</v>
      </c>
      <c r="B807" s="1312"/>
      <c r="C807" s="1312"/>
      <c r="D807" s="1306"/>
      <c r="E807" s="1316"/>
      <c r="F807" s="1974"/>
      <c r="G807" s="1975"/>
      <c r="H807" s="2674" t="s">
        <v>1224</v>
      </c>
      <c r="I807" s="2675"/>
      <c r="J807" s="2644"/>
      <c r="K807" s="2676"/>
      <c r="L807" s="2266"/>
      <c r="M807" s="2267"/>
      <c r="N807" s="1321"/>
      <c r="O807" s="1322"/>
      <c r="P807" s="1314" t="s">
        <v>1108</v>
      </c>
      <c r="Q807" s="1322"/>
      <c r="R807" s="1322"/>
      <c r="S807" s="1322"/>
      <c r="T807" s="1322"/>
      <c r="U807" s="1322"/>
      <c r="V807" s="1322"/>
      <c r="W807" s="1322"/>
      <c r="X807" s="1322"/>
      <c r="Y807" s="1322"/>
      <c r="Z807" s="1322"/>
      <c r="AA807" s="1322"/>
      <c r="AB807" s="1322"/>
      <c r="AC807" s="1322"/>
      <c r="AD807" s="1322"/>
      <c r="AE807" s="1329"/>
      <c r="AF807" s="2665"/>
      <c r="AG807" s="2666"/>
      <c r="AH807" s="2666"/>
      <c r="AI807" s="8678"/>
      <c r="AJ807" s="2666"/>
      <c r="AK807" s="2666"/>
      <c r="AL807" s="2131"/>
      <c r="AM807" s="1968"/>
      <c r="AN807" s="1968"/>
      <c r="AO807" s="1968"/>
      <c r="AP807" s="1968"/>
      <c r="AQ807" s="1968"/>
      <c r="AR807" s="1968"/>
      <c r="AS807" s="1968"/>
      <c r="AT807" s="1968"/>
      <c r="AU807" s="1968"/>
      <c r="AV807" s="1968"/>
      <c r="AW807" s="1968"/>
      <c r="AX807" s="1968"/>
      <c r="AY807" s="1968"/>
      <c r="AZ807" s="1968"/>
      <c r="BA807" s="1968"/>
      <c r="BB807" s="1968"/>
      <c r="BC807" s="1968"/>
      <c r="BD807" s="1968"/>
      <c r="BE807" s="1968"/>
      <c r="BF807" s="1968"/>
      <c r="BG807" s="7235"/>
    </row>
    <row customHeight="1" ht="11.25">
      <c r="A808" s="1312" t="s">
        <v>1069</v>
      </c>
      <c r="B808" s="1312" t="s">
        <v>1198</v>
      </c>
      <c r="C808" s="1312"/>
      <c r="D808" s="1306"/>
      <c r="E808" s="1316"/>
      <c r="F808" s="1974"/>
      <c r="G808" s="7143" t="s">
        <v>106</v>
      </c>
      <c r="H808" s="2674" t="s">
        <v>1229</v>
      </c>
      <c r="I808" s="2675" t="s">
        <v>1200</v>
      </c>
      <c r="J808" s="2644" t="s">
        <v>1206</v>
      </c>
      <c r="K808" s="2676" t="s">
        <v>1303</v>
      </c>
      <c r="L808" s="2266" t="s">
        <v>19</v>
      </c>
      <c r="M808" s="2267"/>
      <c r="N808" s="2129"/>
      <c r="O808" s="1323" t="s">
        <v>398</v>
      </c>
      <c r="P808" s="1324"/>
      <c r="Q808" s="1324"/>
      <c r="R808" s="1324"/>
      <c r="S808" s="1324"/>
      <c r="T808" s="1324"/>
      <c r="U808" s="1324"/>
      <c r="V808" s="1324"/>
      <c r="W808" s="1324"/>
      <c r="X808" s="1324"/>
      <c r="Y808" s="1324"/>
      <c r="Z808" s="1324"/>
      <c r="AA808" s="1324"/>
      <c r="AB808" s="1324"/>
      <c r="AC808" s="1324"/>
      <c r="AD808" s="1324"/>
      <c r="AE808" s="1324"/>
      <c r="AF808" s="2665">
        <v>2026</v>
      </c>
      <c r="AG808" s="2666" t="s">
        <v>1103</v>
      </c>
      <c r="AH808" s="2666" t="s">
        <v>1162</v>
      </c>
      <c r="AI808" s="8678"/>
      <c r="AJ808" s="2666" t="s">
        <v>1105</v>
      </c>
      <c r="AK808" s="2666" t="s">
        <v>1105</v>
      </c>
      <c r="AL808" s="2131"/>
      <c r="AM808" s="1968"/>
      <c r="AN808" s="1968"/>
      <c r="AO808" s="1968"/>
      <c r="AP808" s="1968"/>
      <c r="AQ808" s="1968"/>
      <c r="AR808" s="1968"/>
      <c r="AS808" s="1968"/>
      <c r="AT808" s="1968"/>
      <c r="AU808" s="1968"/>
      <c r="AV808" s="1968"/>
      <c r="AW808" s="1968"/>
      <c r="AX808" s="1968"/>
      <c r="AY808" s="1968"/>
      <c r="AZ808" s="1968"/>
      <c r="BA808" s="1968"/>
      <c r="BB808" s="1968"/>
      <c r="BC808" s="1968"/>
      <c r="BD808" s="1968"/>
      <c r="BE808" s="1968"/>
      <c r="BF808" s="1968"/>
      <c r="BG808" s="7235"/>
    </row>
    <row customHeight="1" ht="11.25">
      <c r="A809" s="1312" t="s">
        <v>1069</v>
      </c>
      <c r="B809" s="1312"/>
      <c r="C809" s="1312"/>
      <c r="D809" s="1306"/>
      <c r="E809" s="1316"/>
      <c r="F809" s="1974"/>
      <c r="G809" s="1975"/>
      <c r="H809" s="2674" t="s">
        <v>1226</v>
      </c>
      <c r="I809" s="2675"/>
      <c r="J809" s="2644"/>
      <c r="K809" s="2676"/>
      <c r="L809" s="2266"/>
      <c r="M809" s="2267"/>
      <c r="N809" s="2667"/>
      <c r="O809" s="2668">
        <v>1</v>
      </c>
      <c r="P809" s="2669" t="s">
        <v>19</v>
      </c>
      <c r="Q809" s="2672" t="s">
        <v>22</v>
      </c>
      <c r="R809" s="2672" t="s">
        <v>22</v>
      </c>
      <c r="S809" s="2672" t="s">
        <v>22</v>
      </c>
      <c r="T809" s="2672" t="s">
        <v>22</v>
      </c>
      <c r="U809" s="2672" t="s">
        <v>22</v>
      </c>
      <c r="V809" s="2672" t="s">
        <v>22</v>
      </c>
      <c r="W809" s="2672" t="s">
        <v>22</v>
      </c>
      <c r="X809" s="2672" t="s">
        <v>22</v>
      </c>
      <c r="Y809" s="2672"/>
      <c r="Z809" s="1321"/>
      <c r="AA809" s="1322"/>
      <c r="AB809" s="1322"/>
      <c r="AC809" s="1326"/>
      <c r="AD809" s="1326"/>
      <c r="AE809" s="1327"/>
      <c r="AF809" s="2665"/>
      <c r="AG809" s="2666"/>
      <c r="AH809" s="2666"/>
      <c r="AI809" s="8678"/>
      <c r="AJ809" s="2666"/>
      <c r="AK809" s="2666"/>
      <c r="AL809" s="2131"/>
      <c r="AM809" s="1968"/>
      <c r="AN809" s="1968"/>
      <c r="AO809" s="1968"/>
      <c r="AP809" s="1968"/>
      <c r="AQ809" s="1968"/>
      <c r="AR809" s="1968"/>
      <c r="AS809" s="1968"/>
      <c r="AT809" s="1968"/>
      <c r="AU809" s="1968"/>
      <c r="AV809" s="1968"/>
      <c r="AW809" s="1968"/>
      <c r="AX809" s="1968"/>
      <c r="AY809" s="1968"/>
      <c r="AZ809" s="1968"/>
      <c r="BA809" s="1968"/>
      <c r="BB809" s="1968"/>
      <c r="BC809" s="1968"/>
      <c r="BD809" s="1968"/>
      <c r="BE809" s="1968"/>
      <c r="BF809" s="1968"/>
      <c r="BG809" s="7235"/>
    </row>
    <row customHeight="1" ht="11.25">
      <c r="A810" s="1312" t="s">
        <v>1069</v>
      </c>
      <c r="B810" s="1312"/>
      <c r="C810" s="1312"/>
      <c r="D810" s="1306"/>
      <c r="E810" s="1316"/>
      <c r="F810" s="1974"/>
      <c r="G810" s="1975"/>
      <c r="H810" s="2674" t="s">
        <v>1226</v>
      </c>
      <c r="I810" s="2675"/>
      <c r="J810" s="2644"/>
      <c r="K810" s="2676"/>
      <c r="L810" s="2266"/>
      <c r="M810" s="2267"/>
      <c r="N810" s="2667"/>
      <c r="O810" s="2668"/>
      <c r="P810" s="2670"/>
      <c r="Q810" s="2672"/>
      <c r="R810" s="2672"/>
      <c r="S810" s="2673"/>
      <c r="T810" s="2672"/>
      <c r="U810" s="2672"/>
      <c r="V810" s="2672"/>
      <c r="W810" s="2672"/>
      <c r="X810" s="2672"/>
      <c r="Y810" s="2672"/>
      <c r="Z810" s="1973"/>
      <c r="AA810" s="1939">
        <v>1</v>
      </c>
      <c r="AB810" s="1325" t="s">
        <v>1131</v>
      </c>
      <c r="AC810" s="1315">
        <v>1539</v>
      </c>
      <c r="AD810" s="1325" t="str">
        <f>AB810</f>
        <v>      Прочие амортизационные отчисления</v>
      </c>
      <c r="AE810" s="1315">
        <v>0</v>
      </c>
      <c r="AF810" s="2665"/>
      <c r="AG810" s="2666"/>
      <c r="AH810" s="2666"/>
      <c r="AI810" s="8678"/>
      <c r="AJ810" s="2666"/>
      <c r="AK810" s="2666"/>
      <c r="AL810" s="2131"/>
      <c r="AM810" s="1968"/>
      <c r="AN810" s="1968"/>
      <c r="AO810" s="1968"/>
      <c r="AP810" s="1968"/>
      <c r="AQ810" s="1968"/>
      <c r="AR810" s="1968"/>
      <c r="AS810" s="1968"/>
      <c r="AT810" s="1968"/>
      <c r="AU810" s="1968"/>
      <c r="AV810" s="1968"/>
      <c r="AW810" s="1968"/>
      <c r="AX810" s="1968"/>
      <c r="AY810" s="1968"/>
      <c r="AZ810" s="1968"/>
      <c r="BA810" s="1968"/>
      <c r="BB810" s="1968"/>
      <c r="BC810" s="1968"/>
      <c r="BD810" s="1968"/>
      <c r="BE810" s="1968"/>
      <c r="BF810" s="1968"/>
      <c r="BG810" s="7235"/>
    </row>
    <row customHeight="1" ht="11.25">
      <c r="A811" s="1312" t="s">
        <v>1069</v>
      </c>
      <c r="B811" s="1312"/>
      <c r="C811" s="1312"/>
      <c r="D811" s="1306"/>
      <c r="E811" s="1316"/>
      <c r="F811" s="1974"/>
      <c r="G811" s="1975"/>
      <c r="H811" s="2674" t="s">
        <v>1226</v>
      </c>
      <c r="I811" s="2675"/>
      <c r="J811" s="2644"/>
      <c r="K811" s="2676"/>
      <c r="L811" s="2266"/>
      <c r="M811" s="2267"/>
      <c r="N811" s="2667"/>
      <c r="O811" s="2668"/>
      <c r="P811" s="2671"/>
      <c r="Q811" s="2672"/>
      <c r="R811" s="2672"/>
      <c r="S811" s="2673"/>
      <c r="T811" s="2672"/>
      <c r="U811" s="2672"/>
      <c r="V811" s="2672"/>
      <c r="W811" s="2672"/>
      <c r="X811" s="2672"/>
      <c r="Y811" s="2672"/>
      <c r="Z811" s="1321"/>
      <c r="AA811" s="1322"/>
      <c r="AB811" s="1387" t="s">
        <v>1107</v>
      </c>
      <c r="AC811" s="1326"/>
      <c r="AD811" s="1326"/>
      <c r="AE811" s="1328"/>
      <c r="AF811" s="2665"/>
      <c r="AG811" s="2666"/>
      <c r="AH811" s="2666"/>
      <c r="AI811" s="8678"/>
      <c r="AJ811" s="2666"/>
      <c r="AK811" s="2666"/>
      <c r="AL811" s="2131"/>
      <c r="AM811" s="1968"/>
      <c r="AN811" s="1968"/>
      <c r="AO811" s="1968"/>
      <c r="AP811" s="1968"/>
      <c r="AQ811" s="1968"/>
      <c r="AR811" s="1968"/>
      <c r="AS811" s="1968"/>
      <c r="AT811" s="1968"/>
      <c r="AU811" s="1968"/>
      <c r="AV811" s="1968"/>
      <c r="AW811" s="1968"/>
      <c r="AX811" s="1968"/>
      <c r="AY811" s="1968"/>
      <c r="AZ811" s="1968"/>
      <c r="BA811" s="1968"/>
      <c r="BB811" s="1968"/>
      <c r="BC811" s="1968"/>
      <c r="BD811" s="1968"/>
      <c r="BE811" s="1968"/>
      <c r="BF811" s="1968"/>
      <c r="BG811" s="7235"/>
    </row>
    <row customHeight="1" ht="11.25">
      <c r="A812" s="1312" t="s">
        <v>1069</v>
      </c>
      <c r="B812" s="1312"/>
      <c r="C812" s="1312"/>
      <c r="D812" s="1306"/>
      <c r="E812" s="1316"/>
      <c r="F812" s="1974"/>
      <c r="G812" s="1975"/>
      <c r="H812" s="2674" t="s">
        <v>1226</v>
      </c>
      <c r="I812" s="2675"/>
      <c r="J812" s="2644"/>
      <c r="K812" s="2676"/>
      <c r="L812" s="2266"/>
      <c r="M812" s="2267"/>
      <c r="N812" s="1321"/>
      <c r="O812" s="1322"/>
      <c r="P812" s="1314" t="s">
        <v>1108</v>
      </c>
      <c r="Q812" s="1322"/>
      <c r="R812" s="1322"/>
      <c r="S812" s="1322"/>
      <c r="T812" s="1322"/>
      <c r="U812" s="1322"/>
      <c r="V812" s="1322"/>
      <c r="W812" s="1322"/>
      <c r="X812" s="1322"/>
      <c r="Y812" s="1322"/>
      <c r="Z812" s="1322"/>
      <c r="AA812" s="1322"/>
      <c r="AB812" s="1322"/>
      <c r="AC812" s="1322"/>
      <c r="AD812" s="1322"/>
      <c r="AE812" s="1329"/>
      <c r="AF812" s="2665"/>
      <c r="AG812" s="2666"/>
      <c r="AH812" s="2666"/>
      <c r="AI812" s="8678"/>
      <c r="AJ812" s="2666"/>
      <c r="AK812" s="2666"/>
      <c r="AL812" s="2131"/>
      <c r="AM812" s="1968"/>
      <c r="AN812" s="1968"/>
      <c r="AO812" s="1968"/>
      <c r="AP812" s="1968"/>
      <c r="AQ812" s="1968"/>
      <c r="AR812" s="1968"/>
      <c r="AS812" s="1968"/>
      <c r="AT812" s="1968"/>
      <c r="AU812" s="1968"/>
      <c r="AV812" s="1968"/>
      <c r="AW812" s="1968"/>
      <c r="AX812" s="1968"/>
      <c r="AY812" s="1968"/>
      <c r="AZ812" s="1968"/>
      <c r="BA812" s="1968"/>
      <c r="BB812" s="1968"/>
      <c r="BC812" s="1968"/>
      <c r="BD812" s="1968"/>
      <c r="BE812" s="1968"/>
      <c r="BF812" s="1968"/>
      <c r="BG812" s="7235"/>
    </row>
    <row customHeight="1" ht="11.25">
      <c r="A813" s="1312" t="s">
        <v>1069</v>
      </c>
      <c r="B813" s="1312" t="s">
        <v>22</v>
      </c>
      <c r="C813" s="1312"/>
      <c r="D813" s="1306"/>
      <c r="E813" s="1316"/>
      <c r="F813" s="1974"/>
      <c r="G813" s="7143" t="s">
        <v>106</v>
      </c>
      <c r="H813" s="2674" t="s">
        <v>1145</v>
      </c>
      <c r="I813" s="2675" t="s">
        <v>1109</v>
      </c>
      <c r="J813" s="8672" t="s">
        <v>22</v>
      </c>
      <c r="K813" s="2676" t="s">
        <v>1304</v>
      </c>
      <c r="L813" s="2266" t="s">
        <v>19</v>
      </c>
      <c r="M813" s="2267"/>
      <c r="N813" s="2129"/>
      <c r="O813" s="1323" t="s">
        <v>398</v>
      </c>
      <c r="P813" s="1324"/>
      <c r="Q813" s="1324"/>
      <c r="R813" s="1324"/>
      <c r="S813" s="1324"/>
      <c r="T813" s="1324"/>
      <c r="U813" s="1324"/>
      <c r="V813" s="1324"/>
      <c r="W813" s="1324"/>
      <c r="X813" s="1324"/>
      <c r="Y813" s="1324"/>
      <c r="Z813" s="1324"/>
      <c r="AA813" s="1324"/>
      <c r="AB813" s="1324"/>
      <c r="AC813" s="1324"/>
      <c r="AD813" s="1324"/>
      <c r="AE813" s="1324"/>
      <c r="AF813" s="2665">
        <v>2027</v>
      </c>
      <c r="AG813" s="2666" t="s">
        <v>1103</v>
      </c>
      <c r="AH813" s="2666" t="s">
        <v>1164</v>
      </c>
      <c r="AI813" s="8678"/>
      <c r="AJ813" s="2666" t="s">
        <v>1105</v>
      </c>
      <c r="AK813" s="2666" t="s">
        <v>1105</v>
      </c>
      <c r="AL813" s="2131"/>
      <c r="AM813" s="1968"/>
      <c r="AN813" s="1968"/>
      <c r="AO813" s="1968"/>
      <c r="AP813" s="1968"/>
      <c r="AQ813" s="1968"/>
      <c r="AR813" s="1968"/>
      <c r="AS813" s="1968"/>
      <c r="AT813" s="1968"/>
      <c r="AU813" s="1968"/>
      <c r="AV813" s="1968"/>
      <c r="AW813" s="1968"/>
      <c r="AX813" s="1968"/>
      <c r="AY813" s="1968"/>
      <c r="AZ813" s="1968"/>
      <c r="BA813" s="1968"/>
      <c r="BB813" s="1968"/>
      <c r="BC813" s="1968"/>
      <c r="BD813" s="1968"/>
      <c r="BE813" s="1968"/>
      <c r="BF813" s="1968"/>
      <c r="BG813" s="7235"/>
    </row>
    <row customHeight="1" ht="11.25">
      <c r="A814" s="1312" t="s">
        <v>1069</v>
      </c>
      <c r="B814" s="1312"/>
      <c r="C814" s="1312"/>
      <c r="D814" s="1306"/>
      <c r="E814" s="1316"/>
      <c r="F814" s="1974"/>
      <c r="G814" s="1975"/>
      <c r="H814" s="2674" t="s">
        <v>1229</v>
      </c>
      <c r="I814" s="2675"/>
      <c r="J814" s="8672"/>
      <c r="K814" s="2676"/>
      <c r="L814" s="2266"/>
      <c r="M814" s="2267"/>
      <c r="N814" s="2667"/>
      <c r="O814" s="2668">
        <v>1</v>
      </c>
      <c r="P814" s="2669" t="s">
        <v>63</v>
      </c>
      <c r="Q814" s="8664" t="s">
        <v>1208</v>
      </c>
      <c r="R814" s="8665" t="s">
        <v>1114</v>
      </c>
      <c r="S814" s="8665" t="s">
        <v>113</v>
      </c>
      <c r="T814" s="8665" t="s">
        <v>113</v>
      </c>
      <c r="U814" s="8665" t="s">
        <v>114</v>
      </c>
      <c r="V814" s="8665" t="s">
        <v>1115</v>
      </c>
      <c r="W814" s="8665" t="s">
        <v>1116</v>
      </c>
      <c r="X814" s="8665" t="s">
        <v>1209</v>
      </c>
      <c r="Y814" s="8665" t="s">
        <v>121</v>
      </c>
      <c r="Z814" s="1321"/>
      <c r="AA814" s="1322"/>
      <c r="AB814" s="1322"/>
      <c r="AC814" s="1326"/>
      <c r="AD814" s="1326"/>
      <c r="AE814" s="1327"/>
      <c r="AF814" s="2665"/>
      <c r="AG814" s="2666"/>
      <c r="AH814" s="2666"/>
      <c r="AI814" s="8678"/>
      <c r="AJ814" s="2666"/>
      <c r="AK814" s="2666"/>
      <c r="AL814" s="2131"/>
      <c r="AM814" s="1968"/>
      <c r="AN814" s="1968"/>
      <c r="AO814" s="1968"/>
      <c r="AP814" s="1968"/>
      <c r="AQ814" s="1968"/>
      <c r="AR814" s="1968"/>
      <c r="AS814" s="1968"/>
      <c r="AT814" s="1968"/>
      <c r="AU814" s="1968"/>
      <c r="AV814" s="1968"/>
      <c r="AW814" s="1968"/>
      <c r="AX814" s="1968"/>
      <c r="AY814" s="1968"/>
      <c r="AZ814" s="1968"/>
      <c r="BA814" s="1968"/>
      <c r="BB814" s="1968"/>
      <c r="BC814" s="1968"/>
      <c r="BD814" s="1968"/>
      <c r="BE814" s="1968"/>
      <c r="BF814" s="1968"/>
      <c r="BG814" s="7235"/>
    </row>
    <row customHeight="1" ht="11.25">
      <c r="A815" s="1312" t="s">
        <v>1069</v>
      </c>
      <c r="B815" s="1312"/>
      <c r="C815" s="1312"/>
      <c r="D815" s="1306"/>
      <c r="E815" s="1316"/>
      <c r="F815" s="1974"/>
      <c r="G815" s="1975"/>
      <c r="H815" s="2674" t="s">
        <v>1229</v>
      </c>
      <c r="I815" s="2675"/>
      <c r="J815" s="8672"/>
      <c r="K815" s="2676"/>
      <c r="L815" s="2266"/>
      <c r="M815" s="2267"/>
      <c r="N815" s="2667"/>
      <c r="O815" s="2668"/>
      <c r="P815" s="2670"/>
      <c r="Q815" s="8664"/>
      <c r="R815" s="2672"/>
      <c r="S815" s="2673"/>
      <c r="T815" s="2672"/>
      <c r="U815" s="2672"/>
      <c r="V815" s="2672"/>
      <c r="W815" s="2672"/>
      <c r="X815" s="2672"/>
      <c r="Y815" s="2672"/>
      <c r="Z815" s="1973"/>
      <c r="AA815" s="1939">
        <v>1</v>
      </c>
      <c r="AB815" s="1325" t="s">
        <v>1131</v>
      </c>
      <c r="AC815" s="1315">
        <v>7500</v>
      </c>
      <c r="AD815" s="1325" t="str">
        <f>AB815</f>
        <v>      Прочие амортизационные отчисления</v>
      </c>
      <c r="AE815" s="1315">
        <v>0</v>
      </c>
      <c r="AF815" s="2665"/>
      <c r="AG815" s="2666"/>
      <c r="AH815" s="2666"/>
      <c r="AI815" s="8678"/>
      <c r="AJ815" s="2666"/>
      <c r="AK815" s="2666"/>
      <c r="AL815" s="2131"/>
      <c r="AM815" s="1968"/>
      <c r="AN815" s="1968"/>
      <c r="AO815" s="1968"/>
      <c r="AP815" s="1968"/>
      <c r="AQ815" s="1968"/>
      <c r="AR815" s="1968"/>
      <c r="AS815" s="1968"/>
      <c r="AT815" s="1968"/>
      <c r="AU815" s="1968"/>
      <c r="AV815" s="1968"/>
      <c r="AW815" s="1968"/>
      <c r="AX815" s="1968"/>
      <c r="AY815" s="1968"/>
      <c r="AZ815" s="1968"/>
      <c r="BA815" s="1968"/>
      <c r="BB815" s="1968"/>
      <c r="BC815" s="1968"/>
      <c r="BD815" s="1968"/>
      <c r="BE815" s="1968"/>
      <c r="BF815" s="1968"/>
      <c r="BG815" s="7235"/>
    </row>
    <row customHeight="1" ht="11.25">
      <c r="A816" s="1312" t="s">
        <v>1069</v>
      </c>
      <c r="B816" s="1312"/>
      <c r="C816" s="1312"/>
      <c r="D816" s="1306"/>
      <c r="E816" s="1316"/>
      <c r="F816" s="1974"/>
      <c r="G816" s="1975"/>
      <c r="H816" s="2674" t="s">
        <v>1229</v>
      </c>
      <c r="I816" s="2675"/>
      <c r="J816" s="8672"/>
      <c r="K816" s="2676"/>
      <c r="L816" s="2266"/>
      <c r="M816" s="2267"/>
      <c r="N816" s="2667"/>
      <c r="O816" s="2668"/>
      <c r="P816" s="2671"/>
      <c r="Q816" s="8664"/>
      <c r="R816" s="2672"/>
      <c r="S816" s="2673"/>
      <c r="T816" s="2672"/>
      <c r="U816" s="2672"/>
      <c r="V816" s="2672"/>
      <c r="W816" s="2672"/>
      <c r="X816" s="2672"/>
      <c r="Y816" s="2672"/>
      <c r="Z816" s="1321"/>
      <c r="AA816" s="1322"/>
      <c r="AB816" s="1387" t="s">
        <v>1107</v>
      </c>
      <c r="AC816" s="1326"/>
      <c r="AD816" s="1326"/>
      <c r="AE816" s="1328"/>
      <c r="AF816" s="2665"/>
      <c r="AG816" s="2666"/>
      <c r="AH816" s="2666"/>
      <c r="AI816" s="8678"/>
      <c r="AJ816" s="2666"/>
      <c r="AK816" s="2666"/>
      <c r="AL816" s="2131"/>
      <c r="AM816" s="1968"/>
      <c r="AN816" s="1968"/>
      <c r="AO816" s="1968"/>
      <c r="AP816" s="1968"/>
      <c r="AQ816" s="1968"/>
      <c r="AR816" s="1968"/>
      <c r="AS816" s="1968"/>
      <c r="AT816" s="1968"/>
      <c r="AU816" s="1968"/>
      <c r="AV816" s="1968"/>
      <c r="AW816" s="1968"/>
      <c r="AX816" s="1968"/>
      <c r="AY816" s="1968"/>
      <c r="AZ816" s="1968"/>
      <c r="BA816" s="1968"/>
      <c r="BB816" s="1968"/>
      <c r="BC816" s="1968"/>
      <c r="BD816" s="1968"/>
      <c r="BE816" s="1968"/>
      <c r="BF816" s="1968"/>
      <c r="BG816" s="7235"/>
    </row>
    <row customHeight="1" ht="11.25">
      <c r="A817" s="1312" t="s">
        <v>1069</v>
      </c>
      <c r="B817" s="1312"/>
      <c r="C817" s="1312"/>
      <c r="D817" s="1306"/>
      <c r="E817" s="1316"/>
      <c r="F817" s="1974"/>
      <c r="G817" s="1975"/>
      <c r="H817" s="2674" t="s">
        <v>1229</v>
      </c>
      <c r="I817" s="2675"/>
      <c r="J817" s="8672"/>
      <c r="K817" s="2676"/>
      <c r="L817" s="2266"/>
      <c r="M817" s="2267"/>
      <c r="N817" s="1321"/>
      <c r="O817" s="1322"/>
      <c r="P817" s="1314" t="s">
        <v>1108</v>
      </c>
      <c r="Q817" s="1322"/>
      <c r="R817" s="1322"/>
      <c r="S817" s="1322"/>
      <c r="T817" s="1322"/>
      <c r="U817" s="1322"/>
      <c r="V817" s="1322"/>
      <c r="W817" s="1322"/>
      <c r="X817" s="1322"/>
      <c r="Y817" s="1322"/>
      <c r="Z817" s="1322"/>
      <c r="AA817" s="1322"/>
      <c r="AB817" s="1322"/>
      <c r="AC817" s="1322"/>
      <c r="AD817" s="1322"/>
      <c r="AE817" s="1329"/>
      <c r="AF817" s="2665"/>
      <c r="AG817" s="2666"/>
      <c r="AH817" s="2666"/>
      <c r="AI817" s="8678"/>
      <c r="AJ817" s="2666"/>
      <c r="AK817" s="2666"/>
      <c r="AL817" s="2131"/>
      <c r="AM817" s="1968"/>
      <c r="AN817" s="1968"/>
      <c r="AO817" s="1968"/>
      <c r="AP817" s="1968"/>
      <c r="AQ817" s="1968"/>
      <c r="AR817" s="1968"/>
      <c r="AS817" s="1968"/>
      <c r="AT817" s="1968"/>
      <c r="AU817" s="1968"/>
      <c r="AV817" s="1968"/>
      <c r="AW817" s="1968"/>
      <c r="AX817" s="1968"/>
      <c r="AY817" s="1968"/>
      <c r="AZ817" s="1968"/>
      <c r="BA817" s="1968"/>
      <c r="BB817" s="1968"/>
      <c r="BC817" s="1968"/>
      <c r="BD817" s="1968"/>
      <c r="BE817" s="1968"/>
      <c r="BF817" s="1968"/>
      <c r="BG817" s="7235"/>
    </row>
    <row customHeight="1" ht="11.25">
      <c r="A818" s="1312" t="s">
        <v>1069</v>
      </c>
      <c r="B818" s="1312" t="s">
        <v>22</v>
      </c>
      <c r="C818" s="1312"/>
      <c r="D818" s="1306"/>
      <c r="E818" s="1316"/>
      <c r="F818" s="1974"/>
      <c r="G818" s="7143" t="s">
        <v>106</v>
      </c>
      <c r="H818" s="2674" t="s">
        <v>1232</v>
      </c>
      <c r="I818" s="2675" t="s">
        <v>1109</v>
      </c>
      <c r="J818" s="8672" t="s">
        <v>22</v>
      </c>
      <c r="K818" s="2676" t="s">
        <v>1306</v>
      </c>
      <c r="L818" s="2266" t="s">
        <v>19</v>
      </c>
      <c r="M818" s="2267"/>
      <c r="N818" s="2129"/>
      <c r="O818" s="1323" t="s">
        <v>398</v>
      </c>
      <c r="P818" s="1324"/>
      <c r="Q818" s="1324"/>
      <c r="R818" s="1324"/>
      <c r="S818" s="1324"/>
      <c r="T818" s="1324"/>
      <c r="U818" s="1324"/>
      <c r="V818" s="1324"/>
      <c r="W818" s="1324"/>
      <c r="X818" s="1324"/>
      <c r="Y818" s="1324"/>
      <c r="Z818" s="1324"/>
      <c r="AA818" s="1324"/>
      <c r="AB818" s="1324"/>
      <c r="AC818" s="1324"/>
      <c r="AD818" s="1324"/>
      <c r="AE818" s="1324"/>
      <c r="AF818" s="2665">
        <v>2027</v>
      </c>
      <c r="AG818" s="2666" t="s">
        <v>1103</v>
      </c>
      <c r="AH818" s="2666" t="s">
        <v>1164</v>
      </c>
      <c r="AI818" s="8678"/>
      <c r="AJ818" s="2666" t="s">
        <v>1105</v>
      </c>
      <c r="AK818" s="2666" t="s">
        <v>1105</v>
      </c>
      <c r="AL818" s="2131"/>
      <c r="AM818" s="1968"/>
      <c r="AN818" s="1968"/>
      <c r="AO818" s="1968"/>
      <c r="AP818" s="1968"/>
      <c r="AQ818" s="1968"/>
      <c r="AR818" s="1968"/>
      <c r="AS818" s="1968"/>
      <c r="AT818" s="1968"/>
      <c r="AU818" s="1968"/>
      <c r="AV818" s="1968"/>
      <c r="AW818" s="1968"/>
      <c r="AX818" s="1968"/>
      <c r="AY818" s="1968"/>
      <c r="AZ818" s="1968"/>
      <c r="BA818" s="1968"/>
      <c r="BB818" s="1968"/>
      <c r="BC818" s="1968"/>
      <c r="BD818" s="1968"/>
      <c r="BE818" s="1968"/>
      <c r="BF818" s="1968"/>
      <c r="BG818" s="7235"/>
    </row>
    <row customHeight="1" ht="11.25">
      <c r="A819" s="1312" t="s">
        <v>1069</v>
      </c>
      <c r="B819" s="1312"/>
      <c r="C819" s="1312"/>
      <c r="D819" s="1306"/>
      <c r="E819" s="1316"/>
      <c r="F819" s="1974"/>
      <c r="G819" s="1975"/>
      <c r="H819" s="2674" t="s">
        <v>1145</v>
      </c>
      <c r="I819" s="2675"/>
      <c r="J819" s="8672"/>
      <c r="K819" s="2676"/>
      <c r="L819" s="2266"/>
      <c r="M819" s="2267"/>
      <c r="N819" s="2667"/>
      <c r="O819" s="2668">
        <v>1</v>
      </c>
      <c r="P819" s="2669" t="s">
        <v>63</v>
      </c>
      <c r="Q819" s="8664" t="s">
        <v>1208</v>
      </c>
      <c r="R819" s="8665" t="s">
        <v>1114</v>
      </c>
      <c r="S819" s="8665" t="s">
        <v>113</v>
      </c>
      <c r="T819" s="8665" t="s">
        <v>113</v>
      </c>
      <c r="U819" s="8665" t="s">
        <v>114</v>
      </c>
      <c r="V819" s="8665" t="s">
        <v>1115</v>
      </c>
      <c r="W819" s="8665" t="s">
        <v>1116</v>
      </c>
      <c r="X819" s="8665" t="s">
        <v>1209</v>
      </c>
      <c r="Y819" s="8665" t="s">
        <v>121</v>
      </c>
      <c r="Z819" s="1321"/>
      <c r="AA819" s="1322"/>
      <c r="AB819" s="1322"/>
      <c r="AC819" s="1326"/>
      <c r="AD819" s="1326"/>
      <c r="AE819" s="1327"/>
      <c r="AF819" s="2665"/>
      <c r="AG819" s="2666"/>
      <c r="AH819" s="2666"/>
      <c r="AI819" s="8678"/>
      <c r="AJ819" s="2666"/>
      <c r="AK819" s="2666"/>
      <c r="AL819" s="2131"/>
      <c r="AM819" s="1968"/>
      <c r="AN819" s="1968"/>
      <c r="AO819" s="1968"/>
      <c r="AP819" s="1968"/>
      <c r="AQ819" s="1968"/>
      <c r="AR819" s="1968"/>
      <c r="AS819" s="1968"/>
      <c r="AT819" s="1968"/>
      <c r="AU819" s="1968"/>
      <c r="AV819" s="1968"/>
      <c r="AW819" s="1968"/>
      <c r="AX819" s="1968"/>
      <c r="AY819" s="1968"/>
      <c r="AZ819" s="1968"/>
      <c r="BA819" s="1968"/>
      <c r="BB819" s="1968"/>
      <c r="BC819" s="1968"/>
      <c r="BD819" s="1968"/>
      <c r="BE819" s="1968"/>
      <c r="BF819" s="1968"/>
      <c r="BG819" s="7235"/>
    </row>
    <row customHeight="1" ht="11.25">
      <c r="A820" s="1312" t="s">
        <v>1069</v>
      </c>
      <c r="B820" s="1312"/>
      <c r="C820" s="1312"/>
      <c r="D820" s="1306"/>
      <c r="E820" s="1316"/>
      <c r="F820" s="1974"/>
      <c r="G820" s="1975"/>
      <c r="H820" s="2674" t="s">
        <v>1145</v>
      </c>
      <c r="I820" s="2675"/>
      <c r="J820" s="8672"/>
      <c r="K820" s="2676"/>
      <c r="L820" s="2266"/>
      <c r="M820" s="2267"/>
      <c r="N820" s="2667"/>
      <c r="O820" s="2668"/>
      <c r="P820" s="2670"/>
      <c r="Q820" s="8664"/>
      <c r="R820" s="2672"/>
      <c r="S820" s="2673"/>
      <c r="T820" s="2672"/>
      <c r="U820" s="2672"/>
      <c r="V820" s="2672"/>
      <c r="W820" s="2672"/>
      <c r="X820" s="2672"/>
      <c r="Y820" s="2672"/>
      <c r="Z820" s="1973"/>
      <c r="AA820" s="1939">
        <v>1</v>
      </c>
      <c r="AB820" s="1325" t="s">
        <v>1131</v>
      </c>
      <c r="AC820" s="1315">
        <v>66464</v>
      </c>
      <c r="AD820" s="1325" t="str">
        <f>AB820</f>
        <v>      Прочие амортизационные отчисления</v>
      </c>
      <c r="AE820" s="1315">
        <v>0</v>
      </c>
      <c r="AF820" s="2665"/>
      <c r="AG820" s="2666"/>
      <c r="AH820" s="2666"/>
      <c r="AI820" s="8678"/>
      <c r="AJ820" s="2666"/>
      <c r="AK820" s="2666"/>
      <c r="AL820" s="2131"/>
      <c r="AM820" s="1968"/>
      <c r="AN820" s="1968"/>
      <c r="AO820" s="1968"/>
      <c r="AP820" s="1968"/>
      <c r="AQ820" s="1968"/>
      <c r="AR820" s="1968"/>
      <c r="AS820" s="1968"/>
      <c r="AT820" s="1968"/>
      <c r="AU820" s="1968"/>
      <c r="AV820" s="1968"/>
      <c r="AW820" s="1968"/>
      <c r="AX820" s="1968"/>
      <c r="AY820" s="1968"/>
      <c r="AZ820" s="1968"/>
      <c r="BA820" s="1968"/>
      <c r="BB820" s="1968"/>
      <c r="BC820" s="1968"/>
      <c r="BD820" s="1968"/>
      <c r="BE820" s="1968"/>
      <c r="BF820" s="1968"/>
      <c r="BG820" s="7235"/>
    </row>
    <row customHeight="1" ht="11.25">
      <c r="A821" s="1312" t="s">
        <v>1069</v>
      </c>
      <c r="B821" s="1312"/>
      <c r="C821" s="1312"/>
      <c r="D821" s="1306"/>
      <c r="E821" s="1316"/>
      <c r="F821" s="1974"/>
      <c r="G821" s="1975"/>
      <c r="H821" s="2674" t="s">
        <v>1145</v>
      </c>
      <c r="I821" s="2675"/>
      <c r="J821" s="8672"/>
      <c r="K821" s="2676"/>
      <c r="L821" s="2266"/>
      <c r="M821" s="2267"/>
      <c r="N821" s="2667"/>
      <c r="O821" s="2668"/>
      <c r="P821" s="2671"/>
      <c r="Q821" s="8664"/>
      <c r="R821" s="2672"/>
      <c r="S821" s="2673"/>
      <c r="T821" s="2672"/>
      <c r="U821" s="2672"/>
      <c r="V821" s="2672"/>
      <c r="W821" s="2672"/>
      <c r="X821" s="2672"/>
      <c r="Y821" s="2672"/>
      <c r="Z821" s="1321"/>
      <c r="AA821" s="1322"/>
      <c r="AB821" s="1387" t="s">
        <v>1107</v>
      </c>
      <c r="AC821" s="1326"/>
      <c r="AD821" s="1326"/>
      <c r="AE821" s="1328"/>
      <c r="AF821" s="2665"/>
      <c r="AG821" s="2666"/>
      <c r="AH821" s="2666"/>
      <c r="AI821" s="8678"/>
      <c r="AJ821" s="2666"/>
      <c r="AK821" s="2666"/>
      <c r="AL821" s="2131"/>
      <c r="AM821" s="1968"/>
      <c r="AN821" s="1968"/>
      <c r="AO821" s="1968"/>
      <c r="AP821" s="1968"/>
      <c r="AQ821" s="1968"/>
      <c r="AR821" s="1968"/>
      <c r="AS821" s="1968"/>
      <c r="AT821" s="1968"/>
      <c r="AU821" s="1968"/>
      <c r="AV821" s="1968"/>
      <c r="AW821" s="1968"/>
      <c r="AX821" s="1968"/>
      <c r="AY821" s="1968"/>
      <c r="AZ821" s="1968"/>
      <c r="BA821" s="1968"/>
      <c r="BB821" s="1968"/>
      <c r="BC821" s="1968"/>
      <c r="BD821" s="1968"/>
      <c r="BE821" s="1968"/>
      <c r="BF821" s="1968"/>
      <c r="BG821" s="7235"/>
    </row>
    <row customHeight="1" ht="11.25">
      <c r="A822" s="1312" t="s">
        <v>1069</v>
      </c>
      <c r="B822" s="1312"/>
      <c r="C822" s="1312"/>
      <c r="D822" s="1306"/>
      <c r="E822" s="1316"/>
      <c r="F822" s="1974"/>
      <c r="G822" s="1975"/>
      <c r="H822" s="2674" t="s">
        <v>1145</v>
      </c>
      <c r="I822" s="2675"/>
      <c r="J822" s="8672"/>
      <c r="K822" s="2676"/>
      <c r="L822" s="2266"/>
      <c r="M822" s="2267"/>
      <c r="N822" s="1321"/>
      <c r="O822" s="1322"/>
      <c r="P822" s="1314" t="s">
        <v>1108</v>
      </c>
      <c r="Q822" s="1322"/>
      <c r="R822" s="1322"/>
      <c r="S822" s="1322"/>
      <c r="T822" s="1322"/>
      <c r="U822" s="1322"/>
      <c r="V822" s="1322"/>
      <c r="W822" s="1322"/>
      <c r="X822" s="1322"/>
      <c r="Y822" s="1322"/>
      <c r="Z822" s="1322"/>
      <c r="AA822" s="1322"/>
      <c r="AB822" s="1322"/>
      <c r="AC822" s="1322"/>
      <c r="AD822" s="1322"/>
      <c r="AE822" s="1329"/>
      <c r="AF822" s="2665"/>
      <c r="AG822" s="2666"/>
      <c r="AH822" s="2666"/>
      <c r="AI822" s="8678"/>
      <c r="AJ822" s="2666"/>
      <c r="AK822" s="2666"/>
      <c r="AL822" s="2131"/>
      <c r="AM822" s="1968"/>
      <c r="AN822" s="1968"/>
      <c r="AO822" s="1968"/>
      <c r="AP822" s="1968"/>
      <c r="AQ822" s="1968"/>
      <c r="AR822" s="1968"/>
      <c r="AS822" s="1968"/>
      <c r="AT822" s="1968"/>
      <c r="AU822" s="1968"/>
      <c r="AV822" s="1968"/>
      <c r="AW822" s="1968"/>
      <c r="AX822" s="1968"/>
      <c r="AY822" s="1968"/>
      <c r="AZ822" s="1968"/>
      <c r="BA822" s="1968"/>
      <c r="BB822" s="1968"/>
      <c r="BC822" s="1968"/>
      <c r="BD822" s="1968"/>
      <c r="BE822" s="1968"/>
      <c r="BF822" s="1968"/>
      <c r="BG822" s="7235"/>
    </row>
    <row customHeight="1" ht="11.25">
      <c r="A823" s="1312" t="s">
        <v>1069</v>
      </c>
      <c r="B823" s="1312" t="s">
        <v>22</v>
      </c>
      <c r="C823" s="1312"/>
      <c r="D823" s="1306"/>
      <c r="E823" s="1316"/>
      <c r="F823" s="1974"/>
      <c r="G823" s="7143" t="s">
        <v>106</v>
      </c>
      <c r="H823" s="2674" t="s">
        <v>1234</v>
      </c>
      <c r="I823" s="2675" t="s">
        <v>1109</v>
      </c>
      <c r="J823" s="8672" t="s">
        <v>22</v>
      </c>
      <c r="K823" s="2676" t="s">
        <v>1310</v>
      </c>
      <c r="L823" s="2266" t="s">
        <v>19</v>
      </c>
      <c r="M823" s="2267"/>
      <c r="N823" s="2129"/>
      <c r="O823" s="1323" t="s">
        <v>398</v>
      </c>
      <c r="P823" s="1324"/>
      <c r="Q823" s="1324"/>
      <c r="R823" s="1324"/>
      <c r="S823" s="1324"/>
      <c r="T823" s="1324"/>
      <c r="U823" s="1324"/>
      <c r="V823" s="1324"/>
      <c r="W823" s="1324"/>
      <c r="X823" s="1324"/>
      <c r="Y823" s="1324"/>
      <c r="Z823" s="1324"/>
      <c r="AA823" s="1324"/>
      <c r="AB823" s="1324"/>
      <c r="AC823" s="1324"/>
      <c r="AD823" s="1324"/>
      <c r="AE823" s="1324"/>
      <c r="AF823" s="2665">
        <v>2026</v>
      </c>
      <c r="AG823" s="2666" t="s">
        <v>1103</v>
      </c>
      <c r="AH823" s="2666" t="s">
        <v>1162</v>
      </c>
      <c r="AI823" s="8678"/>
      <c r="AJ823" s="2666" t="s">
        <v>1105</v>
      </c>
      <c r="AK823" s="2666" t="s">
        <v>1105</v>
      </c>
      <c r="AL823" s="2131"/>
      <c r="AM823" s="1968"/>
      <c r="AN823" s="1968"/>
      <c r="AO823" s="1968"/>
      <c r="AP823" s="1968"/>
      <c r="AQ823" s="1968"/>
      <c r="AR823" s="1968"/>
      <c r="AS823" s="1968"/>
      <c r="AT823" s="1968"/>
      <c r="AU823" s="1968"/>
      <c r="AV823" s="1968"/>
      <c r="AW823" s="1968"/>
      <c r="AX823" s="1968"/>
      <c r="AY823" s="1968"/>
      <c r="AZ823" s="1968"/>
      <c r="BA823" s="1968"/>
      <c r="BB823" s="1968"/>
      <c r="BC823" s="1968"/>
      <c r="BD823" s="1968"/>
      <c r="BE823" s="1968"/>
      <c r="BF823" s="1968"/>
      <c r="BG823" s="7235"/>
    </row>
    <row customHeight="1" ht="11.25">
      <c r="A824" s="1312" t="s">
        <v>1069</v>
      </c>
      <c r="B824" s="1312"/>
      <c r="C824" s="1312"/>
      <c r="D824" s="1306"/>
      <c r="E824" s="1316"/>
      <c r="F824" s="1974"/>
      <c r="G824" s="1975"/>
      <c r="H824" s="2674" t="s">
        <v>1232</v>
      </c>
      <c r="I824" s="2675"/>
      <c r="J824" s="8672"/>
      <c r="K824" s="2676"/>
      <c r="L824" s="2266"/>
      <c r="M824" s="2267"/>
      <c r="N824" s="2667"/>
      <c r="O824" s="2668">
        <v>1</v>
      </c>
      <c r="P824" s="2669" t="s">
        <v>63</v>
      </c>
      <c r="Q824" s="8664" t="s">
        <v>1208</v>
      </c>
      <c r="R824" s="8665" t="s">
        <v>1114</v>
      </c>
      <c r="S824" s="8665" t="s">
        <v>113</v>
      </c>
      <c r="T824" s="8665" t="s">
        <v>113</v>
      </c>
      <c r="U824" s="8665" t="s">
        <v>114</v>
      </c>
      <c r="V824" s="8665" t="s">
        <v>1115</v>
      </c>
      <c r="W824" s="8665" t="s">
        <v>1116</v>
      </c>
      <c r="X824" s="8665" t="s">
        <v>1209</v>
      </c>
      <c r="Y824" s="8665" t="s">
        <v>121</v>
      </c>
      <c r="Z824" s="1321"/>
      <c r="AA824" s="1322"/>
      <c r="AB824" s="1322"/>
      <c r="AC824" s="1326"/>
      <c r="AD824" s="1326"/>
      <c r="AE824" s="1327"/>
      <c r="AF824" s="2665"/>
      <c r="AG824" s="2666"/>
      <c r="AH824" s="2666"/>
      <c r="AI824" s="8678"/>
      <c r="AJ824" s="2666"/>
      <c r="AK824" s="2666"/>
      <c r="AL824" s="2131"/>
      <c r="AM824" s="1968"/>
      <c r="AN824" s="1968"/>
      <c r="AO824" s="1968"/>
      <c r="AP824" s="1968"/>
      <c r="AQ824" s="1968"/>
      <c r="AR824" s="1968"/>
      <c r="AS824" s="1968"/>
      <c r="AT824" s="1968"/>
      <c r="AU824" s="1968"/>
      <c r="AV824" s="1968"/>
      <c r="AW824" s="1968"/>
      <c r="AX824" s="1968"/>
      <c r="AY824" s="1968"/>
      <c r="AZ824" s="1968"/>
      <c r="BA824" s="1968"/>
      <c r="BB824" s="1968"/>
      <c r="BC824" s="1968"/>
      <c r="BD824" s="1968"/>
      <c r="BE824" s="1968"/>
      <c r="BF824" s="1968"/>
      <c r="BG824" s="7235"/>
    </row>
    <row customHeight="1" ht="11.25">
      <c r="A825" s="1312" t="s">
        <v>1069</v>
      </c>
      <c r="B825" s="1312"/>
      <c r="C825" s="1312"/>
      <c r="D825" s="1306"/>
      <c r="E825" s="1316"/>
      <c r="F825" s="1974"/>
      <c r="G825" s="1975"/>
      <c r="H825" s="2674" t="s">
        <v>1232</v>
      </c>
      <c r="I825" s="2675"/>
      <c r="J825" s="8672"/>
      <c r="K825" s="2676"/>
      <c r="L825" s="2266"/>
      <c r="M825" s="2267"/>
      <c r="N825" s="2667"/>
      <c r="O825" s="2668"/>
      <c r="P825" s="2670"/>
      <c r="Q825" s="8664"/>
      <c r="R825" s="2672"/>
      <c r="S825" s="2673"/>
      <c r="T825" s="2672"/>
      <c r="U825" s="2672"/>
      <c r="V825" s="2672"/>
      <c r="W825" s="2672"/>
      <c r="X825" s="2672"/>
      <c r="Y825" s="2672"/>
      <c r="Z825" s="1973"/>
      <c r="AA825" s="1939">
        <v>1</v>
      </c>
      <c r="AB825" s="1325" t="s">
        <v>1131</v>
      </c>
      <c r="AC825" s="1315">
        <v>2814</v>
      </c>
      <c r="AD825" s="1325" t="str">
        <f>AB825</f>
        <v>      Прочие амортизационные отчисления</v>
      </c>
      <c r="AE825" s="1315">
        <v>0</v>
      </c>
      <c r="AF825" s="2665"/>
      <c r="AG825" s="2666"/>
      <c r="AH825" s="2666"/>
      <c r="AI825" s="8678"/>
      <c r="AJ825" s="2666"/>
      <c r="AK825" s="2666"/>
      <c r="AL825" s="2131"/>
      <c r="AM825" s="1968"/>
      <c r="AN825" s="1968"/>
      <c r="AO825" s="1968"/>
      <c r="AP825" s="1968"/>
      <c r="AQ825" s="1968"/>
      <c r="AR825" s="1968"/>
      <c r="AS825" s="1968"/>
      <c r="AT825" s="1968"/>
      <c r="AU825" s="1968"/>
      <c r="AV825" s="1968"/>
      <c r="AW825" s="1968"/>
      <c r="AX825" s="1968"/>
      <c r="AY825" s="1968"/>
      <c r="AZ825" s="1968"/>
      <c r="BA825" s="1968"/>
      <c r="BB825" s="1968"/>
      <c r="BC825" s="1968"/>
      <c r="BD825" s="1968"/>
      <c r="BE825" s="1968"/>
      <c r="BF825" s="1968"/>
      <c r="BG825" s="7235"/>
    </row>
    <row customHeight="1" ht="11.25">
      <c r="A826" s="1312" t="s">
        <v>1069</v>
      </c>
      <c r="B826" s="1312"/>
      <c r="C826" s="1312"/>
      <c r="D826" s="1306"/>
      <c r="E826" s="1316"/>
      <c r="F826" s="1974"/>
      <c r="G826" s="1975"/>
      <c r="H826" s="2674" t="s">
        <v>1232</v>
      </c>
      <c r="I826" s="2675"/>
      <c r="J826" s="8672"/>
      <c r="K826" s="2676"/>
      <c r="L826" s="2266"/>
      <c r="M826" s="2267"/>
      <c r="N826" s="2667"/>
      <c r="O826" s="2668"/>
      <c r="P826" s="2671"/>
      <c r="Q826" s="8664"/>
      <c r="R826" s="2672"/>
      <c r="S826" s="2673"/>
      <c r="T826" s="2672"/>
      <c r="U826" s="2672"/>
      <c r="V826" s="2672"/>
      <c r="W826" s="2672"/>
      <c r="X826" s="2672"/>
      <c r="Y826" s="2672"/>
      <c r="Z826" s="1321"/>
      <c r="AA826" s="1322"/>
      <c r="AB826" s="1387" t="s">
        <v>1107</v>
      </c>
      <c r="AC826" s="1326"/>
      <c r="AD826" s="1326"/>
      <c r="AE826" s="1328"/>
      <c r="AF826" s="2665"/>
      <c r="AG826" s="2666"/>
      <c r="AH826" s="2666"/>
      <c r="AI826" s="8678"/>
      <c r="AJ826" s="2666"/>
      <c r="AK826" s="2666"/>
      <c r="AL826" s="2131"/>
      <c r="AM826" s="1968"/>
      <c r="AN826" s="1968"/>
      <c r="AO826" s="1968"/>
      <c r="AP826" s="1968"/>
      <c r="AQ826" s="1968"/>
      <c r="AR826" s="1968"/>
      <c r="AS826" s="1968"/>
      <c r="AT826" s="1968"/>
      <c r="AU826" s="1968"/>
      <c r="AV826" s="1968"/>
      <c r="AW826" s="1968"/>
      <c r="AX826" s="1968"/>
      <c r="AY826" s="1968"/>
      <c r="AZ826" s="1968"/>
      <c r="BA826" s="1968"/>
      <c r="BB826" s="1968"/>
      <c r="BC826" s="1968"/>
      <c r="BD826" s="1968"/>
      <c r="BE826" s="1968"/>
      <c r="BF826" s="1968"/>
      <c r="BG826" s="7235"/>
    </row>
    <row customHeight="1" ht="11.25">
      <c r="A827" s="1312" t="s">
        <v>1069</v>
      </c>
      <c r="B827" s="1312"/>
      <c r="C827" s="1312"/>
      <c r="D827" s="1306"/>
      <c r="E827" s="1316"/>
      <c r="F827" s="1974"/>
      <c r="G827" s="1975"/>
      <c r="H827" s="2674" t="s">
        <v>1232</v>
      </c>
      <c r="I827" s="2675"/>
      <c r="J827" s="8672"/>
      <c r="K827" s="2676"/>
      <c r="L827" s="2266"/>
      <c r="M827" s="2267"/>
      <c r="N827" s="1321"/>
      <c r="O827" s="1322"/>
      <c r="P827" s="1314" t="s">
        <v>1108</v>
      </c>
      <c r="Q827" s="1322"/>
      <c r="R827" s="1322"/>
      <c r="S827" s="1322"/>
      <c r="T827" s="1322"/>
      <c r="U827" s="1322"/>
      <c r="V827" s="1322"/>
      <c r="W827" s="1322"/>
      <c r="X827" s="1322"/>
      <c r="Y827" s="1322"/>
      <c r="Z827" s="1322"/>
      <c r="AA827" s="1322"/>
      <c r="AB827" s="1322"/>
      <c r="AC827" s="1322"/>
      <c r="AD827" s="1322"/>
      <c r="AE827" s="1329"/>
      <c r="AF827" s="2665"/>
      <c r="AG827" s="2666"/>
      <c r="AH827" s="2666"/>
      <c r="AI827" s="8678"/>
      <c r="AJ827" s="2666"/>
      <c r="AK827" s="2666"/>
      <c r="AL827" s="2131"/>
      <c r="AM827" s="1968"/>
      <c r="AN827" s="1968"/>
      <c r="AO827" s="1968"/>
      <c r="AP827" s="1968"/>
      <c r="AQ827" s="1968"/>
      <c r="AR827" s="1968"/>
      <c r="AS827" s="1968"/>
      <c r="AT827" s="1968"/>
      <c r="AU827" s="1968"/>
      <c r="AV827" s="1968"/>
      <c r="AW827" s="1968"/>
      <c r="AX827" s="1968"/>
      <c r="AY827" s="1968"/>
      <c r="AZ827" s="1968"/>
      <c r="BA827" s="1968"/>
      <c r="BB827" s="1968"/>
      <c r="BC827" s="1968"/>
      <c r="BD827" s="1968"/>
      <c r="BE827" s="1968"/>
      <c r="BF827" s="1968"/>
      <c r="BG827" s="7235"/>
    </row>
    <row customHeight="1" ht="11.25">
      <c r="A828" s="1312" t="s">
        <v>1069</v>
      </c>
      <c r="B828" s="1312" t="s">
        <v>22</v>
      </c>
      <c r="C828" s="1312"/>
      <c r="D828" s="1306"/>
      <c r="E828" s="1316"/>
      <c r="F828" s="1974"/>
      <c r="G828" s="7143" t="s">
        <v>106</v>
      </c>
      <c r="H828" s="2674" t="s">
        <v>1236</v>
      </c>
      <c r="I828" s="2675" t="s">
        <v>1109</v>
      </c>
      <c r="J828" s="8672" t="s">
        <v>22</v>
      </c>
      <c r="K828" s="2676" t="s">
        <v>1312</v>
      </c>
      <c r="L828" s="2266" t="s">
        <v>19</v>
      </c>
      <c r="M828" s="2267"/>
      <c r="N828" s="2129"/>
      <c r="O828" s="1323" t="s">
        <v>398</v>
      </c>
      <c r="P828" s="1324"/>
      <c r="Q828" s="1324"/>
      <c r="R828" s="1324"/>
      <c r="S828" s="1324"/>
      <c r="T828" s="1324"/>
      <c r="U828" s="1324"/>
      <c r="V828" s="1324"/>
      <c r="W828" s="1324"/>
      <c r="X828" s="1324"/>
      <c r="Y828" s="1324"/>
      <c r="Z828" s="1324"/>
      <c r="AA828" s="1324"/>
      <c r="AB828" s="1324"/>
      <c r="AC828" s="1324"/>
      <c r="AD828" s="1324"/>
      <c r="AE828" s="1324"/>
      <c r="AF828" s="2665">
        <v>2026</v>
      </c>
      <c r="AG828" s="2666" t="s">
        <v>1103</v>
      </c>
      <c r="AH828" s="2666" t="s">
        <v>1162</v>
      </c>
      <c r="AI828" s="8678"/>
      <c r="AJ828" s="2666" t="s">
        <v>1105</v>
      </c>
      <c r="AK828" s="2666" t="s">
        <v>1105</v>
      </c>
      <c r="AL828" s="2131"/>
      <c r="AM828" s="1968"/>
      <c r="AN828" s="1968"/>
      <c r="AO828" s="1968"/>
      <c r="AP828" s="1968"/>
      <c r="AQ828" s="1968"/>
      <c r="AR828" s="1968"/>
      <c r="AS828" s="1968"/>
      <c r="AT828" s="1968"/>
      <c r="AU828" s="1968"/>
      <c r="AV828" s="1968"/>
      <c r="AW828" s="1968"/>
      <c r="AX828" s="1968"/>
      <c r="AY828" s="1968"/>
      <c r="AZ828" s="1968"/>
      <c r="BA828" s="1968"/>
      <c r="BB828" s="1968"/>
      <c r="BC828" s="1968"/>
      <c r="BD828" s="1968"/>
      <c r="BE828" s="1968"/>
      <c r="BF828" s="1968"/>
      <c r="BG828" s="7235"/>
    </row>
    <row customHeight="1" ht="11.25">
      <c r="A829" s="1312" t="s">
        <v>1069</v>
      </c>
      <c r="B829" s="1312"/>
      <c r="C829" s="1312"/>
      <c r="D829" s="1306"/>
      <c r="E829" s="1316"/>
      <c r="F829" s="1974"/>
      <c r="G829" s="1975"/>
      <c r="H829" s="2674" t="s">
        <v>1234</v>
      </c>
      <c r="I829" s="2675"/>
      <c r="J829" s="8672"/>
      <c r="K829" s="2676"/>
      <c r="L829" s="2266"/>
      <c r="M829" s="2267"/>
      <c r="N829" s="2667"/>
      <c r="O829" s="2668">
        <v>1</v>
      </c>
      <c r="P829" s="2669" t="s">
        <v>63</v>
      </c>
      <c r="Q829" s="8664" t="s">
        <v>133</v>
      </c>
      <c r="R829" s="8665" t="s">
        <v>1114</v>
      </c>
      <c r="S829" s="8665" t="s">
        <v>109</v>
      </c>
      <c r="T829" s="8665" t="s">
        <v>109</v>
      </c>
      <c r="U829" s="8665" t="s">
        <v>110</v>
      </c>
      <c r="V829" s="8665" t="s">
        <v>1192</v>
      </c>
      <c r="W829" s="8665" t="s">
        <v>1193</v>
      </c>
      <c r="X829" s="8665" t="s">
        <v>1194</v>
      </c>
      <c r="Y829" s="8665" t="s">
        <v>1195</v>
      </c>
      <c r="Z829" s="1321"/>
      <c r="AA829" s="1322"/>
      <c r="AB829" s="1322"/>
      <c r="AC829" s="1326"/>
      <c r="AD829" s="1326"/>
      <c r="AE829" s="1327"/>
      <c r="AF829" s="2665"/>
      <c r="AG829" s="2666"/>
      <c r="AH829" s="2666"/>
      <c r="AI829" s="8678"/>
      <c r="AJ829" s="2666"/>
      <c r="AK829" s="2666"/>
      <c r="AL829" s="2131"/>
      <c r="AM829" s="1968"/>
      <c r="AN829" s="1968"/>
      <c r="AO829" s="1968"/>
      <c r="AP829" s="1968"/>
      <c r="AQ829" s="1968"/>
      <c r="AR829" s="1968"/>
      <c r="AS829" s="1968"/>
      <c r="AT829" s="1968"/>
      <c r="AU829" s="1968"/>
      <c r="AV829" s="1968"/>
      <c r="AW829" s="1968"/>
      <c r="AX829" s="1968"/>
      <c r="AY829" s="1968"/>
      <c r="AZ829" s="1968"/>
      <c r="BA829" s="1968"/>
      <c r="BB829" s="1968"/>
      <c r="BC829" s="1968"/>
      <c r="BD829" s="1968"/>
      <c r="BE829" s="1968"/>
      <c r="BF829" s="1968"/>
      <c r="BG829" s="7235"/>
    </row>
    <row customHeight="1" ht="11.25">
      <c r="A830" s="1312" t="s">
        <v>1069</v>
      </c>
      <c r="B830" s="1312"/>
      <c r="C830" s="1312"/>
      <c r="D830" s="1306"/>
      <c r="E830" s="1316"/>
      <c r="F830" s="1974"/>
      <c r="G830" s="1975"/>
      <c r="H830" s="2674" t="s">
        <v>1234</v>
      </c>
      <c r="I830" s="2675"/>
      <c r="J830" s="8672"/>
      <c r="K830" s="2676"/>
      <c r="L830" s="2266"/>
      <c r="M830" s="2267"/>
      <c r="N830" s="2667"/>
      <c r="O830" s="2668"/>
      <c r="P830" s="2670"/>
      <c r="Q830" s="8664"/>
      <c r="R830" s="2672"/>
      <c r="S830" s="2673"/>
      <c r="T830" s="2672"/>
      <c r="U830" s="2672"/>
      <c r="V830" s="2672"/>
      <c r="W830" s="2672"/>
      <c r="X830" s="2672"/>
      <c r="Y830" s="2672"/>
      <c r="Z830" s="1973"/>
      <c r="AA830" s="1939">
        <v>1</v>
      </c>
      <c r="AB830" s="1325" t="s">
        <v>1131</v>
      </c>
      <c r="AC830" s="1315">
        <v>2454</v>
      </c>
      <c r="AD830" s="1325" t="str">
        <f>AB830</f>
        <v>      Прочие амортизационные отчисления</v>
      </c>
      <c r="AE830" s="1315">
        <v>0</v>
      </c>
      <c r="AF830" s="2665"/>
      <c r="AG830" s="2666"/>
      <c r="AH830" s="2666"/>
      <c r="AI830" s="8678"/>
      <c r="AJ830" s="2666"/>
      <c r="AK830" s="2666"/>
      <c r="AL830" s="2131"/>
      <c r="AM830" s="1968"/>
      <c r="AN830" s="1968"/>
      <c r="AO830" s="1968"/>
      <c r="AP830" s="1968"/>
      <c r="AQ830" s="1968"/>
      <c r="AR830" s="1968"/>
      <c r="AS830" s="1968"/>
      <c r="AT830" s="1968"/>
      <c r="AU830" s="1968"/>
      <c r="AV830" s="1968"/>
      <c r="AW830" s="1968"/>
      <c r="AX830" s="1968"/>
      <c r="AY830" s="1968"/>
      <c r="AZ830" s="1968"/>
      <c r="BA830" s="1968"/>
      <c r="BB830" s="1968"/>
      <c r="BC830" s="1968"/>
      <c r="BD830" s="1968"/>
      <c r="BE830" s="1968"/>
      <c r="BF830" s="1968"/>
      <c r="BG830" s="7235"/>
    </row>
    <row customHeight="1" ht="11.25">
      <c r="A831" s="1312" t="s">
        <v>1069</v>
      </c>
      <c r="B831" s="1312"/>
      <c r="C831" s="1312"/>
      <c r="D831" s="1306"/>
      <c r="E831" s="1316"/>
      <c r="F831" s="1974"/>
      <c r="G831" s="1975"/>
      <c r="H831" s="2674" t="s">
        <v>1234</v>
      </c>
      <c r="I831" s="2675"/>
      <c r="J831" s="8672"/>
      <c r="K831" s="2676"/>
      <c r="L831" s="2266"/>
      <c r="M831" s="2267"/>
      <c r="N831" s="2667"/>
      <c r="O831" s="2668"/>
      <c r="P831" s="2671"/>
      <c r="Q831" s="8664"/>
      <c r="R831" s="2672"/>
      <c r="S831" s="2673"/>
      <c r="T831" s="2672"/>
      <c r="U831" s="2672"/>
      <c r="V831" s="2672"/>
      <c r="W831" s="2672"/>
      <c r="X831" s="2672"/>
      <c r="Y831" s="2672"/>
      <c r="Z831" s="1321"/>
      <c r="AA831" s="1322"/>
      <c r="AB831" s="1387" t="s">
        <v>1107</v>
      </c>
      <c r="AC831" s="1326"/>
      <c r="AD831" s="1326"/>
      <c r="AE831" s="1328"/>
      <c r="AF831" s="2665"/>
      <c r="AG831" s="2666"/>
      <c r="AH831" s="2666"/>
      <c r="AI831" s="8678"/>
      <c r="AJ831" s="2666"/>
      <c r="AK831" s="2666"/>
      <c r="AL831" s="2131"/>
      <c r="AM831" s="1968"/>
      <c r="AN831" s="1968"/>
      <c r="AO831" s="1968"/>
      <c r="AP831" s="1968"/>
      <c r="AQ831" s="1968"/>
      <c r="AR831" s="1968"/>
      <c r="AS831" s="1968"/>
      <c r="AT831" s="1968"/>
      <c r="AU831" s="1968"/>
      <c r="AV831" s="1968"/>
      <c r="AW831" s="1968"/>
      <c r="AX831" s="1968"/>
      <c r="AY831" s="1968"/>
      <c r="AZ831" s="1968"/>
      <c r="BA831" s="1968"/>
      <c r="BB831" s="1968"/>
      <c r="BC831" s="1968"/>
      <c r="BD831" s="1968"/>
      <c r="BE831" s="1968"/>
      <c r="BF831" s="1968"/>
      <c r="BG831" s="7235"/>
    </row>
    <row customHeight="1" ht="11.25">
      <c r="A832" s="1312" t="s">
        <v>1069</v>
      </c>
      <c r="B832" s="1312"/>
      <c r="C832" s="1312"/>
      <c r="D832" s="1306"/>
      <c r="E832" s="1316"/>
      <c r="F832" s="1974"/>
      <c r="G832" s="1975"/>
      <c r="H832" s="2674" t="s">
        <v>1234</v>
      </c>
      <c r="I832" s="2675"/>
      <c r="J832" s="8672"/>
      <c r="K832" s="2676"/>
      <c r="L832" s="2266"/>
      <c r="M832" s="2267"/>
      <c r="N832" s="1321"/>
      <c r="O832" s="1322"/>
      <c r="P832" s="1314" t="s">
        <v>1108</v>
      </c>
      <c r="Q832" s="1322"/>
      <c r="R832" s="1322"/>
      <c r="S832" s="1322"/>
      <c r="T832" s="1322"/>
      <c r="U832" s="1322"/>
      <c r="V832" s="1322"/>
      <c r="W832" s="1322"/>
      <c r="X832" s="1322"/>
      <c r="Y832" s="1322"/>
      <c r="Z832" s="1322"/>
      <c r="AA832" s="1322"/>
      <c r="AB832" s="1322"/>
      <c r="AC832" s="1322"/>
      <c r="AD832" s="1322"/>
      <c r="AE832" s="1329"/>
      <c r="AF832" s="2665"/>
      <c r="AG832" s="2666"/>
      <c r="AH832" s="2666"/>
      <c r="AI832" s="8678"/>
      <c r="AJ832" s="2666"/>
      <c r="AK832" s="2666"/>
      <c r="AL832" s="2131"/>
      <c r="AM832" s="1968"/>
      <c r="AN832" s="1968"/>
      <c r="AO832" s="1968"/>
      <c r="AP832" s="1968"/>
      <c r="AQ832" s="1968"/>
      <c r="AR832" s="1968"/>
      <c r="AS832" s="1968"/>
      <c r="AT832" s="1968"/>
      <c r="AU832" s="1968"/>
      <c r="AV832" s="1968"/>
      <c r="AW832" s="1968"/>
      <c r="AX832" s="1968"/>
      <c r="AY832" s="1968"/>
      <c r="AZ832" s="1968"/>
      <c r="BA832" s="1968"/>
      <c r="BB832" s="1968"/>
      <c r="BC832" s="1968"/>
      <c r="BD832" s="1968"/>
      <c r="BE832" s="1968"/>
      <c r="BF832" s="1968"/>
      <c r="BG832" s="7235"/>
    </row>
    <row customHeight="1" ht="11.25">
      <c r="A833" s="1312" t="s">
        <v>1069</v>
      </c>
      <c r="B833" s="1312" t="s">
        <v>22</v>
      </c>
      <c r="C833" s="1312"/>
      <c r="D833" s="1306"/>
      <c r="E833" s="1316"/>
      <c r="F833" s="1974"/>
      <c r="G833" s="7143" t="s">
        <v>106</v>
      </c>
      <c r="H833" s="2674" t="s">
        <v>1241</v>
      </c>
      <c r="I833" s="2675" t="s">
        <v>1109</v>
      </c>
      <c r="J833" s="8672" t="s">
        <v>22</v>
      </c>
      <c r="K833" s="2676" t="s">
        <v>1313</v>
      </c>
      <c r="L833" s="2266" t="s">
        <v>19</v>
      </c>
      <c r="M833" s="2267"/>
      <c r="N833" s="2129"/>
      <c r="O833" s="1323" t="s">
        <v>398</v>
      </c>
      <c r="P833" s="1324"/>
      <c r="Q833" s="1324"/>
      <c r="R833" s="1324"/>
      <c r="S833" s="1324"/>
      <c r="T833" s="1324"/>
      <c r="U833" s="1324"/>
      <c r="V833" s="1324"/>
      <c r="W833" s="1324"/>
      <c r="X833" s="1324"/>
      <c r="Y833" s="1324"/>
      <c r="Z833" s="1324"/>
      <c r="AA833" s="1324"/>
      <c r="AB833" s="1324"/>
      <c r="AC833" s="1324"/>
      <c r="AD833" s="1324"/>
      <c r="AE833" s="1324"/>
      <c r="AF833" s="2665">
        <v>2026</v>
      </c>
      <c r="AG833" s="2666" t="s">
        <v>1103</v>
      </c>
      <c r="AH833" s="2666" t="s">
        <v>1162</v>
      </c>
      <c r="AI833" s="8678"/>
      <c r="AJ833" s="2666" t="s">
        <v>1105</v>
      </c>
      <c r="AK833" s="2666" t="s">
        <v>1105</v>
      </c>
      <c r="AL833" s="2131"/>
      <c r="AM833" s="1968"/>
      <c r="AN833" s="1968"/>
      <c r="AO833" s="1968"/>
      <c r="AP833" s="1968"/>
      <c r="AQ833" s="1968"/>
      <c r="AR833" s="1968"/>
      <c r="AS833" s="1968"/>
      <c r="AT833" s="1968"/>
      <c r="AU833" s="1968"/>
      <c r="AV833" s="1968"/>
      <c r="AW833" s="1968"/>
      <c r="AX833" s="1968"/>
      <c r="AY833" s="1968"/>
      <c r="AZ833" s="1968"/>
      <c r="BA833" s="1968"/>
      <c r="BB833" s="1968"/>
      <c r="BC833" s="1968"/>
      <c r="BD833" s="1968"/>
      <c r="BE833" s="1968"/>
      <c r="BF833" s="1968"/>
      <c r="BG833" s="7235"/>
    </row>
    <row customHeight="1" ht="11.25">
      <c r="A834" s="1312" t="s">
        <v>1069</v>
      </c>
      <c r="B834" s="1312"/>
      <c r="C834" s="1312"/>
      <c r="D834" s="1306"/>
      <c r="E834" s="1316"/>
      <c r="F834" s="1974"/>
      <c r="G834" s="1975"/>
      <c r="H834" s="2674" t="s">
        <v>1236</v>
      </c>
      <c r="I834" s="2675"/>
      <c r="J834" s="8672"/>
      <c r="K834" s="2676"/>
      <c r="L834" s="2266"/>
      <c r="M834" s="2267"/>
      <c r="N834" s="2667"/>
      <c r="O834" s="2668">
        <v>1</v>
      </c>
      <c r="P834" s="2669" t="s">
        <v>63</v>
      </c>
      <c r="Q834" s="8664" t="s">
        <v>128</v>
      </c>
      <c r="R834" s="8665" t="s">
        <v>1114</v>
      </c>
      <c r="S834" s="8665" t="s">
        <v>101</v>
      </c>
      <c r="T834" s="8665" t="s">
        <v>102</v>
      </c>
      <c r="U834" s="8665" t="s">
        <v>103</v>
      </c>
      <c r="V834" s="8665" t="s">
        <v>1238</v>
      </c>
      <c r="W834" s="8665" t="s">
        <v>1239</v>
      </c>
      <c r="X834" s="8665" t="s">
        <v>1240</v>
      </c>
      <c r="Y834" s="8665" t="s">
        <v>1190</v>
      </c>
      <c r="Z834" s="1321"/>
      <c r="AA834" s="1322"/>
      <c r="AB834" s="1322"/>
      <c r="AC834" s="1326"/>
      <c r="AD834" s="1326"/>
      <c r="AE834" s="1327"/>
      <c r="AF834" s="2665"/>
      <c r="AG834" s="2666"/>
      <c r="AH834" s="2666"/>
      <c r="AI834" s="8678"/>
      <c r="AJ834" s="2666"/>
      <c r="AK834" s="2666"/>
      <c r="AL834" s="2131"/>
      <c r="AM834" s="1968"/>
      <c r="AN834" s="1968"/>
      <c r="AO834" s="1968"/>
      <c r="AP834" s="1968"/>
      <c r="AQ834" s="1968"/>
      <c r="AR834" s="1968"/>
      <c r="AS834" s="1968"/>
      <c r="AT834" s="1968"/>
      <c r="AU834" s="1968"/>
      <c r="AV834" s="1968"/>
      <c r="AW834" s="1968"/>
      <c r="AX834" s="1968"/>
      <c r="AY834" s="1968"/>
      <c r="AZ834" s="1968"/>
      <c r="BA834" s="1968"/>
      <c r="BB834" s="1968"/>
      <c r="BC834" s="1968"/>
      <c r="BD834" s="1968"/>
      <c r="BE834" s="1968"/>
      <c r="BF834" s="1968"/>
      <c r="BG834" s="7235"/>
    </row>
    <row customHeight="1" ht="11.25">
      <c r="A835" s="1312" t="s">
        <v>1069</v>
      </c>
      <c r="B835" s="1312"/>
      <c r="C835" s="1312"/>
      <c r="D835" s="1306"/>
      <c r="E835" s="1316"/>
      <c r="F835" s="1974"/>
      <c r="G835" s="1975"/>
      <c r="H835" s="2674" t="s">
        <v>1236</v>
      </c>
      <c r="I835" s="2675"/>
      <c r="J835" s="8672"/>
      <c r="K835" s="2676"/>
      <c r="L835" s="2266"/>
      <c r="M835" s="2267"/>
      <c r="N835" s="2667"/>
      <c r="O835" s="2668"/>
      <c r="P835" s="2670"/>
      <c r="Q835" s="8664"/>
      <c r="R835" s="2672"/>
      <c r="S835" s="2673"/>
      <c r="T835" s="2672"/>
      <c r="U835" s="2672"/>
      <c r="V835" s="2672"/>
      <c r="W835" s="2672"/>
      <c r="X835" s="2672"/>
      <c r="Y835" s="2672"/>
      <c r="Z835" s="1973"/>
      <c r="AA835" s="1939">
        <v>1</v>
      </c>
      <c r="AB835" s="1325" t="s">
        <v>1131</v>
      </c>
      <c r="AC835" s="1315">
        <v>5661</v>
      </c>
      <c r="AD835" s="1325" t="str">
        <f>AB835</f>
        <v>      Прочие амортизационные отчисления</v>
      </c>
      <c r="AE835" s="1315">
        <v>0</v>
      </c>
      <c r="AF835" s="2665"/>
      <c r="AG835" s="2666"/>
      <c r="AH835" s="2666"/>
      <c r="AI835" s="8678"/>
      <c r="AJ835" s="2666"/>
      <c r="AK835" s="2666"/>
      <c r="AL835" s="2131"/>
      <c r="AM835" s="1968"/>
      <c r="AN835" s="1968"/>
      <c r="AO835" s="1968"/>
      <c r="AP835" s="1968"/>
      <c r="AQ835" s="1968"/>
      <c r="AR835" s="1968"/>
      <c r="AS835" s="1968"/>
      <c r="AT835" s="1968"/>
      <c r="AU835" s="1968"/>
      <c r="AV835" s="1968"/>
      <c r="AW835" s="1968"/>
      <c r="AX835" s="1968"/>
      <c r="AY835" s="1968"/>
      <c r="AZ835" s="1968"/>
      <c r="BA835" s="1968"/>
      <c r="BB835" s="1968"/>
      <c r="BC835" s="1968"/>
      <c r="BD835" s="1968"/>
      <c r="BE835" s="1968"/>
      <c r="BF835" s="1968"/>
      <c r="BG835" s="7235"/>
    </row>
    <row customHeight="1" ht="11.25">
      <c r="A836" s="1312" t="s">
        <v>1069</v>
      </c>
      <c r="B836" s="1312"/>
      <c r="C836" s="1312"/>
      <c r="D836" s="1306"/>
      <c r="E836" s="1316"/>
      <c r="F836" s="1974"/>
      <c r="G836" s="1975"/>
      <c r="H836" s="2674" t="s">
        <v>1236</v>
      </c>
      <c r="I836" s="2675"/>
      <c r="J836" s="8672"/>
      <c r="K836" s="2676"/>
      <c r="L836" s="2266"/>
      <c r="M836" s="2267"/>
      <c r="N836" s="2667"/>
      <c r="O836" s="2668"/>
      <c r="P836" s="2671"/>
      <c r="Q836" s="8664"/>
      <c r="R836" s="2672"/>
      <c r="S836" s="2673"/>
      <c r="T836" s="2672"/>
      <c r="U836" s="2672"/>
      <c r="V836" s="2672"/>
      <c r="W836" s="2672"/>
      <c r="X836" s="2672"/>
      <c r="Y836" s="2672"/>
      <c r="Z836" s="1321"/>
      <c r="AA836" s="1322"/>
      <c r="AB836" s="1387" t="s">
        <v>1107</v>
      </c>
      <c r="AC836" s="1326"/>
      <c r="AD836" s="1326"/>
      <c r="AE836" s="1328"/>
      <c r="AF836" s="2665"/>
      <c r="AG836" s="2666"/>
      <c r="AH836" s="2666"/>
      <c r="AI836" s="8678"/>
      <c r="AJ836" s="2666"/>
      <c r="AK836" s="2666"/>
      <c r="AL836" s="2131"/>
      <c r="AM836" s="1968"/>
      <c r="AN836" s="1968"/>
      <c r="AO836" s="1968"/>
      <c r="AP836" s="1968"/>
      <c r="AQ836" s="1968"/>
      <c r="AR836" s="1968"/>
      <c r="AS836" s="1968"/>
      <c r="AT836" s="1968"/>
      <c r="AU836" s="1968"/>
      <c r="AV836" s="1968"/>
      <c r="AW836" s="1968"/>
      <c r="AX836" s="1968"/>
      <c r="AY836" s="1968"/>
      <c r="AZ836" s="1968"/>
      <c r="BA836" s="1968"/>
      <c r="BB836" s="1968"/>
      <c r="BC836" s="1968"/>
      <c r="BD836" s="1968"/>
      <c r="BE836" s="1968"/>
      <c r="BF836" s="1968"/>
      <c r="BG836" s="7235"/>
    </row>
    <row customHeight="1" ht="11.25">
      <c r="A837" s="1312" t="s">
        <v>1069</v>
      </c>
      <c r="B837" s="1312"/>
      <c r="C837" s="1312"/>
      <c r="D837" s="1306"/>
      <c r="E837" s="1316"/>
      <c r="F837" s="1974"/>
      <c r="G837" s="1975"/>
      <c r="H837" s="2674" t="s">
        <v>1236</v>
      </c>
      <c r="I837" s="2675"/>
      <c r="J837" s="8672"/>
      <c r="K837" s="2676"/>
      <c r="L837" s="2266"/>
      <c r="M837" s="2267"/>
      <c r="N837" s="1321"/>
      <c r="O837" s="1322"/>
      <c r="P837" s="1314" t="s">
        <v>1108</v>
      </c>
      <c r="Q837" s="1322"/>
      <c r="R837" s="1322"/>
      <c r="S837" s="1322"/>
      <c r="T837" s="1322"/>
      <c r="U837" s="1322"/>
      <c r="V837" s="1322"/>
      <c r="W837" s="1322"/>
      <c r="X837" s="1322"/>
      <c r="Y837" s="1322"/>
      <c r="Z837" s="1322"/>
      <c r="AA837" s="1322"/>
      <c r="AB837" s="1322"/>
      <c r="AC837" s="1322"/>
      <c r="AD837" s="1322"/>
      <c r="AE837" s="1329"/>
      <c r="AF837" s="2665"/>
      <c r="AG837" s="2666"/>
      <c r="AH837" s="2666"/>
      <c r="AI837" s="8678"/>
      <c r="AJ837" s="2666"/>
      <c r="AK837" s="2666"/>
      <c r="AL837" s="2131"/>
      <c r="AM837" s="1968"/>
      <c r="AN837" s="1968"/>
      <c r="AO837" s="1968"/>
      <c r="AP837" s="1968"/>
      <c r="AQ837" s="1968"/>
      <c r="AR837" s="1968"/>
      <c r="AS837" s="1968"/>
      <c r="AT837" s="1968"/>
      <c r="AU837" s="1968"/>
      <c r="AV837" s="1968"/>
      <c r="AW837" s="1968"/>
      <c r="AX837" s="1968"/>
      <c r="AY837" s="1968"/>
      <c r="AZ837" s="1968"/>
      <c r="BA837" s="1968"/>
      <c r="BB837" s="1968"/>
      <c r="BC837" s="1968"/>
      <c r="BD837" s="1968"/>
      <c r="BE837" s="1968"/>
      <c r="BF837" s="1968"/>
      <c r="BG837" s="7235"/>
    </row>
    <row customHeight="1" ht="12">
      <c r="A838" s="1312" t="s">
        <v>1069</v>
      </c>
      <c r="B838" s="1312"/>
      <c r="C838" s="1312"/>
      <c r="D838" s="1306"/>
      <c r="E838" s="1316"/>
      <c r="F838" s="2696"/>
      <c r="G838" s="1336"/>
      <c r="H838" s="1336"/>
      <c r="I838" s="2694" t="s">
        <v>1100</v>
      </c>
      <c r="J838" s="2694"/>
      <c r="K838" s="2694"/>
      <c r="L838" s="1319"/>
      <c r="M838" s="1319"/>
      <c r="N838" s="1320"/>
      <c r="O838" s="1320"/>
      <c r="P838" s="1320"/>
      <c r="Q838" s="1320"/>
      <c r="R838" s="1320"/>
      <c r="S838" s="1320"/>
      <c r="T838" s="1320"/>
      <c r="U838" s="1320"/>
      <c r="V838" s="1320"/>
      <c r="W838" s="1320"/>
      <c r="X838" s="1320"/>
      <c r="Y838" s="1320"/>
      <c r="Z838" s="1320"/>
      <c r="AA838" s="1320"/>
      <c r="AB838" s="1320"/>
      <c r="AC838" s="1320"/>
      <c r="AD838" s="1320"/>
      <c r="AE838" s="1320"/>
      <c r="AF838" s="1320"/>
      <c r="AG838" s="1319"/>
      <c r="AH838" s="1319"/>
      <c r="AI838" s="1320"/>
      <c r="AJ838" s="1319"/>
      <c r="AK838" s="1320"/>
      <c r="AL838" s="2131"/>
      <c r="AM838" s="1968"/>
      <c r="AN838" s="1968"/>
      <c r="AO838" s="1968"/>
      <c r="AP838" s="1968"/>
      <c r="AQ838" s="1968"/>
      <c r="AR838" s="1968"/>
      <c r="AS838" s="1968"/>
      <c r="AT838" s="1968"/>
      <c r="AU838" s="1968"/>
      <c r="AV838" s="1968"/>
      <c r="AW838" s="1968"/>
      <c r="AX838" s="1968"/>
      <c r="AY838" s="1968"/>
      <c r="AZ838" s="1968"/>
      <c r="BA838" s="1968"/>
      <c r="BB838" s="1968"/>
      <c r="BC838" s="1968"/>
      <c r="BD838" s="1968"/>
      <c r="BE838" s="1968"/>
      <c r="BF838" s="1968"/>
      <c r="BG838" s="7235"/>
    </row>
    <row customHeight="1" ht="0.75">
      <c r="A839" s="1312" t="s">
        <v>1069</v>
      </c>
      <c r="B839" s="1312"/>
      <c r="C839" s="1312"/>
      <c r="D839" s="1306"/>
      <c r="E839" s="1316"/>
      <c r="F839" s="2695">
        <v>2027</v>
      </c>
      <c r="G839" s="2674"/>
      <c r="H839" s="2699" t="s">
        <v>398</v>
      </c>
      <c r="I839" s="2700"/>
      <c r="J839" s="2701"/>
      <c r="K839" s="2701"/>
      <c r="L839" s="2693"/>
      <c r="M839" s="2427"/>
      <c r="N839" s="2179"/>
      <c r="O839" s="2178"/>
      <c r="P839" s="2179"/>
      <c r="Q839" s="2179"/>
      <c r="R839" s="2179"/>
      <c r="S839" s="2179"/>
      <c r="T839" s="2179"/>
      <c r="U839" s="2179"/>
      <c r="V839" s="2179"/>
      <c r="W839" s="2179"/>
      <c r="X839" s="2179"/>
      <c r="Y839" s="2179"/>
      <c r="Z839" s="2179"/>
      <c r="AA839" s="2179"/>
      <c r="AB839" s="2179"/>
      <c r="AC839" s="2179"/>
      <c r="AD839" s="2179"/>
      <c r="AE839" s="2179"/>
      <c r="AF839" s="2697"/>
      <c r="AG839" s="2693"/>
      <c r="AH839" s="2693"/>
      <c r="AI839" s="2697"/>
      <c r="AJ839" s="2693"/>
      <c r="AK839" s="2693"/>
      <c r="AL839" s="2131"/>
      <c r="AM839" s="1968"/>
      <c r="AN839" s="1968"/>
      <c r="AO839" s="1968"/>
      <c r="AP839" s="1968"/>
      <c r="AQ839" s="1968"/>
      <c r="AR839" s="1968"/>
      <c r="AS839" s="1968"/>
      <c r="AT839" s="1968"/>
      <c r="AU839" s="1968"/>
      <c r="AV839" s="1968"/>
      <c r="AW839" s="1968"/>
      <c r="AX839" s="1968"/>
      <c r="AY839" s="1968"/>
      <c r="AZ839" s="1968"/>
      <c r="BA839" s="1968"/>
      <c r="BB839" s="1968"/>
      <c r="BC839" s="1968"/>
      <c r="BD839" s="1968"/>
      <c r="BE839" s="1968"/>
      <c r="BF839" s="1968"/>
      <c r="BG839" s="7235"/>
    </row>
    <row customHeight="1" ht="0.75">
      <c r="A840" s="1312" t="s">
        <v>1069</v>
      </c>
      <c r="B840" s="1312"/>
      <c r="C840" s="1312"/>
      <c r="D840" s="1306"/>
      <c r="E840" s="1316"/>
      <c r="F840" s="2695"/>
      <c r="G840" s="2674"/>
      <c r="H840" s="2699"/>
      <c r="I840" s="2700"/>
      <c r="J840" s="2701"/>
      <c r="K840" s="2701"/>
      <c r="L840" s="2693"/>
      <c r="M840" s="2427"/>
      <c r="N840" s="2702"/>
      <c r="O840" s="2703"/>
      <c r="P840" s="2747"/>
      <c r="Q840" s="2698"/>
      <c r="R840" s="2698"/>
      <c r="S840" s="2698"/>
      <c r="T840" s="2698"/>
      <c r="U840" s="2698"/>
      <c r="V840" s="2698"/>
      <c r="W840" s="2698"/>
      <c r="X840" s="2698"/>
      <c r="Y840" s="2698"/>
      <c r="Z840" s="2180"/>
      <c r="AA840" s="2181"/>
      <c r="AB840" s="2181"/>
      <c r="AC840" s="2182"/>
      <c r="AD840" s="2182"/>
      <c r="AE840" s="2183"/>
      <c r="AF840" s="2697"/>
      <c r="AG840" s="2693"/>
      <c r="AH840" s="2693"/>
      <c r="AI840" s="2697"/>
      <c r="AJ840" s="2693"/>
      <c r="AK840" s="2693"/>
      <c r="AL840" s="2131"/>
      <c r="AM840" s="1968"/>
      <c r="AN840" s="1968"/>
      <c r="AO840" s="1968"/>
      <c r="AP840" s="1968"/>
      <c r="AQ840" s="1968"/>
      <c r="AR840" s="1968"/>
      <c r="AS840" s="1968"/>
      <c r="AT840" s="1968"/>
      <c r="AU840" s="1968"/>
      <c r="AV840" s="1968"/>
      <c r="AW840" s="1968"/>
      <c r="AX840" s="1968"/>
      <c r="AY840" s="1968"/>
      <c r="AZ840" s="1968"/>
      <c r="BA840" s="1968"/>
      <c r="BB840" s="1968"/>
      <c r="BC840" s="1968"/>
      <c r="BD840" s="1968"/>
      <c r="BE840" s="1968"/>
      <c r="BF840" s="1968"/>
      <c r="BG840" s="7235"/>
    </row>
    <row customHeight="1" ht="0.75">
      <c r="A841" s="1312" t="s">
        <v>1069</v>
      </c>
      <c r="B841" s="1312"/>
      <c r="C841" s="1312"/>
      <c r="D841" s="1306"/>
      <c r="E841" s="1316"/>
      <c r="F841" s="2695"/>
      <c r="G841" s="2674"/>
      <c r="H841" s="2699"/>
      <c r="I841" s="2700"/>
      <c r="J841" s="2701"/>
      <c r="K841" s="2701"/>
      <c r="L841" s="2693"/>
      <c r="M841" s="2427"/>
      <c r="N841" s="2702"/>
      <c r="O841" s="2703"/>
      <c r="P841" s="2748"/>
      <c r="Q841" s="2698"/>
      <c r="R841" s="2698"/>
      <c r="S841" s="2698"/>
      <c r="T841" s="2698"/>
      <c r="U841" s="2698"/>
      <c r="V841" s="2698"/>
      <c r="W841" s="2698"/>
      <c r="X841" s="2698"/>
      <c r="Y841" s="2698"/>
      <c r="Z841" s="2184"/>
      <c r="AA841" s="2185"/>
      <c r="AB841" s="2186"/>
      <c r="AC841" s="2187"/>
      <c r="AD841" s="2186"/>
      <c r="AE841" s="2187"/>
      <c r="AF841" s="2697"/>
      <c r="AG841" s="2693"/>
      <c r="AH841" s="2693"/>
      <c r="AI841" s="2697"/>
      <c r="AJ841" s="2693"/>
      <c r="AK841" s="2693"/>
      <c r="AL841" s="2131"/>
      <c r="AM841" s="1968"/>
      <c r="AN841" s="1968"/>
      <c r="AO841" s="1968"/>
      <c r="AP841" s="1968"/>
      <c r="AQ841" s="1968"/>
      <c r="AR841" s="1968"/>
      <c r="AS841" s="1968"/>
      <c r="AT841" s="1968"/>
      <c r="AU841" s="1968"/>
      <c r="AV841" s="1968"/>
      <c r="AW841" s="1968"/>
      <c r="AX841" s="1968"/>
      <c r="AY841" s="1968"/>
      <c r="AZ841" s="1968"/>
      <c r="BA841" s="1968"/>
      <c r="BB841" s="1968"/>
      <c r="BC841" s="1968"/>
      <c r="BD841" s="1968"/>
      <c r="BE841" s="1968"/>
      <c r="BF841" s="1968"/>
      <c r="BG841" s="7235"/>
    </row>
    <row customHeight="1" ht="0.75">
      <c r="A842" s="1312" t="s">
        <v>1069</v>
      </c>
      <c r="B842" s="1312"/>
      <c r="C842" s="1312"/>
      <c r="D842" s="1306"/>
      <c r="E842" s="1316"/>
      <c r="F842" s="2695"/>
      <c r="G842" s="2674"/>
      <c r="H842" s="2699"/>
      <c r="I842" s="2700"/>
      <c r="J842" s="2701"/>
      <c r="K842" s="2701"/>
      <c r="L842" s="2693"/>
      <c r="M842" s="2427"/>
      <c r="N842" s="2702"/>
      <c r="O842" s="2703"/>
      <c r="P842" s="2749"/>
      <c r="Q842" s="2698"/>
      <c r="R842" s="2698"/>
      <c r="S842" s="2698"/>
      <c r="T842" s="2698"/>
      <c r="U842" s="2698"/>
      <c r="V842" s="2698"/>
      <c r="W842" s="2698"/>
      <c r="X842" s="2698"/>
      <c r="Y842" s="2698"/>
      <c r="Z842" s="2180"/>
      <c r="AA842" s="2181"/>
      <c r="AB842" s="2188"/>
      <c r="AC842" s="2182"/>
      <c r="AD842" s="2182"/>
      <c r="AE842" s="2189"/>
      <c r="AF842" s="2697"/>
      <c r="AG842" s="2693"/>
      <c r="AH842" s="2693"/>
      <c r="AI842" s="2697"/>
      <c r="AJ842" s="2693"/>
      <c r="AK842" s="2693"/>
      <c r="AL842" s="2131"/>
      <c r="AM842" s="1968"/>
      <c r="AN842" s="1968"/>
      <c r="AO842" s="1968"/>
      <c r="AP842" s="1968"/>
      <c r="AQ842" s="1968"/>
      <c r="AR842" s="1968"/>
      <c r="AS842" s="1968"/>
      <c r="AT842" s="1968"/>
      <c r="AU842" s="1968"/>
      <c r="AV842" s="1968"/>
      <c r="AW842" s="1968"/>
      <c r="AX842" s="1968"/>
      <c r="AY842" s="1968"/>
      <c r="AZ842" s="1968"/>
      <c r="BA842" s="1968"/>
      <c r="BB842" s="1968"/>
      <c r="BC842" s="1968"/>
      <c r="BD842" s="1968"/>
      <c r="BE842" s="1968"/>
      <c r="BF842" s="1968"/>
      <c r="BG842" s="7235"/>
    </row>
    <row customHeight="1" ht="0.75">
      <c r="A843" s="1312" t="s">
        <v>1069</v>
      </c>
      <c r="B843" s="1312"/>
      <c r="C843" s="1312"/>
      <c r="D843" s="1306"/>
      <c r="E843" s="1316"/>
      <c r="F843" s="2695"/>
      <c r="G843" s="2674"/>
      <c r="H843" s="2699"/>
      <c r="I843" s="2700"/>
      <c r="J843" s="2701"/>
      <c r="K843" s="2701"/>
      <c r="L843" s="2693"/>
      <c r="M843" s="2427"/>
      <c r="N843" s="2181"/>
      <c r="O843" s="2181"/>
      <c r="P843" s="2188"/>
      <c r="Q843" s="2181"/>
      <c r="R843" s="2181"/>
      <c r="S843" s="2181"/>
      <c r="T843" s="2181"/>
      <c r="U843" s="2181"/>
      <c r="V843" s="2181"/>
      <c r="W843" s="2181"/>
      <c r="X843" s="2181"/>
      <c r="Y843" s="2181"/>
      <c r="Z843" s="2181"/>
      <c r="AA843" s="2181"/>
      <c r="AB843" s="2181"/>
      <c r="AC843" s="2181"/>
      <c r="AD843" s="2181"/>
      <c r="AE843" s="2190"/>
      <c r="AF843" s="2697"/>
      <c r="AG843" s="2693"/>
      <c r="AH843" s="2693"/>
      <c r="AI843" s="2697"/>
      <c r="AJ843" s="2693"/>
      <c r="AK843" s="2693"/>
      <c r="AL843" s="2131"/>
      <c r="AM843" s="1968"/>
      <c r="AN843" s="1968"/>
      <c r="AO843" s="1968"/>
      <c r="AP843" s="1968"/>
      <c r="AQ843" s="1968"/>
      <c r="AR843" s="1968"/>
      <c r="AS843" s="1968"/>
      <c r="AT843" s="1968"/>
      <c r="AU843" s="1968"/>
      <c r="AV843" s="1968"/>
      <c r="AW843" s="1968"/>
      <c r="AX843" s="1968"/>
      <c r="AY843" s="1968"/>
      <c r="AZ843" s="1968"/>
      <c r="BA843" s="1968"/>
      <c r="BB843" s="1968"/>
      <c r="BC843" s="1968"/>
      <c r="BD843" s="1968"/>
      <c r="BE843" s="1968"/>
      <c r="BF843" s="1968"/>
      <c r="BG843" s="7235"/>
    </row>
    <row customHeight="1" ht="11.25">
      <c r="A844" s="1312" t="s">
        <v>1069</v>
      </c>
      <c r="B844" s="1312" t="s">
        <v>1168</v>
      </c>
      <c r="C844" s="1312"/>
      <c r="D844" s="1306"/>
      <c r="E844" s="1316"/>
      <c r="F844" s="1974"/>
      <c r="G844" s="7143" t="s">
        <v>106</v>
      </c>
      <c r="H844" s="2674" t="s">
        <v>121</v>
      </c>
      <c r="I844" s="2675" t="s">
        <v>1169</v>
      </c>
      <c r="J844" s="2644" t="s">
        <v>1174</v>
      </c>
      <c r="K844" s="2676" t="s">
        <v>1279</v>
      </c>
      <c r="L844" s="2266" t="s">
        <v>19</v>
      </c>
      <c r="M844" s="2267"/>
      <c r="N844" s="2129"/>
      <c r="O844" s="1323" t="s">
        <v>398</v>
      </c>
      <c r="P844" s="1324"/>
      <c r="Q844" s="1324"/>
      <c r="R844" s="1324"/>
      <c r="S844" s="1324"/>
      <c r="T844" s="1324"/>
      <c r="U844" s="1324"/>
      <c r="V844" s="1324"/>
      <c r="W844" s="1324"/>
      <c r="X844" s="1324"/>
      <c r="Y844" s="1324"/>
      <c r="Z844" s="1324"/>
      <c r="AA844" s="1324"/>
      <c r="AB844" s="1324"/>
      <c r="AC844" s="1324"/>
      <c r="AD844" s="1324"/>
      <c r="AE844" s="1324"/>
      <c r="AF844" s="2665">
        <v>2027</v>
      </c>
      <c r="AG844" s="2666" t="s">
        <v>1103</v>
      </c>
      <c r="AH844" s="2666" t="s">
        <v>1164</v>
      </c>
      <c r="AI844" s="8647"/>
      <c r="AJ844" s="2666" t="s">
        <v>1105</v>
      </c>
      <c r="AK844" s="2666" t="s">
        <v>1105</v>
      </c>
      <c r="AL844" s="2131"/>
      <c r="AM844" s="1968"/>
      <c r="AN844" s="1968"/>
      <c r="AO844" s="1968"/>
      <c r="AP844" s="1968"/>
      <c r="AQ844" s="1968"/>
      <c r="AR844" s="1968"/>
      <c r="AS844" s="1968"/>
      <c r="AT844" s="1968"/>
      <c r="AU844" s="1968"/>
      <c r="AV844" s="1968"/>
      <c r="AW844" s="1968"/>
      <c r="AX844" s="1968"/>
      <c r="AY844" s="1968"/>
      <c r="AZ844" s="1968"/>
      <c r="BA844" s="1968"/>
      <c r="BB844" s="1968"/>
      <c r="BC844" s="1968"/>
      <c r="BD844" s="1968"/>
      <c r="BE844" s="1968"/>
      <c r="BF844" s="1968"/>
      <c r="BG844" s="7235"/>
    </row>
    <row customHeight="1" ht="11.25">
      <c r="A845" s="1312" t="s">
        <v>1069</v>
      </c>
      <c r="B845" s="1312"/>
      <c r="C845" s="1312"/>
      <c r="D845" s="1306"/>
      <c r="E845" s="1316"/>
      <c r="F845" s="1974"/>
      <c r="G845" s="1975"/>
      <c r="H845" s="2674" t="s">
        <v>121</v>
      </c>
      <c r="I845" s="2675"/>
      <c r="J845" s="2644"/>
      <c r="K845" s="2676"/>
      <c r="L845" s="2266"/>
      <c r="M845" s="2267"/>
      <c r="N845" s="2667"/>
      <c r="O845" s="2668">
        <v>1</v>
      </c>
      <c r="P845" s="2669" t="s">
        <v>63</v>
      </c>
      <c r="Q845" s="8645" t="s">
        <v>1176</v>
      </c>
      <c r="R845" s="8646" t="s">
        <v>1177</v>
      </c>
      <c r="S845" s="8646" t="s">
        <v>113</v>
      </c>
      <c r="T845" s="8646" t="s">
        <v>113</v>
      </c>
      <c r="U845" s="8646" t="s">
        <v>114</v>
      </c>
      <c r="V845" s="8646" t="s">
        <v>1115</v>
      </c>
      <c r="W845" s="8646" t="s">
        <v>1116</v>
      </c>
      <c r="X845" s="8646" t="s">
        <v>1178</v>
      </c>
      <c r="Y845" s="8646" t="s">
        <v>1178</v>
      </c>
      <c r="Z845" s="1321"/>
      <c r="AA845" s="1322"/>
      <c r="AB845" s="1322"/>
      <c r="AC845" s="1326"/>
      <c r="AD845" s="1326"/>
      <c r="AE845" s="1327"/>
      <c r="AF845" s="2665"/>
      <c r="AG845" s="2666"/>
      <c r="AH845" s="2666"/>
      <c r="AI845" s="8647"/>
      <c r="AJ845" s="2666"/>
      <c r="AK845" s="2666"/>
      <c r="AL845" s="2131"/>
      <c r="AM845" s="1968"/>
      <c r="AN845" s="1968"/>
      <c r="AO845" s="1968"/>
      <c r="AP845" s="1968"/>
      <c r="AQ845" s="1968"/>
      <c r="AR845" s="1968"/>
      <c r="AS845" s="1968"/>
      <c r="AT845" s="1968"/>
      <c r="AU845" s="1968"/>
      <c r="AV845" s="1968"/>
      <c r="AW845" s="1968"/>
      <c r="AX845" s="1968"/>
      <c r="AY845" s="1968"/>
      <c r="AZ845" s="1968"/>
      <c r="BA845" s="1968"/>
      <c r="BB845" s="1968"/>
      <c r="BC845" s="1968"/>
      <c r="BD845" s="1968"/>
      <c r="BE845" s="1968"/>
      <c r="BF845" s="1968"/>
      <c r="BG845" s="7235"/>
    </row>
    <row customHeight="1" ht="11.25">
      <c r="A846" s="1312" t="s">
        <v>1069</v>
      </c>
      <c r="B846" s="1312"/>
      <c r="C846" s="1312"/>
      <c r="D846" s="1306"/>
      <c r="E846" s="1316"/>
      <c r="F846" s="1974"/>
      <c r="G846" s="1975"/>
      <c r="H846" s="2674" t="s">
        <v>121</v>
      </c>
      <c r="I846" s="2675"/>
      <c r="J846" s="2644"/>
      <c r="K846" s="2676"/>
      <c r="L846" s="2266"/>
      <c r="M846" s="2267"/>
      <c r="N846" s="2667"/>
      <c r="O846" s="2668"/>
      <c r="P846" s="2670"/>
      <c r="Q846" s="8645"/>
      <c r="R846" s="2672"/>
      <c r="S846" s="2673"/>
      <c r="T846" s="2672"/>
      <c r="U846" s="2672"/>
      <c r="V846" s="2672"/>
      <c r="W846" s="2672"/>
      <c r="X846" s="2672"/>
      <c r="Y846" s="2672"/>
      <c r="Z846" s="1973"/>
      <c r="AA846" s="1939">
        <v>1</v>
      </c>
      <c r="AB846" s="1325" t="s">
        <v>1172</v>
      </c>
      <c r="AC846" s="1315">
        <v>36517</v>
      </c>
      <c r="AD846" s="1325" t="str">
        <f>AB846</f>
        <v>  За счет платы за технологическое присоединение</v>
      </c>
      <c r="AE846" s="1315">
        <v>0</v>
      </c>
      <c r="AF846" s="2665"/>
      <c r="AG846" s="2666"/>
      <c r="AH846" s="2666"/>
      <c r="AI846" s="8647"/>
      <c r="AJ846" s="2666"/>
      <c r="AK846" s="2666"/>
      <c r="AL846" s="2131"/>
      <c r="AM846" s="1968"/>
      <c r="AN846" s="1968"/>
      <c r="AO846" s="1968"/>
      <c r="AP846" s="1968"/>
      <c r="AQ846" s="1968"/>
      <c r="AR846" s="1968"/>
      <c r="AS846" s="1968"/>
      <c r="AT846" s="1968"/>
      <c r="AU846" s="1968"/>
      <c r="AV846" s="1968"/>
      <c r="AW846" s="1968"/>
      <c r="AX846" s="1968"/>
      <c r="AY846" s="1968"/>
      <c r="AZ846" s="1968"/>
      <c r="BA846" s="1968"/>
      <c r="BB846" s="1968"/>
      <c r="BC846" s="1968"/>
      <c r="BD846" s="1968"/>
      <c r="BE846" s="1968"/>
      <c r="BF846" s="1968"/>
      <c r="BG846" s="7235"/>
    </row>
    <row customHeight="1" ht="11.25">
      <c r="A847" s="1312" t="s">
        <v>1069</v>
      </c>
      <c r="B847" s="1312"/>
      <c r="C847" s="1312"/>
      <c r="D847" s="1306"/>
      <c r="E847" s="1316"/>
      <c r="F847" s="1974"/>
      <c r="G847" s="1975"/>
      <c r="H847" s="2674" t="s">
        <v>121</v>
      </c>
      <c r="I847" s="2675"/>
      <c r="J847" s="2644"/>
      <c r="K847" s="2676"/>
      <c r="L847" s="2266"/>
      <c r="M847" s="2267"/>
      <c r="N847" s="2667"/>
      <c r="O847" s="2668"/>
      <c r="P847" s="2671"/>
      <c r="Q847" s="8645"/>
      <c r="R847" s="2672"/>
      <c r="S847" s="2673"/>
      <c r="T847" s="2672"/>
      <c r="U847" s="2672"/>
      <c r="V847" s="2672"/>
      <c r="W847" s="2672"/>
      <c r="X847" s="2672"/>
      <c r="Y847" s="2672"/>
      <c r="Z847" s="1321"/>
      <c r="AA847" s="1322"/>
      <c r="AB847" s="1387" t="s">
        <v>1107</v>
      </c>
      <c r="AC847" s="1326"/>
      <c r="AD847" s="1326"/>
      <c r="AE847" s="1328"/>
      <c r="AF847" s="2665"/>
      <c r="AG847" s="2666"/>
      <c r="AH847" s="2666"/>
      <c r="AI847" s="8647"/>
      <c r="AJ847" s="2666"/>
      <c r="AK847" s="2666"/>
      <c r="AL847" s="2131"/>
      <c r="AM847" s="1968"/>
      <c r="AN847" s="1968"/>
      <c r="AO847" s="1968"/>
      <c r="AP847" s="1968"/>
      <c r="AQ847" s="1968"/>
      <c r="AR847" s="1968"/>
      <c r="AS847" s="1968"/>
      <c r="AT847" s="1968"/>
      <c r="AU847" s="1968"/>
      <c r="AV847" s="1968"/>
      <c r="AW847" s="1968"/>
      <c r="AX847" s="1968"/>
      <c r="AY847" s="1968"/>
      <c r="AZ847" s="1968"/>
      <c r="BA847" s="1968"/>
      <c r="BB847" s="1968"/>
      <c r="BC847" s="1968"/>
      <c r="BD847" s="1968"/>
      <c r="BE847" s="1968"/>
      <c r="BF847" s="1968"/>
      <c r="BG847" s="7235"/>
    </row>
    <row customHeight="1" ht="11.25">
      <c r="A848" s="1312" t="s">
        <v>1069</v>
      </c>
      <c r="B848" s="1312"/>
      <c r="C848" s="1312"/>
      <c r="D848" s="1306"/>
      <c r="E848" s="1316"/>
      <c r="F848" s="1974"/>
      <c r="G848" s="1975"/>
      <c r="H848" s="2674" t="s">
        <v>121</v>
      </c>
      <c r="I848" s="2675"/>
      <c r="J848" s="2644"/>
      <c r="K848" s="2676"/>
      <c r="L848" s="2266"/>
      <c r="M848" s="2267"/>
      <c r="N848" s="1321"/>
      <c r="O848" s="1322"/>
      <c r="P848" s="1314" t="s">
        <v>1108</v>
      </c>
      <c r="Q848" s="1322"/>
      <c r="R848" s="1322"/>
      <c r="S848" s="1322"/>
      <c r="T848" s="1322"/>
      <c r="U848" s="1322"/>
      <c r="V848" s="1322"/>
      <c r="W848" s="1322"/>
      <c r="X848" s="1322"/>
      <c r="Y848" s="1322"/>
      <c r="Z848" s="1322"/>
      <c r="AA848" s="1322"/>
      <c r="AB848" s="1322"/>
      <c r="AC848" s="1322"/>
      <c r="AD848" s="1322"/>
      <c r="AE848" s="1329"/>
      <c r="AF848" s="2665"/>
      <c r="AG848" s="2666"/>
      <c r="AH848" s="2666"/>
      <c r="AI848" s="8647"/>
      <c r="AJ848" s="2666"/>
      <c r="AK848" s="2666"/>
      <c r="AL848" s="2131"/>
      <c r="AM848" s="1968"/>
      <c r="AN848" s="1968"/>
      <c r="AO848" s="1968"/>
      <c r="AP848" s="1968"/>
      <c r="AQ848" s="1968"/>
      <c r="AR848" s="1968"/>
      <c r="AS848" s="1968"/>
      <c r="AT848" s="1968"/>
      <c r="AU848" s="1968"/>
      <c r="AV848" s="1968"/>
      <c r="AW848" s="1968"/>
      <c r="AX848" s="1968"/>
      <c r="AY848" s="1968"/>
      <c r="AZ848" s="1968"/>
      <c r="BA848" s="1968"/>
      <c r="BB848" s="1968"/>
      <c r="BC848" s="1968"/>
      <c r="BD848" s="1968"/>
      <c r="BE848" s="1968"/>
      <c r="BF848" s="1968"/>
      <c r="BG848" s="7235"/>
    </row>
    <row customHeight="1" ht="11.25">
      <c r="A849" s="1312" t="s">
        <v>1069</v>
      </c>
      <c r="B849" s="1312" t="s">
        <v>1168</v>
      </c>
      <c r="C849" s="1312"/>
      <c r="D849" s="1306"/>
      <c r="E849" s="1316"/>
      <c r="F849" s="1974"/>
      <c r="G849" s="7143" t="s">
        <v>106</v>
      </c>
      <c r="H849" s="2674" t="s">
        <v>105</v>
      </c>
      <c r="I849" s="2675" t="s">
        <v>1169</v>
      </c>
      <c r="J849" s="2644" t="s">
        <v>1174</v>
      </c>
      <c r="K849" s="2676" t="s">
        <v>1319</v>
      </c>
      <c r="L849" s="2266" t="s">
        <v>19</v>
      </c>
      <c r="M849" s="2267"/>
      <c r="N849" s="2129"/>
      <c r="O849" s="1323" t="s">
        <v>398</v>
      </c>
      <c r="P849" s="1324"/>
      <c r="Q849" s="1324"/>
      <c r="R849" s="1324"/>
      <c r="S849" s="1324"/>
      <c r="T849" s="1324"/>
      <c r="U849" s="1324"/>
      <c r="V849" s="1324"/>
      <c r="W849" s="1324"/>
      <c r="X849" s="1324"/>
      <c r="Y849" s="1324"/>
      <c r="Z849" s="1324"/>
      <c r="AA849" s="1324"/>
      <c r="AB849" s="1324"/>
      <c r="AC849" s="1324"/>
      <c r="AD849" s="1324"/>
      <c r="AE849" s="1324"/>
      <c r="AF849" s="2665">
        <v>2028</v>
      </c>
      <c r="AG849" s="2666" t="s">
        <v>1103</v>
      </c>
      <c r="AH849" s="2666" t="s">
        <v>1228</v>
      </c>
      <c r="AI849" s="8647"/>
      <c r="AJ849" s="2666" t="s">
        <v>1105</v>
      </c>
      <c r="AK849" s="2666" t="s">
        <v>1105</v>
      </c>
      <c r="AL849" s="2131"/>
      <c r="AM849" s="1968"/>
      <c r="AN849" s="1968"/>
      <c r="AO849" s="1968"/>
      <c r="AP849" s="1968"/>
      <c r="AQ849" s="1968"/>
      <c r="AR849" s="1968"/>
      <c r="AS849" s="1968"/>
      <c r="AT849" s="1968"/>
      <c r="AU849" s="1968"/>
      <c r="AV849" s="1968"/>
      <c r="AW849" s="1968"/>
      <c r="AX849" s="1968"/>
      <c r="AY849" s="1968"/>
      <c r="AZ849" s="1968"/>
      <c r="BA849" s="1968"/>
      <c r="BB849" s="1968"/>
      <c r="BC849" s="1968"/>
      <c r="BD849" s="1968"/>
      <c r="BE849" s="1968"/>
      <c r="BF849" s="1968"/>
      <c r="BG849" s="7235"/>
    </row>
    <row customHeight="1" ht="11.25">
      <c r="A850" s="1312" t="s">
        <v>1069</v>
      </c>
      <c r="B850" s="1312"/>
      <c r="C850" s="1312"/>
      <c r="D850" s="1306"/>
      <c r="E850" s="1316"/>
      <c r="F850" s="1974"/>
      <c r="G850" s="1975"/>
      <c r="H850" s="2674" t="s">
        <v>105</v>
      </c>
      <c r="I850" s="2675"/>
      <c r="J850" s="2644"/>
      <c r="K850" s="2676"/>
      <c r="L850" s="2266"/>
      <c r="M850" s="2267"/>
      <c r="N850" s="2667"/>
      <c r="O850" s="2668">
        <v>1</v>
      </c>
      <c r="P850" s="2669" t="s">
        <v>63</v>
      </c>
      <c r="Q850" s="8645" t="s">
        <v>1176</v>
      </c>
      <c r="R850" s="8646" t="s">
        <v>1177</v>
      </c>
      <c r="S850" s="8646" t="s">
        <v>113</v>
      </c>
      <c r="T850" s="8646" t="s">
        <v>113</v>
      </c>
      <c r="U850" s="8646" t="s">
        <v>114</v>
      </c>
      <c r="V850" s="8646" t="s">
        <v>1115</v>
      </c>
      <c r="W850" s="8646" t="s">
        <v>1116</v>
      </c>
      <c r="X850" s="8646" t="s">
        <v>1178</v>
      </c>
      <c r="Y850" s="8646" t="s">
        <v>1178</v>
      </c>
      <c r="Z850" s="1321"/>
      <c r="AA850" s="1322"/>
      <c r="AB850" s="1322"/>
      <c r="AC850" s="1326"/>
      <c r="AD850" s="1326"/>
      <c r="AE850" s="1327"/>
      <c r="AF850" s="2665"/>
      <c r="AG850" s="2666"/>
      <c r="AH850" s="2666"/>
      <c r="AI850" s="8647"/>
      <c r="AJ850" s="2666"/>
      <c r="AK850" s="2666"/>
      <c r="AL850" s="2131"/>
      <c r="AM850" s="1968"/>
      <c r="AN850" s="1968"/>
      <c r="AO850" s="1968"/>
      <c r="AP850" s="1968"/>
      <c r="AQ850" s="1968"/>
      <c r="AR850" s="1968"/>
      <c r="AS850" s="1968"/>
      <c r="AT850" s="1968"/>
      <c r="AU850" s="1968"/>
      <c r="AV850" s="1968"/>
      <c r="AW850" s="1968"/>
      <c r="AX850" s="1968"/>
      <c r="AY850" s="1968"/>
      <c r="AZ850" s="1968"/>
      <c r="BA850" s="1968"/>
      <c r="BB850" s="1968"/>
      <c r="BC850" s="1968"/>
      <c r="BD850" s="1968"/>
      <c r="BE850" s="1968"/>
      <c r="BF850" s="1968"/>
      <c r="BG850" s="7235"/>
    </row>
    <row customHeight="1" ht="11.25">
      <c r="A851" s="1312" t="s">
        <v>1069</v>
      </c>
      <c r="B851" s="1312"/>
      <c r="C851" s="1312"/>
      <c r="D851" s="1306"/>
      <c r="E851" s="1316"/>
      <c r="F851" s="1974"/>
      <c r="G851" s="1975"/>
      <c r="H851" s="2674" t="s">
        <v>105</v>
      </c>
      <c r="I851" s="2675"/>
      <c r="J851" s="2644"/>
      <c r="K851" s="2676"/>
      <c r="L851" s="2266"/>
      <c r="M851" s="2267"/>
      <c r="N851" s="2667"/>
      <c r="O851" s="2668"/>
      <c r="P851" s="2670"/>
      <c r="Q851" s="8645"/>
      <c r="R851" s="2672"/>
      <c r="S851" s="2673"/>
      <c r="T851" s="2672"/>
      <c r="U851" s="2672"/>
      <c r="V851" s="2672"/>
      <c r="W851" s="2672"/>
      <c r="X851" s="2672"/>
      <c r="Y851" s="2672"/>
      <c r="Z851" s="1973"/>
      <c r="AA851" s="1939">
        <v>1</v>
      </c>
      <c r="AB851" s="1325" t="s">
        <v>1106</v>
      </c>
      <c r="AC851" s="1315">
        <v>95952</v>
      </c>
      <c r="AD851" s="1325" t="str">
        <f>AB851</f>
        <v>  Прибыль направляемая на инвестиции</v>
      </c>
      <c r="AE851" s="1315">
        <v>0</v>
      </c>
      <c r="AF851" s="2665"/>
      <c r="AG851" s="2666"/>
      <c r="AH851" s="2666"/>
      <c r="AI851" s="8647"/>
      <c r="AJ851" s="2666"/>
      <c r="AK851" s="2666"/>
      <c r="AL851" s="2131"/>
      <c r="AM851" s="1968"/>
      <c r="AN851" s="1968"/>
      <c r="AO851" s="1968"/>
      <c r="AP851" s="1968"/>
      <c r="AQ851" s="1968"/>
      <c r="AR851" s="1968"/>
      <c r="AS851" s="1968"/>
      <c r="AT851" s="1968"/>
      <c r="AU851" s="1968"/>
      <c r="AV851" s="1968"/>
      <c r="AW851" s="1968"/>
      <c r="AX851" s="1968"/>
      <c r="AY851" s="1968"/>
      <c r="AZ851" s="1968"/>
      <c r="BA851" s="1968"/>
      <c r="BB851" s="1968"/>
      <c r="BC851" s="1968"/>
      <c r="BD851" s="1968"/>
      <c r="BE851" s="1968"/>
      <c r="BF851" s="1968"/>
      <c r="BG851" s="7235"/>
    </row>
    <row customHeight="1" ht="11.25">
      <c r="A852" s="1312" t="s">
        <v>1069</v>
      </c>
      <c r="B852" s="1312"/>
      <c r="C852" s="1312"/>
      <c r="D852" s="1306"/>
      <c r="E852" s="1316"/>
      <c r="F852" s="1974"/>
      <c r="G852" s="1975"/>
      <c r="H852" s="2674" t="s">
        <v>105</v>
      </c>
      <c r="I852" s="2675"/>
      <c r="J852" s="2644"/>
      <c r="K852" s="2676"/>
      <c r="L852" s="2266"/>
      <c r="M852" s="2267"/>
      <c r="N852" s="2667"/>
      <c r="O852" s="2668"/>
      <c r="P852" s="2671"/>
      <c r="Q852" s="8645"/>
      <c r="R852" s="2672"/>
      <c r="S852" s="2673"/>
      <c r="T852" s="2672"/>
      <c r="U852" s="2672"/>
      <c r="V852" s="2672"/>
      <c r="W852" s="2672"/>
      <c r="X852" s="2672"/>
      <c r="Y852" s="2672"/>
      <c r="Z852" s="1321"/>
      <c r="AA852" s="1322"/>
      <c r="AB852" s="1387" t="s">
        <v>1107</v>
      </c>
      <c r="AC852" s="1326"/>
      <c r="AD852" s="1326"/>
      <c r="AE852" s="1328"/>
      <c r="AF852" s="2665"/>
      <c r="AG852" s="2666"/>
      <c r="AH852" s="2666"/>
      <c r="AI852" s="8647"/>
      <c r="AJ852" s="2666"/>
      <c r="AK852" s="2666"/>
      <c r="AL852" s="2131"/>
      <c r="AM852" s="1968"/>
      <c r="AN852" s="1968"/>
      <c r="AO852" s="1968"/>
      <c r="AP852" s="1968"/>
      <c r="AQ852" s="1968"/>
      <c r="AR852" s="1968"/>
      <c r="AS852" s="1968"/>
      <c r="AT852" s="1968"/>
      <c r="AU852" s="1968"/>
      <c r="AV852" s="1968"/>
      <c r="AW852" s="1968"/>
      <c r="AX852" s="1968"/>
      <c r="AY852" s="1968"/>
      <c r="AZ852" s="1968"/>
      <c r="BA852" s="1968"/>
      <c r="BB852" s="1968"/>
      <c r="BC852" s="1968"/>
      <c r="BD852" s="1968"/>
      <c r="BE852" s="1968"/>
      <c r="BF852" s="1968"/>
      <c r="BG852" s="7235"/>
    </row>
    <row customHeight="1" ht="11.25">
      <c r="A853" s="1312" t="s">
        <v>1069</v>
      </c>
      <c r="B853" s="1312"/>
      <c r="C853" s="1312"/>
      <c r="D853" s="1306"/>
      <c r="E853" s="1316"/>
      <c r="F853" s="1974"/>
      <c r="G853" s="1975"/>
      <c r="H853" s="2674" t="s">
        <v>105</v>
      </c>
      <c r="I853" s="2675"/>
      <c r="J853" s="2644"/>
      <c r="K853" s="2676"/>
      <c r="L853" s="2266"/>
      <c r="M853" s="2267"/>
      <c r="N853" s="1321"/>
      <c r="O853" s="1322"/>
      <c r="P853" s="1314" t="s">
        <v>1108</v>
      </c>
      <c r="Q853" s="1322"/>
      <c r="R853" s="1322"/>
      <c r="S853" s="1322"/>
      <c r="T853" s="1322"/>
      <c r="U853" s="1322"/>
      <c r="V853" s="1322"/>
      <c r="W853" s="1322"/>
      <c r="X853" s="1322"/>
      <c r="Y853" s="1322"/>
      <c r="Z853" s="1322"/>
      <c r="AA853" s="1322"/>
      <c r="AB853" s="1322"/>
      <c r="AC853" s="1322"/>
      <c r="AD853" s="1322"/>
      <c r="AE853" s="1329"/>
      <c r="AF853" s="2665"/>
      <c r="AG853" s="2666"/>
      <c r="AH853" s="2666"/>
      <c r="AI853" s="8647"/>
      <c r="AJ853" s="2666"/>
      <c r="AK853" s="2666"/>
      <c r="AL853" s="2131"/>
      <c r="AM853" s="1968"/>
      <c r="AN853" s="1968"/>
      <c r="AO853" s="1968"/>
      <c r="AP853" s="1968"/>
      <c r="AQ853" s="1968"/>
      <c r="AR853" s="1968"/>
      <c r="AS853" s="1968"/>
      <c r="AT853" s="1968"/>
      <c r="AU853" s="1968"/>
      <c r="AV853" s="1968"/>
      <c r="AW853" s="1968"/>
      <c r="AX853" s="1968"/>
      <c r="AY853" s="1968"/>
      <c r="AZ853" s="1968"/>
      <c r="BA853" s="1968"/>
      <c r="BB853" s="1968"/>
      <c r="BC853" s="1968"/>
      <c r="BD853" s="1968"/>
      <c r="BE853" s="1968"/>
      <c r="BF853" s="1968"/>
      <c r="BG853" s="7235"/>
    </row>
    <row customHeight="1" ht="11.25">
      <c r="A854" s="1312" t="s">
        <v>1069</v>
      </c>
      <c r="B854" s="1312" t="s">
        <v>1198</v>
      </c>
      <c r="C854" s="1312"/>
      <c r="D854" s="1306"/>
      <c r="E854" s="1316"/>
      <c r="F854" s="1974"/>
      <c r="G854" s="7143" t="s">
        <v>106</v>
      </c>
      <c r="H854" s="2674" t="s">
        <v>91</v>
      </c>
      <c r="I854" s="2675" t="s">
        <v>1200</v>
      </c>
      <c r="J854" s="2644" t="s">
        <v>1201</v>
      </c>
      <c r="K854" s="2676" t="s">
        <v>1288</v>
      </c>
      <c r="L854" s="2266" t="s">
        <v>19</v>
      </c>
      <c r="M854" s="2267"/>
      <c r="N854" s="2129"/>
      <c r="O854" s="1323" t="s">
        <v>398</v>
      </c>
      <c r="P854" s="1324"/>
      <c r="Q854" s="1324"/>
      <c r="R854" s="1324"/>
      <c r="S854" s="1324"/>
      <c r="T854" s="1324"/>
      <c r="U854" s="1324"/>
      <c r="V854" s="1324"/>
      <c r="W854" s="1324"/>
      <c r="X854" s="1324"/>
      <c r="Y854" s="1324"/>
      <c r="Z854" s="1324"/>
      <c r="AA854" s="1324"/>
      <c r="AB854" s="1324"/>
      <c r="AC854" s="1324"/>
      <c r="AD854" s="1324"/>
      <c r="AE854" s="1324"/>
      <c r="AF854" s="2665">
        <v>2027</v>
      </c>
      <c r="AG854" s="2666" t="s">
        <v>1103</v>
      </c>
      <c r="AH854" s="2666" t="s">
        <v>1164</v>
      </c>
      <c r="AI854" s="8647"/>
      <c r="AJ854" s="2666" t="s">
        <v>1105</v>
      </c>
      <c r="AK854" s="2666" t="s">
        <v>1105</v>
      </c>
      <c r="AL854" s="2131"/>
      <c r="AM854" s="1968"/>
      <c r="AN854" s="1968"/>
      <c r="AO854" s="1968"/>
      <c r="AP854" s="1968"/>
      <c r="AQ854" s="1968"/>
      <c r="AR854" s="1968"/>
      <c r="AS854" s="1968"/>
      <c r="AT854" s="1968"/>
      <c r="AU854" s="1968"/>
      <c r="AV854" s="1968"/>
      <c r="AW854" s="1968"/>
      <c r="AX854" s="1968"/>
      <c r="AY854" s="1968"/>
      <c r="AZ854" s="1968"/>
      <c r="BA854" s="1968"/>
      <c r="BB854" s="1968"/>
      <c r="BC854" s="1968"/>
      <c r="BD854" s="1968"/>
      <c r="BE854" s="1968"/>
      <c r="BF854" s="1968"/>
      <c r="BG854" s="7235"/>
    </row>
    <row customHeight="1" ht="11.25">
      <c r="A855" s="1312" t="s">
        <v>1069</v>
      </c>
      <c r="B855" s="1312"/>
      <c r="C855" s="1312"/>
      <c r="D855" s="1306"/>
      <c r="E855" s="1316"/>
      <c r="F855" s="1974"/>
      <c r="G855" s="1975"/>
      <c r="H855" s="2674" t="s">
        <v>91</v>
      </c>
      <c r="I855" s="2675"/>
      <c r="J855" s="2644"/>
      <c r="K855" s="2676"/>
      <c r="L855" s="2266"/>
      <c r="M855" s="2267"/>
      <c r="N855" s="2667"/>
      <c r="O855" s="2668">
        <v>1</v>
      </c>
      <c r="P855" s="2669" t="s">
        <v>63</v>
      </c>
      <c r="Q855" s="8645" t="s">
        <v>1208</v>
      </c>
      <c r="R855" s="8646" t="s">
        <v>1114</v>
      </c>
      <c r="S855" s="8646" t="s">
        <v>113</v>
      </c>
      <c r="T855" s="8646" t="s">
        <v>113</v>
      </c>
      <c r="U855" s="8646" t="s">
        <v>114</v>
      </c>
      <c r="V855" s="8646" t="s">
        <v>1115</v>
      </c>
      <c r="W855" s="8646" t="s">
        <v>1116</v>
      </c>
      <c r="X855" s="8646" t="s">
        <v>1209</v>
      </c>
      <c r="Y855" s="8646" t="s">
        <v>121</v>
      </c>
      <c r="Z855" s="1321"/>
      <c r="AA855" s="1322"/>
      <c r="AB855" s="1322"/>
      <c r="AC855" s="1326"/>
      <c r="AD855" s="1326"/>
      <c r="AE855" s="1327"/>
      <c r="AF855" s="2665"/>
      <c r="AG855" s="2666"/>
      <c r="AH855" s="2666"/>
      <c r="AI855" s="8647"/>
      <c r="AJ855" s="2666"/>
      <c r="AK855" s="2666"/>
      <c r="AL855" s="2131"/>
      <c r="AM855" s="1968"/>
      <c r="AN855" s="1968"/>
      <c r="AO855" s="1968"/>
      <c r="AP855" s="1968"/>
      <c r="AQ855" s="1968"/>
      <c r="AR855" s="1968"/>
      <c r="AS855" s="1968"/>
      <c r="AT855" s="1968"/>
      <c r="AU855" s="1968"/>
      <c r="AV855" s="1968"/>
      <c r="AW855" s="1968"/>
      <c r="AX855" s="1968"/>
      <c r="AY855" s="1968"/>
      <c r="AZ855" s="1968"/>
      <c r="BA855" s="1968"/>
      <c r="BB855" s="1968"/>
      <c r="BC855" s="1968"/>
      <c r="BD855" s="1968"/>
      <c r="BE855" s="1968"/>
      <c r="BF855" s="1968"/>
      <c r="BG855" s="7235"/>
    </row>
    <row customHeight="1" ht="11.25">
      <c r="A856" s="1312" t="s">
        <v>1069</v>
      </c>
      <c r="B856" s="1312"/>
      <c r="C856" s="1312"/>
      <c r="D856" s="1306"/>
      <c r="E856" s="1316"/>
      <c r="F856" s="1974"/>
      <c r="G856" s="1975"/>
      <c r="H856" s="2674" t="s">
        <v>91</v>
      </c>
      <c r="I856" s="2675"/>
      <c r="J856" s="2644"/>
      <c r="K856" s="2676"/>
      <c r="L856" s="2266"/>
      <c r="M856" s="2267"/>
      <c r="N856" s="2667"/>
      <c r="O856" s="2668"/>
      <c r="P856" s="2670"/>
      <c r="Q856" s="8645"/>
      <c r="R856" s="2672"/>
      <c r="S856" s="2673"/>
      <c r="T856" s="2672"/>
      <c r="U856" s="2672"/>
      <c r="V856" s="2672"/>
      <c r="W856" s="2672"/>
      <c r="X856" s="2672"/>
      <c r="Y856" s="2672"/>
      <c r="Z856" s="1973"/>
      <c r="AA856" s="1939">
        <v>1</v>
      </c>
      <c r="AB856" s="1325" t="s">
        <v>1131</v>
      </c>
      <c r="AC856" s="1315">
        <v>40799</v>
      </c>
      <c r="AD856" s="1325" t="str">
        <f>AB856</f>
        <v>      Прочие амортизационные отчисления</v>
      </c>
      <c r="AE856" s="1315">
        <v>0</v>
      </c>
      <c r="AF856" s="2665"/>
      <c r="AG856" s="2666"/>
      <c r="AH856" s="2666"/>
      <c r="AI856" s="8647"/>
      <c r="AJ856" s="2666"/>
      <c r="AK856" s="2666"/>
      <c r="AL856" s="2131"/>
      <c r="AM856" s="1968"/>
      <c r="AN856" s="1968"/>
      <c r="AO856" s="1968"/>
      <c r="AP856" s="1968"/>
      <c r="AQ856" s="1968"/>
      <c r="AR856" s="1968"/>
      <c r="AS856" s="1968"/>
      <c r="AT856" s="1968"/>
      <c r="AU856" s="1968"/>
      <c r="AV856" s="1968"/>
      <c r="AW856" s="1968"/>
      <c r="AX856" s="1968"/>
      <c r="AY856" s="1968"/>
      <c r="AZ856" s="1968"/>
      <c r="BA856" s="1968"/>
      <c r="BB856" s="1968"/>
      <c r="BC856" s="1968"/>
      <c r="BD856" s="1968"/>
      <c r="BE856" s="1968"/>
      <c r="BF856" s="1968"/>
      <c r="BG856" s="7235"/>
    </row>
    <row customHeight="1" ht="11.25">
      <c r="A857" s="1312" t="s">
        <v>1069</v>
      </c>
      <c r="B857" s="1312"/>
      <c r="C857" s="1312"/>
      <c r="D857" s="1306"/>
      <c r="E857" s="1316"/>
      <c r="F857" s="1974"/>
      <c r="G857" s="1975"/>
      <c r="H857" s="2674" t="s">
        <v>91</v>
      </c>
      <c r="I857" s="2675"/>
      <c r="J857" s="2644"/>
      <c r="K857" s="2676"/>
      <c r="L857" s="2266"/>
      <c r="M857" s="2267"/>
      <c r="N857" s="2667"/>
      <c r="O857" s="2668"/>
      <c r="P857" s="2671"/>
      <c r="Q857" s="8645"/>
      <c r="R857" s="2672"/>
      <c r="S857" s="2673"/>
      <c r="T857" s="2672"/>
      <c r="U857" s="2672"/>
      <c r="V857" s="2672"/>
      <c r="W857" s="2672"/>
      <c r="X857" s="2672"/>
      <c r="Y857" s="2672"/>
      <c r="Z857" s="1321"/>
      <c r="AA857" s="1322"/>
      <c r="AB857" s="1387" t="s">
        <v>1107</v>
      </c>
      <c r="AC857" s="1326"/>
      <c r="AD857" s="1326"/>
      <c r="AE857" s="1328"/>
      <c r="AF857" s="2665"/>
      <c r="AG857" s="2666"/>
      <c r="AH857" s="2666"/>
      <c r="AI857" s="8647"/>
      <c r="AJ857" s="2666"/>
      <c r="AK857" s="2666"/>
      <c r="AL857" s="2131"/>
      <c r="AM857" s="1968"/>
      <c r="AN857" s="1968"/>
      <c r="AO857" s="1968"/>
      <c r="AP857" s="1968"/>
      <c r="AQ857" s="1968"/>
      <c r="AR857" s="1968"/>
      <c r="AS857" s="1968"/>
      <c r="AT857" s="1968"/>
      <c r="AU857" s="1968"/>
      <c r="AV857" s="1968"/>
      <c r="AW857" s="1968"/>
      <c r="AX857" s="1968"/>
      <c r="AY857" s="1968"/>
      <c r="AZ857" s="1968"/>
      <c r="BA857" s="1968"/>
      <c r="BB857" s="1968"/>
      <c r="BC857" s="1968"/>
      <c r="BD857" s="1968"/>
      <c r="BE857" s="1968"/>
      <c r="BF857" s="1968"/>
      <c r="BG857" s="7235"/>
    </row>
    <row customHeight="1" ht="11.25">
      <c r="A858" s="1312" t="s">
        <v>1069</v>
      </c>
      <c r="B858" s="1312"/>
      <c r="C858" s="1312"/>
      <c r="D858" s="1306"/>
      <c r="E858" s="1316"/>
      <c r="F858" s="1974"/>
      <c r="G858" s="1975"/>
      <c r="H858" s="2674" t="s">
        <v>91</v>
      </c>
      <c r="I858" s="2675"/>
      <c r="J858" s="2644"/>
      <c r="K858" s="2676"/>
      <c r="L858" s="2266"/>
      <c r="M858" s="2267"/>
      <c r="N858" s="1321"/>
      <c r="O858" s="1322"/>
      <c r="P858" s="1314" t="s">
        <v>1108</v>
      </c>
      <c r="Q858" s="1322"/>
      <c r="R858" s="1322"/>
      <c r="S858" s="1322"/>
      <c r="T858" s="1322"/>
      <c r="U858" s="1322"/>
      <c r="V858" s="1322"/>
      <c r="W858" s="1322"/>
      <c r="X858" s="1322"/>
      <c r="Y858" s="1322"/>
      <c r="Z858" s="1322"/>
      <c r="AA858" s="1322"/>
      <c r="AB858" s="1322"/>
      <c r="AC858" s="1322"/>
      <c r="AD858" s="1322"/>
      <c r="AE858" s="1329"/>
      <c r="AF858" s="2665"/>
      <c r="AG858" s="2666"/>
      <c r="AH858" s="2666"/>
      <c r="AI858" s="8647"/>
      <c r="AJ858" s="2666"/>
      <c r="AK858" s="2666"/>
      <c r="AL858" s="2131"/>
      <c r="AM858" s="1968"/>
      <c r="AN858" s="1968"/>
      <c r="AO858" s="1968"/>
      <c r="AP858" s="1968"/>
      <c r="AQ858" s="1968"/>
      <c r="AR858" s="1968"/>
      <c r="AS858" s="1968"/>
      <c r="AT858" s="1968"/>
      <c r="AU858" s="1968"/>
      <c r="AV858" s="1968"/>
      <c r="AW858" s="1968"/>
      <c r="AX858" s="1968"/>
      <c r="AY858" s="1968"/>
      <c r="AZ858" s="1968"/>
      <c r="BA858" s="1968"/>
      <c r="BB858" s="1968"/>
      <c r="BC858" s="1968"/>
      <c r="BD858" s="1968"/>
      <c r="BE858" s="1968"/>
      <c r="BF858" s="1968"/>
      <c r="BG858" s="7235"/>
    </row>
    <row customHeight="1" ht="11.25">
      <c r="A859" s="1312" t="s">
        <v>1069</v>
      </c>
      <c r="B859" s="1312" t="s">
        <v>1198</v>
      </c>
      <c r="C859" s="1312"/>
      <c r="D859" s="1306"/>
      <c r="E859" s="1316"/>
      <c r="F859" s="1974"/>
      <c r="G859" s="7143" t="s">
        <v>106</v>
      </c>
      <c r="H859" s="2674" t="s">
        <v>92</v>
      </c>
      <c r="I859" s="2675" t="s">
        <v>1200</v>
      </c>
      <c r="J859" s="2644" t="s">
        <v>1201</v>
      </c>
      <c r="K859" s="2676" t="s">
        <v>1336</v>
      </c>
      <c r="L859" s="2266" t="s">
        <v>19</v>
      </c>
      <c r="M859" s="2267"/>
      <c r="N859" s="2129"/>
      <c r="O859" s="1323" t="s">
        <v>398</v>
      </c>
      <c r="P859" s="1324"/>
      <c r="Q859" s="1324"/>
      <c r="R859" s="1324"/>
      <c r="S859" s="1324"/>
      <c r="T859" s="1324"/>
      <c r="U859" s="1324"/>
      <c r="V859" s="1324"/>
      <c r="W859" s="1324"/>
      <c r="X859" s="1324"/>
      <c r="Y859" s="1324"/>
      <c r="Z859" s="1324"/>
      <c r="AA859" s="1324"/>
      <c r="AB859" s="1324"/>
      <c r="AC859" s="1324"/>
      <c r="AD859" s="1324"/>
      <c r="AE859" s="1324"/>
      <c r="AF859" s="2665">
        <v>2032</v>
      </c>
      <c r="AG859" s="2666" t="s">
        <v>1103</v>
      </c>
      <c r="AH859" s="2666" t="s">
        <v>1337</v>
      </c>
      <c r="AI859" s="8647"/>
      <c r="AJ859" s="2666" t="s">
        <v>1105</v>
      </c>
      <c r="AK859" s="2666" t="s">
        <v>1105</v>
      </c>
      <c r="AL859" s="2131"/>
      <c r="AM859" s="1968"/>
      <c r="AN859" s="1968"/>
      <c r="AO859" s="1968"/>
      <c r="AP859" s="1968"/>
      <c r="AQ859" s="1968"/>
      <c r="AR859" s="1968"/>
      <c r="AS859" s="1968"/>
      <c r="AT859" s="1968"/>
      <c r="AU859" s="1968"/>
      <c r="AV859" s="1968"/>
      <c r="AW859" s="1968"/>
      <c r="AX859" s="1968"/>
      <c r="AY859" s="1968"/>
      <c r="AZ859" s="1968"/>
      <c r="BA859" s="1968"/>
      <c r="BB859" s="1968"/>
      <c r="BC859" s="1968"/>
      <c r="BD859" s="1968"/>
      <c r="BE859" s="1968"/>
      <c r="BF859" s="1968"/>
      <c r="BG859" s="7235"/>
    </row>
    <row customHeight="1" ht="11.25">
      <c r="A860" s="1312" t="s">
        <v>1069</v>
      </c>
      <c r="B860" s="1312"/>
      <c r="C860" s="1312"/>
      <c r="D860" s="1306"/>
      <c r="E860" s="1316"/>
      <c r="F860" s="1974"/>
      <c r="G860" s="1975"/>
      <c r="H860" s="2674" t="s">
        <v>92</v>
      </c>
      <c r="I860" s="2675"/>
      <c r="J860" s="2644"/>
      <c r="K860" s="2676"/>
      <c r="L860" s="2266"/>
      <c r="M860" s="2267"/>
      <c r="N860" s="2667"/>
      <c r="O860" s="2668">
        <v>1</v>
      </c>
      <c r="P860" s="2669" t="s">
        <v>63</v>
      </c>
      <c r="Q860" s="8645" t="s">
        <v>1208</v>
      </c>
      <c r="R860" s="8646" t="s">
        <v>1114</v>
      </c>
      <c r="S860" s="8646" t="s">
        <v>113</v>
      </c>
      <c r="T860" s="8646" t="s">
        <v>113</v>
      </c>
      <c r="U860" s="8646" t="s">
        <v>114</v>
      </c>
      <c r="V860" s="8646" t="s">
        <v>1115</v>
      </c>
      <c r="W860" s="8646" t="s">
        <v>1116</v>
      </c>
      <c r="X860" s="8646" t="s">
        <v>1209</v>
      </c>
      <c r="Y860" s="8646" t="s">
        <v>121</v>
      </c>
      <c r="Z860" s="1321"/>
      <c r="AA860" s="1322"/>
      <c r="AB860" s="1322"/>
      <c r="AC860" s="1326"/>
      <c r="AD860" s="1326"/>
      <c r="AE860" s="1327"/>
      <c r="AF860" s="2665"/>
      <c r="AG860" s="2666"/>
      <c r="AH860" s="2666"/>
      <c r="AI860" s="8647"/>
      <c r="AJ860" s="2666"/>
      <c r="AK860" s="2666"/>
      <c r="AL860" s="2131"/>
      <c r="AM860" s="1968"/>
      <c r="AN860" s="1968"/>
      <c r="AO860" s="1968"/>
      <c r="AP860" s="1968"/>
      <c r="AQ860" s="1968"/>
      <c r="AR860" s="1968"/>
      <c r="AS860" s="1968"/>
      <c r="AT860" s="1968"/>
      <c r="AU860" s="1968"/>
      <c r="AV860" s="1968"/>
      <c r="AW860" s="1968"/>
      <c r="AX860" s="1968"/>
      <c r="AY860" s="1968"/>
      <c r="AZ860" s="1968"/>
      <c r="BA860" s="1968"/>
      <c r="BB860" s="1968"/>
      <c r="BC860" s="1968"/>
      <c r="BD860" s="1968"/>
      <c r="BE860" s="1968"/>
      <c r="BF860" s="1968"/>
      <c r="BG860" s="7235"/>
    </row>
    <row customHeight="1" ht="11.25">
      <c r="A861" s="1312" t="s">
        <v>1069</v>
      </c>
      <c r="B861" s="1312"/>
      <c r="C861" s="1312"/>
      <c r="D861" s="1306"/>
      <c r="E861" s="1316"/>
      <c r="F861" s="1974"/>
      <c r="G861" s="1975"/>
      <c r="H861" s="2674" t="s">
        <v>92</v>
      </c>
      <c r="I861" s="2675"/>
      <c r="J861" s="2644"/>
      <c r="K861" s="2676"/>
      <c r="L861" s="2266"/>
      <c r="M861" s="2267"/>
      <c r="N861" s="2667"/>
      <c r="O861" s="2668"/>
      <c r="P861" s="2670"/>
      <c r="Q861" s="8645"/>
      <c r="R861" s="2672"/>
      <c r="S861" s="2673"/>
      <c r="T861" s="2672"/>
      <c r="U861" s="2672"/>
      <c r="V861" s="2672"/>
      <c r="W861" s="2672"/>
      <c r="X861" s="2672"/>
      <c r="Y861" s="2672"/>
      <c r="Z861" s="1973"/>
      <c r="AA861" s="1939">
        <v>1</v>
      </c>
      <c r="AB861" s="1325" t="s">
        <v>1106</v>
      </c>
      <c r="AC861" s="1315">
        <v>69113</v>
      </c>
      <c r="AD861" s="1325" t="str">
        <f>AB861</f>
        <v>  Прибыль направляемая на инвестиции</v>
      </c>
      <c r="AE861" s="1315">
        <v>0</v>
      </c>
      <c r="AF861" s="2665"/>
      <c r="AG861" s="2666"/>
      <c r="AH861" s="2666"/>
      <c r="AI861" s="8647"/>
      <c r="AJ861" s="2666"/>
      <c r="AK861" s="2666"/>
      <c r="AL861" s="2131"/>
      <c r="AM861" s="1968"/>
      <c r="AN861" s="1968"/>
      <c r="AO861" s="1968"/>
      <c r="AP861" s="1968"/>
      <c r="AQ861" s="1968"/>
      <c r="AR861" s="1968"/>
      <c r="AS861" s="1968"/>
      <c r="AT861" s="1968"/>
      <c r="AU861" s="1968"/>
      <c r="AV861" s="1968"/>
      <c r="AW861" s="1968"/>
      <c r="AX861" s="1968"/>
      <c r="AY861" s="1968"/>
      <c r="AZ861" s="1968"/>
      <c r="BA861" s="1968"/>
      <c r="BB861" s="1968"/>
      <c r="BC861" s="1968"/>
      <c r="BD861" s="1968"/>
      <c r="BE861" s="1968"/>
      <c r="BF861" s="1968"/>
      <c r="BG861" s="7235"/>
    </row>
    <row customHeight="1" ht="11.25">
      <c r="A862" s="1312" t="s">
        <v>1069</v>
      </c>
      <c r="B862" s="1312"/>
      <c r="C862" s="1312"/>
      <c r="D862" s="1306"/>
      <c r="E862" s="1316"/>
      <c r="F862" s="1975"/>
      <c r="G862" s="1975"/>
      <c r="H862" s="1975"/>
      <c r="I862" s="1975"/>
      <c r="J862" s="1975"/>
      <c r="K862" s="1975"/>
      <c r="L862" s="1975"/>
      <c r="M862" s="1975"/>
      <c r="N862" s="1975"/>
      <c r="O862" s="1975"/>
      <c r="P862" s="1975"/>
      <c r="Q862" s="1975"/>
      <c r="R862" s="1975"/>
      <c r="S862" s="1975"/>
      <c r="T862" s="1975"/>
      <c r="U862" s="1975"/>
      <c r="V862" s="1975"/>
      <c r="W862" s="1975"/>
      <c r="X862" s="1975"/>
      <c r="Y862" s="1975"/>
      <c r="Z862" s="7143" t="s">
        <v>106</v>
      </c>
      <c r="AA862" s="1959" t="s">
        <v>105</v>
      </c>
      <c r="AB862" s="1325" t="s">
        <v>1131</v>
      </c>
      <c r="AC862" s="1315">
        <v>32967</v>
      </c>
      <c r="AD862" s="1325" t="str">
        <f>AB862</f>
        <v>      Прочие амортизационные отчисления</v>
      </c>
      <c r="AE862" s="1315">
        <v>0</v>
      </c>
      <c r="AF862" s="2232"/>
      <c r="AG862" s="1904"/>
      <c r="AH862" s="1904"/>
      <c r="AI862" s="2232"/>
      <c r="AJ862" s="1904"/>
      <c r="AK862" s="2130"/>
      <c r="AL862" s="2131"/>
      <c r="AM862" s="1968"/>
      <c r="AN862" s="1968"/>
      <c r="AO862" s="1968"/>
      <c r="AP862" s="1968"/>
      <c r="AQ862" s="1968"/>
      <c r="AR862" s="1968"/>
      <c r="AS862" s="1968"/>
      <c r="AT862" s="1968"/>
      <c r="AU862" s="1968"/>
      <c r="AV862" s="1968"/>
      <c r="AW862" s="1968"/>
      <c r="AX862" s="1968"/>
      <c r="AY862" s="1968"/>
      <c r="AZ862" s="1968"/>
      <c r="BA862" s="1968"/>
      <c r="BB862" s="1968"/>
      <c r="BC862" s="1968"/>
      <c r="BD862" s="1968"/>
      <c r="BE862" s="1968"/>
      <c r="BF862" s="1968"/>
      <c r="BG862" s="7235"/>
    </row>
    <row customHeight="1" ht="11.25">
      <c r="A863" s="1312" t="s">
        <v>1069</v>
      </c>
      <c r="B863" s="1312"/>
      <c r="C863" s="1312"/>
      <c r="D863" s="1306"/>
      <c r="E863" s="1316"/>
      <c r="F863" s="1974"/>
      <c r="G863" s="1975"/>
      <c r="H863" s="2674" t="s">
        <v>92</v>
      </c>
      <c r="I863" s="2675"/>
      <c r="J863" s="2644"/>
      <c r="K863" s="2676"/>
      <c r="L863" s="2266"/>
      <c r="M863" s="2267"/>
      <c r="N863" s="2667"/>
      <c r="O863" s="2668"/>
      <c r="P863" s="2671"/>
      <c r="Q863" s="8645"/>
      <c r="R863" s="2672"/>
      <c r="S863" s="2673"/>
      <c r="T863" s="2672"/>
      <c r="U863" s="2672"/>
      <c r="V863" s="2672"/>
      <c r="W863" s="2672"/>
      <c r="X863" s="2672"/>
      <c r="Y863" s="2672"/>
      <c r="Z863" s="1321"/>
      <c r="AA863" s="1322"/>
      <c r="AB863" s="1387" t="s">
        <v>1107</v>
      </c>
      <c r="AC863" s="1326"/>
      <c r="AD863" s="1326"/>
      <c r="AE863" s="1328"/>
      <c r="AF863" s="2665"/>
      <c r="AG863" s="2666"/>
      <c r="AH863" s="2666"/>
      <c r="AI863" s="8647"/>
      <c r="AJ863" s="2666"/>
      <c r="AK863" s="2666"/>
      <c r="AL863" s="2131"/>
      <c r="AM863" s="1968"/>
      <c r="AN863" s="1968"/>
      <c r="AO863" s="1968"/>
      <c r="AP863" s="1968"/>
      <c r="AQ863" s="1968"/>
      <c r="AR863" s="1968"/>
      <c r="AS863" s="1968"/>
      <c r="AT863" s="1968"/>
      <c r="AU863" s="1968"/>
      <c r="AV863" s="1968"/>
      <c r="AW863" s="1968"/>
      <c r="AX863" s="1968"/>
      <c r="AY863" s="1968"/>
      <c r="AZ863" s="1968"/>
      <c r="BA863" s="1968"/>
      <c r="BB863" s="1968"/>
      <c r="BC863" s="1968"/>
      <c r="BD863" s="1968"/>
      <c r="BE863" s="1968"/>
      <c r="BF863" s="1968"/>
      <c r="BG863" s="7235"/>
    </row>
    <row customHeight="1" ht="11.25">
      <c r="A864" s="1312" t="s">
        <v>1069</v>
      </c>
      <c r="B864" s="1312"/>
      <c r="C864" s="1312"/>
      <c r="D864" s="1306"/>
      <c r="E864" s="1316"/>
      <c r="F864" s="1974"/>
      <c r="G864" s="1975"/>
      <c r="H864" s="2674" t="s">
        <v>92</v>
      </c>
      <c r="I864" s="2675"/>
      <c r="J864" s="2644"/>
      <c r="K864" s="2676"/>
      <c r="L864" s="2266"/>
      <c r="M864" s="2267"/>
      <c r="N864" s="1321"/>
      <c r="O864" s="1322"/>
      <c r="P864" s="1314" t="s">
        <v>1108</v>
      </c>
      <c r="Q864" s="1322"/>
      <c r="R864" s="1322"/>
      <c r="S864" s="1322"/>
      <c r="T864" s="1322"/>
      <c r="U864" s="1322"/>
      <c r="V864" s="1322"/>
      <c r="W864" s="1322"/>
      <c r="X864" s="1322"/>
      <c r="Y864" s="1322"/>
      <c r="Z864" s="1322"/>
      <c r="AA864" s="1322"/>
      <c r="AB864" s="1322"/>
      <c r="AC864" s="1322"/>
      <c r="AD864" s="1322"/>
      <c r="AE864" s="1329"/>
      <c r="AF864" s="2665"/>
      <c r="AG864" s="2666"/>
      <c r="AH864" s="2666"/>
      <c r="AI864" s="8647"/>
      <c r="AJ864" s="2666"/>
      <c r="AK864" s="2666"/>
      <c r="AL864" s="2131"/>
      <c r="AM864" s="1968"/>
      <c r="AN864" s="1968"/>
      <c r="AO864" s="1968"/>
      <c r="AP864" s="1968"/>
      <c r="AQ864" s="1968"/>
      <c r="AR864" s="1968"/>
      <c r="AS864" s="1968"/>
      <c r="AT864" s="1968"/>
      <c r="AU864" s="1968"/>
      <c r="AV864" s="1968"/>
      <c r="AW864" s="1968"/>
      <c r="AX864" s="1968"/>
      <c r="AY864" s="1968"/>
      <c r="AZ864" s="1968"/>
      <c r="BA864" s="1968"/>
      <c r="BB864" s="1968"/>
      <c r="BC864" s="1968"/>
      <c r="BD864" s="1968"/>
      <c r="BE864" s="1968"/>
      <c r="BF864" s="1968"/>
      <c r="BG864" s="7235"/>
    </row>
    <row customHeight="1" ht="11.25">
      <c r="A865" s="1312" t="s">
        <v>1069</v>
      </c>
      <c r="B865" s="1312" t="s">
        <v>1198</v>
      </c>
      <c r="C865" s="1312"/>
      <c r="D865" s="1306"/>
      <c r="E865" s="1316"/>
      <c r="F865" s="1974"/>
      <c r="G865" s="7143" t="s">
        <v>106</v>
      </c>
      <c r="H865" s="2674" t="s">
        <v>122</v>
      </c>
      <c r="I865" s="2675" t="s">
        <v>1200</v>
      </c>
      <c r="J865" s="2644" t="s">
        <v>1201</v>
      </c>
      <c r="K865" s="2676" t="s">
        <v>1338</v>
      </c>
      <c r="L865" s="2266" t="s">
        <v>19</v>
      </c>
      <c r="M865" s="2267"/>
      <c r="N865" s="2129"/>
      <c r="O865" s="1323" t="s">
        <v>398</v>
      </c>
      <c r="P865" s="1324"/>
      <c r="Q865" s="1324"/>
      <c r="R865" s="1324"/>
      <c r="S865" s="1324"/>
      <c r="T865" s="1324"/>
      <c r="U865" s="1324"/>
      <c r="V865" s="1324"/>
      <c r="W865" s="1324"/>
      <c r="X865" s="1324"/>
      <c r="Y865" s="1324"/>
      <c r="Z865" s="1324"/>
      <c r="AA865" s="1324"/>
      <c r="AB865" s="1324"/>
      <c r="AC865" s="1324"/>
      <c r="AD865" s="1324"/>
      <c r="AE865" s="1324"/>
      <c r="AF865" s="2665">
        <v>2029</v>
      </c>
      <c r="AG865" s="2666" t="s">
        <v>1103</v>
      </c>
      <c r="AH865" s="2666" t="s">
        <v>1215</v>
      </c>
      <c r="AI865" s="8647"/>
      <c r="AJ865" s="2666" t="s">
        <v>1105</v>
      </c>
      <c r="AK865" s="2666" t="s">
        <v>1105</v>
      </c>
      <c r="AL865" s="2131"/>
      <c r="AM865" s="1968"/>
      <c r="AN865" s="1968"/>
      <c r="AO865" s="1968"/>
      <c r="AP865" s="1968"/>
      <c r="AQ865" s="1968"/>
      <c r="AR865" s="1968"/>
      <c r="AS865" s="1968"/>
      <c r="AT865" s="1968"/>
      <c r="AU865" s="1968"/>
      <c r="AV865" s="1968"/>
      <c r="AW865" s="1968"/>
      <c r="AX865" s="1968"/>
      <c r="AY865" s="1968"/>
      <c r="AZ865" s="1968"/>
      <c r="BA865" s="1968"/>
      <c r="BB865" s="1968"/>
      <c r="BC865" s="1968"/>
      <c r="BD865" s="1968"/>
      <c r="BE865" s="1968"/>
      <c r="BF865" s="1968"/>
      <c r="BG865" s="7235"/>
    </row>
    <row customHeight="1" ht="11.25">
      <c r="A866" s="1312" t="s">
        <v>1069</v>
      </c>
      <c r="B866" s="1312"/>
      <c r="C866" s="1312"/>
      <c r="D866" s="1306"/>
      <c r="E866" s="1316"/>
      <c r="F866" s="1974"/>
      <c r="G866" s="1975"/>
      <c r="H866" s="2674" t="s">
        <v>122</v>
      </c>
      <c r="I866" s="2675"/>
      <c r="J866" s="2644"/>
      <c r="K866" s="2676"/>
      <c r="L866" s="2266"/>
      <c r="M866" s="2267"/>
      <c r="N866" s="2667"/>
      <c r="O866" s="2668">
        <v>1</v>
      </c>
      <c r="P866" s="2669" t="s">
        <v>63</v>
      </c>
      <c r="Q866" s="8645" t="s">
        <v>133</v>
      </c>
      <c r="R866" s="8646" t="s">
        <v>1114</v>
      </c>
      <c r="S866" s="8646" t="s">
        <v>109</v>
      </c>
      <c r="T866" s="8646" t="s">
        <v>109</v>
      </c>
      <c r="U866" s="8646" t="s">
        <v>110</v>
      </c>
      <c r="V866" s="8646" t="s">
        <v>1192</v>
      </c>
      <c r="W866" s="8646" t="s">
        <v>1193</v>
      </c>
      <c r="X866" s="8646" t="s">
        <v>1194</v>
      </c>
      <c r="Y866" s="8646" t="s">
        <v>1195</v>
      </c>
      <c r="Z866" s="1321"/>
      <c r="AA866" s="1322"/>
      <c r="AB866" s="1322"/>
      <c r="AC866" s="1326"/>
      <c r="AD866" s="1326"/>
      <c r="AE866" s="1327"/>
      <c r="AF866" s="2665"/>
      <c r="AG866" s="2666"/>
      <c r="AH866" s="2666"/>
      <c r="AI866" s="8647"/>
      <c r="AJ866" s="2666"/>
      <c r="AK866" s="2666"/>
      <c r="AL866" s="2131"/>
      <c r="AM866" s="1968"/>
      <c r="AN866" s="1968"/>
      <c r="AO866" s="1968"/>
      <c r="AP866" s="1968"/>
      <c r="AQ866" s="1968"/>
      <c r="AR866" s="1968"/>
      <c r="AS866" s="1968"/>
      <c r="AT866" s="1968"/>
      <c r="AU866" s="1968"/>
      <c r="AV866" s="1968"/>
      <c r="AW866" s="1968"/>
      <c r="AX866" s="1968"/>
      <c r="AY866" s="1968"/>
      <c r="AZ866" s="1968"/>
      <c r="BA866" s="1968"/>
      <c r="BB866" s="1968"/>
      <c r="BC866" s="1968"/>
      <c r="BD866" s="1968"/>
      <c r="BE866" s="1968"/>
      <c r="BF866" s="1968"/>
      <c r="BG866" s="7235"/>
    </row>
    <row customHeight="1" ht="11.25">
      <c r="A867" s="1312" t="s">
        <v>1069</v>
      </c>
      <c r="B867" s="1312"/>
      <c r="C867" s="1312"/>
      <c r="D867" s="1306"/>
      <c r="E867" s="1316"/>
      <c r="F867" s="1974"/>
      <c r="G867" s="1975"/>
      <c r="H867" s="2674" t="s">
        <v>122</v>
      </c>
      <c r="I867" s="2675"/>
      <c r="J867" s="2644"/>
      <c r="K867" s="2676"/>
      <c r="L867" s="2266"/>
      <c r="M867" s="2267"/>
      <c r="N867" s="2667"/>
      <c r="O867" s="2668"/>
      <c r="P867" s="2670"/>
      <c r="Q867" s="8645"/>
      <c r="R867" s="2672"/>
      <c r="S867" s="2673"/>
      <c r="T867" s="2672"/>
      <c r="U867" s="2672"/>
      <c r="V867" s="2672"/>
      <c r="W867" s="2672"/>
      <c r="X867" s="2672"/>
      <c r="Y867" s="2672"/>
      <c r="Z867" s="1973"/>
      <c r="AA867" s="1939">
        <v>1</v>
      </c>
      <c r="AB867" s="1325" t="s">
        <v>1131</v>
      </c>
      <c r="AC867" s="1315">
        <v>3022</v>
      </c>
      <c r="AD867" s="1325" t="str">
        <f>AB867</f>
        <v>      Прочие амортизационные отчисления</v>
      </c>
      <c r="AE867" s="1315">
        <v>0</v>
      </c>
      <c r="AF867" s="2665"/>
      <c r="AG867" s="2666"/>
      <c r="AH867" s="2666"/>
      <c r="AI867" s="8647"/>
      <c r="AJ867" s="2666"/>
      <c r="AK867" s="2666"/>
      <c r="AL867" s="2131"/>
      <c r="AM867" s="1968"/>
      <c r="AN867" s="1968"/>
      <c r="AO867" s="1968"/>
      <c r="AP867" s="1968"/>
      <c r="AQ867" s="1968"/>
      <c r="AR867" s="1968"/>
      <c r="AS867" s="1968"/>
      <c r="AT867" s="1968"/>
      <c r="AU867" s="1968"/>
      <c r="AV867" s="1968"/>
      <c r="AW867" s="1968"/>
      <c r="AX867" s="1968"/>
      <c r="AY867" s="1968"/>
      <c r="AZ867" s="1968"/>
      <c r="BA867" s="1968"/>
      <c r="BB867" s="1968"/>
      <c r="BC867" s="1968"/>
      <c r="BD867" s="1968"/>
      <c r="BE867" s="1968"/>
      <c r="BF867" s="1968"/>
      <c r="BG867" s="7235"/>
    </row>
    <row customHeight="1" ht="11.25">
      <c r="A868" s="1312" t="s">
        <v>1069</v>
      </c>
      <c r="B868" s="1312"/>
      <c r="C868" s="1312"/>
      <c r="D868" s="1306"/>
      <c r="E868" s="1316"/>
      <c r="F868" s="1974"/>
      <c r="G868" s="1975"/>
      <c r="H868" s="2674" t="s">
        <v>122</v>
      </c>
      <c r="I868" s="2675"/>
      <c r="J868" s="2644"/>
      <c r="K868" s="2676"/>
      <c r="L868" s="2266"/>
      <c r="M868" s="2267"/>
      <c r="N868" s="2667"/>
      <c r="O868" s="2668"/>
      <c r="P868" s="2671"/>
      <c r="Q868" s="8645"/>
      <c r="R868" s="2672"/>
      <c r="S868" s="2673"/>
      <c r="T868" s="2672"/>
      <c r="U868" s="2672"/>
      <c r="V868" s="2672"/>
      <c r="W868" s="2672"/>
      <c r="X868" s="2672"/>
      <c r="Y868" s="2672"/>
      <c r="Z868" s="1321"/>
      <c r="AA868" s="1322"/>
      <c r="AB868" s="1387" t="s">
        <v>1107</v>
      </c>
      <c r="AC868" s="1326"/>
      <c r="AD868" s="1326"/>
      <c r="AE868" s="1328"/>
      <c r="AF868" s="2665"/>
      <c r="AG868" s="2666"/>
      <c r="AH868" s="2666"/>
      <c r="AI868" s="8647"/>
      <c r="AJ868" s="2666"/>
      <c r="AK868" s="2666"/>
      <c r="AL868" s="2131"/>
      <c r="AM868" s="1968"/>
      <c r="AN868" s="1968"/>
      <c r="AO868" s="1968"/>
      <c r="AP868" s="1968"/>
      <c r="AQ868" s="1968"/>
      <c r="AR868" s="1968"/>
      <c r="AS868" s="1968"/>
      <c r="AT868" s="1968"/>
      <c r="AU868" s="1968"/>
      <c r="AV868" s="1968"/>
      <c r="AW868" s="1968"/>
      <c r="AX868" s="1968"/>
      <c r="AY868" s="1968"/>
      <c r="AZ868" s="1968"/>
      <c r="BA868" s="1968"/>
      <c r="BB868" s="1968"/>
      <c r="BC868" s="1968"/>
      <c r="BD868" s="1968"/>
      <c r="BE868" s="1968"/>
      <c r="BF868" s="1968"/>
      <c r="BG868" s="7235"/>
    </row>
    <row customHeight="1" ht="11.25">
      <c r="A869" s="1312" t="s">
        <v>1069</v>
      </c>
      <c r="B869" s="1312"/>
      <c r="C869" s="1312"/>
      <c r="D869" s="1306"/>
      <c r="E869" s="1316"/>
      <c r="F869" s="1974"/>
      <c r="G869" s="1975"/>
      <c r="H869" s="2674" t="s">
        <v>122</v>
      </c>
      <c r="I869" s="2675"/>
      <c r="J869" s="2644"/>
      <c r="K869" s="2676"/>
      <c r="L869" s="2266"/>
      <c r="M869" s="2267"/>
      <c r="N869" s="1321"/>
      <c r="O869" s="1322"/>
      <c r="P869" s="1314" t="s">
        <v>1108</v>
      </c>
      <c r="Q869" s="1322"/>
      <c r="R869" s="1322"/>
      <c r="S869" s="1322"/>
      <c r="T869" s="1322"/>
      <c r="U869" s="1322"/>
      <c r="V869" s="1322"/>
      <c r="W869" s="1322"/>
      <c r="X869" s="1322"/>
      <c r="Y869" s="1322"/>
      <c r="Z869" s="1322"/>
      <c r="AA869" s="1322"/>
      <c r="AB869" s="1322"/>
      <c r="AC869" s="1322"/>
      <c r="AD869" s="1322"/>
      <c r="AE869" s="1329"/>
      <c r="AF869" s="2665"/>
      <c r="AG869" s="2666"/>
      <c r="AH869" s="2666"/>
      <c r="AI869" s="8647"/>
      <c r="AJ869" s="2666"/>
      <c r="AK869" s="2666"/>
      <c r="AL869" s="2131"/>
      <c r="AM869" s="1968"/>
      <c r="AN869" s="1968"/>
      <c r="AO869" s="1968"/>
      <c r="AP869" s="1968"/>
      <c r="AQ869" s="1968"/>
      <c r="AR869" s="1968"/>
      <c r="AS869" s="1968"/>
      <c r="AT869" s="1968"/>
      <c r="AU869" s="1968"/>
      <c r="AV869" s="1968"/>
      <c r="AW869" s="1968"/>
      <c r="AX869" s="1968"/>
      <c r="AY869" s="1968"/>
      <c r="AZ869" s="1968"/>
      <c r="BA869" s="1968"/>
      <c r="BB869" s="1968"/>
      <c r="BC869" s="1968"/>
      <c r="BD869" s="1968"/>
      <c r="BE869" s="1968"/>
      <c r="BF869" s="1968"/>
      <c r="BG869" s="7235"/>
    </row>
    <row customHeight="1" ht="11.25">
      <c r="A870" s="1312" t="s">
        <v>1069</v>
      </c>
      <c r="B870" s="1312" t="s">
        <v>1198</v>
      </c>
      <c r="C870" s="1312"/>
      <c r="D870" s="1306"/>
      <c r="E870" s="1316"/>
      <c r="F870" s="1974"/>
      <c r="G870" s="7143" t="s">
        <v>106</v>
      </c>
      <c r="H870" s="2674" t="s">
        <v>93</v>
      </c>
      <c r="I870" s="2675" t="s">
        <v>1200</v>
      </c>
      <c r="J870" s="2644" t="s">
        <v>1201</v>
      </c>
      <c r="K870" s="2676" t="s">
        <v>1339</v>
      </c>
      <c r="L870" s="2266" t="s">
        <v>19</v>
      </c>
      <c r="M870" s="2267"/>
      <c r="N870" s="2129"/>
      <c r="O870" s="1323" t="s">
        <v>398</v>
      </c>
      <c r="P870" s="1324"/>
      <c r="Q870" s="1324"/>
      <c r="R870" s="1324"/>
      <c r="S870" s="1324"/>
      <c r="T870" s="1324"/>
      <c r="U870" s="1324"/>
      <c r="V870" s="1324"/>
      <c r="W870" s="1324"/>
      <c r="X870" s="1324"/>
      <c r="Y870" s="1324"/>
      <c r="Z870" s="1324"/>
      <c r="AA870" s="1324"/>
      <c r="AB870" s="1324"/>
      <c r="AC870" s="1324"/>
      <c r="AD870" s="1324"/>
      <c r="AE870" s="1324"/>
      <c r="AF870" s="2665">
        <v>2029</v>
      </c>
      <c r="AG870" s="2666" t="s">
        <v>1103</v>
      </c>
      <c r="AH870" s="2666" t="s">
        <v>1215</v>
      </c>
      <c r="AI870" s="8647"/>
      <c r="AJ870" s="2666" t="s">
        <v>1105</v>
      </c>
      <c r="AK870" s="2666" t="s">
        <v>1105</v>
      </c>
      <c r="AL870" s="2131"/>
      <c r="AM870" s="1968"/>
      <c r="AN870" s="1968"/>
      <c r="AO870" s="1968"/>
      <c r="AP870" s="1968"/>
      <c r="AQ870" s="1968"/>
      <c r="AR870" s="1968"/>
      <c r="AS870" s="1968"/>
      <c r="AT870" s="1968"/>
      <c r="AU870" s="1968"/>
      <c r="AV870" s="1968"/>
      <c r="AW870" s="1968"/>
      <c r="AX870" s="1968"/>
      <c r="AY870" s="1968"/>
      <c r="AZ870" s="1968"/>
      <c r="BA870" s="1968"/>
      <c r="BB870" s="1968"/>
      <c r="BC870" s="1968"/>
      <c r="BD870" s="1968"/>
      <c r="BE870" s="1968"/>
      <c r="BF870" s="1968"/>
      <c r="BG870" s="7235"/>
    </row>
    <row customHeight="1" ht="11.25">
      <c r="A871" s="1312" t="s">
        <v>1069</v>
      </c>
      <c r="B871" s="1312"/>
      <c r="C871" s="1312"/>
      <c r="D871" s="1306"/>
      <c r="E871" s="1316"/>
      <c r="F871" s="1974"/>
      <c r="G871" s="1975"/>
      <c r="H871" s="2674" t="s">
        <v>93</v>
      </c>
      <c r="I871" s="2675"/>
      <c r="J871" s="2644"/>
      <c r="K871" s="2676"/>
      <c r="L871" s="2266"/>
      <c r="M871" s="2267"/>
      <c r="N871" s="2667"/>
      <c r="O871" s="2668">
        <v>1</v>
      </c>
      <c r="P871" s="2669" t="s">
        <v>63</v>
      </c>
      <c r="Q871" s="8645" t="s">
        <v>1176</v>
      </c>
      <c r="R871" s="8646" t="s">
        <v>1177</v>
      </c>
      <c r="S871" s="8646" t="s">
        <v>113</v>
      </c>
      <c r="T871" s="8646" t="s">
        <v>113</v>
      </c>
      <c r="U871" s="8646" t="s">
        <v>114</v>
      </c>
      <c r="V871" s="8646" t="s">
        <v>1115</v>
      </c>
      <c r="W871" s="8646" t="s">
        <v>1116</v>
      </c>
      <c r="X871" s="8646" t="s">
        <v>1178</v>
      </c>
      <c r="Y871" s="8646" t="s">
        <v>1178</v>
      </c>
      <c r="Z871" s="1321"/>
      <c r="AA871" s="1322"/>
      <c r="AB871" s="1322"/>
      <c r="AC871" s="1326"/>
      <c r="AD871" s="1326"/>
      <c r="AE871" s="1327"/>
      <c r="AF871" s="2665"/>
      <c r="AG871" s="2666"/>
      <c r="AH871" s="2666"/>
      <c r="AI871" s="8647"/>
      <c r="AJ871" s="2666"/>
      <c r="AK871" s="2666"/>
      <c r="AL871" s="2131"/>
      <c r="AM871" s="1968"/>
      <c r="AN871" s="1968"/>
      <c r="AO871" s="1968"/>
      <c r="AP871" s="1968"/>
      <c r="AQ871" s="1968"/>
      <c r="AR871" s="1968"/>
      <c r="AS871" s="1968"/>
      <c r="AT871" s="1968"/>
      <c r="AU871" s="1968"/>
      <c r="AV871" s="1968"/>
      <c r="AW871" s="1968"/>
      <c r="AX871" s="1968"/>
      <c r="AY871" s="1968"/>
      <c r="AZ871" s="1968"/>
      <c r="BA871" s="1968"/>
      <c r="BB871" s="1968"/>
      <c r="BC871" s="1968"/>
      <c r="BD871" s="1968"/>
      <c r="BE871" s="1968"/>
      <c r="BF871" s="1968"/>
      <c r="BG871" s="7235"/>
    </row>
    <row customHeight="1" ht="11.25">
      <c r="A872" s="1312" t="s">
        <v>1069</v>
      </c>
      <c r="B872" s="1312"/>
      <c r="C872" s="1312"/>
      <c r="D872" s="1306"/>
      <c r="E872" s="1316"/>
      <c r="F872" s="1974"/>
      <c r="G872" s="1975"/>
      <c r="H872" s="2674" t="s">
        <v>93</v>
      </c>
      <c r="I872" s="2675"/>
      <c r="J872" s="2644"/>
      <c r="K872" s="2676"/>
      <c r="L872" s="2266"/>
      <c r="M872" s="2267"/>
      <c r="N872" s="2667"/>
      <c r="O872" s="2668"/>
      <c r="P872" s="2670"/>
      <c r="Q872" s="8645"/>
      <c r="R872" s="2672"/>
      <c r="S872" s="2673"/>
      <c r="T872" s="2672"/>
      <c r="U872" s="2672"/>
      <c r="V872" s="2672"/>
      <c r="W872" s="2672"/>
      <c r="X872" s="2672"/>
      <c r="Y872" s="2672"/>
      <c r="Z872" s="1973"/>
      <c r="AA872" s="1939">
        <v>1</v>
      </c>
      <c r="AB872" s="1325" t="s">
        <v>1106</v>
      </c>
      <c r="AC872" s="1315">
        <v>44232</v>
      </c>
      <c r="AD872" s="1325" t="str">
        <f>AB872</f>
        <v>  Прибыль направляемая на инвестиции</v>
      </c>
      <c r="AE872" s="1315">
        <v>0</v>
      </c>
      <c r="AF872" s="2665"/>
      <c r="AG872" s="2666"/>
      <c r="AH872" s="2666"/>
      <c r="AI872" s="8647"/>
      <c r="AJ872" s="2666"/>
      <c r="AK872" s="2666"/>
      <c r="AL872" s="2131"/>
      <c r="AM872" s="1968"/>
      <c r="AN872" s="1968"/>
      <c r="AO872" s="1968"/>
      <c r="AP872" s="1968"/>
      <c r="AQ872" s="1968"/>
      <c r="AR872" s="1968"/>
      <c r="AS872" s="1968"/>
      <c r="AT872" s="1968"/>
      <c r="AU872" s="1968"/>
      <c r="AV872" s="1968"/>
      <c r="AW872" s="1968"/>
      <c r="AX872" s="1968"/>
      <c r="AY872" s="1968"/>
      <c r="AZ872" s="1968"/>
      <c r="BA872" s="1968"/>
      <c r="BB872" s="1968"/>
      <c r="BC872" s="1968"/>
      <c r="BD872" s="1968"/>
      <c r="BE872" s="1968"/>
      <c r="BF872" s="1968"/>
      <c r="BG872" s="7235"/>
    </row>
    <row customHeight="1" ht="11.25">
      <c r="A873" s="1312" t="s">
        <v>1069</v>
      </c>
      <c r="B873" s="1312"/>
      <c r="C873" s="1312"/>
      <c r="D873" s="1306"/>
      <c r="E873" s="1316"/>
      <c r="F873" s="1974"/>
      <c r="G873" s="1975"/>
      <c r="H873" s="2674" t="s">
        <v>93</v>
      </c>
      <c r="I873" s="2675"/>
      <c r="J873" s="2644"/>
      <c r="K873" s="2676"/>
      <c r="L873" s="2266"/>
      <c r="M873" s="2267"/>
      <c r="N873" s="2667"/>
      <c r="O873" s="2668"/>
      <c r="P873" s="2671"/>
      <c r="Q873" s="8645"/>
      <c r="R873" s="2672"/>
      <c r="S873" s="2673"/>
      <c r="T873" s="2672"/>
      <c r="U873" s="2672"/>
      <c r="V873" s="2672"/>
      <c r="W873" s="2672"/>
      <c r="X873" s="2672"/>
      <c r="Y873" s="2672"/>
      <c r="Z873" s="1321"/>
      <c r="AA873" s="1322"/>
      <c r="AB873" s="1387" t="s">
        <v>1107</v>
      </c>
      <c r="AC873" s="1326"/>
      <c r="AD873" s="1326"/>
      <c r="AE873" s="1328"/>
      <c r="AF873" s="2665"/>
      <c r="AG873" s="2666"/>
      <c r="AH873" s="2666"/>
      <c r="AI873" s="8647"/>
      <c r="AJ873" s="2666"/>
      <c r="AK873" s="2666"/>
      <c r="AL873" s="2131"/>
      <c r="AM873" s="1968"/>
      <c r="AN873" s="1968"/>
      <c r="AO873" s="1968"/>
      <c r="AP873" s="1968"/>
      <c r="AQ873" s="1968"/>
      <c r="AR873" s="1968"/>
      <c r="AS873" s="1968"/>
      <c r="AT873" s="1968"/>
      <c r="AU873" s="1968"/>
      <c r="AV873" s="1968"/>
      <c r="AW873" s="1968"/>
      <c r="AX873" s="1968"/>
      <c r="AY873" s="1968"/>
      <c r="AZ873" s="1968"/>
      <c r="BA873" s="1968"/>
      <c r="BB873" s="1968"/>
      <c r="BC873" s="1968"/>
      <c r="BD873" s="1968"/>
      <c r="BE873" s="1968"/>
      <c r="BF873" s="1968"/>
      <c r="BG873" s="7235"/>
    </row>
    <row customHeight="1" ht="11.25">
      <c r="A874" s="1312" t="s">
        <v>1069</v>
      </c>
      <c r="B874" s="1312"/>
      <c r="C874" s="1312"/>
      <c r="D874" s="1306"/>
      <c r="E874" s="1316"/>
      <c r="F874" s="1974"/>
      <c r="G874" s="1975"/>
      <c r="H874" s="2674" t="s">
        <v>93</v>
      </c>
      <c r="I874" s="2675"/>
      <c r="J874" s="2644"/>
      <c r="K874" s="2676"/>
      <c r="L874" s="2266"/>
      <c r="M874" s="2267"/>
      <c r="N874" s="1321"/>
      <c r="O874" s="1322"/>
      <c r="P874" s="1314" t="s">
        <v>1108</v>
      </c>
      <c r="Q874" s="1322"/>
      <c r="R874" s="1322"/>
      <c r="S874" s="1322"/>
      <c r="T874" s="1322"/>
      <c r="U874" s="1322"/>
      <c r="V874" s="1322"/>
      <c r="W874" s="1322"/>
      <c r="X874" s="1322"/>
      <c r="Y874" s="1322"/>
      <c r="Z874" s="1322"/>
      <c r="AA874" s="1322"/>
      <c r="AB874" s="1322"/>
      <c r="AC874" s="1322"/>
      <c r="AD874" s="1322"/>
      <c r="AE874" s="1329"/>
      <c r="AF874" s="2665"/>
      <c r="AG874" s="2666"/>
      <c r="AH874" s="2666"/>
      <c r="AI874" s="8647"/>
      <c r="AJ874" s="2666"/>
      <c r="AK874" s="2666"/>
      <c r="AL874" s="2131"/>
      <c r="AM874" s="1968"/>
      <c r="AN874" s="1968"/>
      <c r="AO874" s="1968"/>
      <c r="AP874" s="1968"/>
      <c r="AQ874" s="1968"/>
      <c r="AR874" s="1968"/>
      <c r="AS874" s="1968"/>
      <c r="AT874" s="1968"/>
      <c r="AU874" s="1968"/>
      <c r="AV874" s="1968"/>
      <c r="AW874" s="1968"/>
      <c r="AX874" s="1968"/>
      <c r="AY874" s="1968"/>
      <c r="AZ874" s="1968"/>
      <c r="BA874" s="1968"/>
      <c r="BB874" s="1968"/>
      <c r="BC874" s="1968"/>
      <c r="BD874" s="1968"/>
      <c r="BE874" s="1968"/>
      <c r="BF874" s="1968"/>
      <c r="BG874" s="7235"/>
    </row>
    <row customHeight="1" ht="11.25">
      <c r="A875" s="1312" t="s">
        <v>1069</v>
      </c>
      <c r="B875" s="1312" t="s">
        <v>1198</v>
      </c>
      <c r="C875" s="1312"/>
      <c r="D875" s="1306"/>
      <c r="E875" s="1316"/>
      <c r="F875" s="1974"/>
      <c r="G875" s="7143" t="s">
        <v>106</v>
      </c>
      <c r="H875" s="2674" t="s">
        <v>94</v>
      </c>
      <c r="I875" s="2675" t="s">
        <v>1200</v>
      </c>
      <c r="J875" s="2644" t="s">
        <v>1201</v>
      </c>
      <c r="K875" s="2676" t="s">
        <v>1323</v>
      </c>
      <c r="L875" s="2266" t="s">
        <v>19</v>
      </c>
      <c r="M875" s="2267"/>
      <c r="N875" s="2129"/>
      <c r="O875" s="1323" t="s">
        <v>398</v>
      </c>
      <c r="P875" s="1324"/>
      <c r="Q875" s="1324"/>
      <c r="R875" s="1324"/>
      <c r="S875" s="1324"/>
      <c r="T875" s="1324"/>
      <c r="U875" s="1324"/>
      <c r="V875" s="1324"/>
      <c r="W875" s="1324"/>
      <c r="X875" s="1324"/>
      <c r="Y875" s="1324"/>
      <c r="Z875" s="1324"/>
      <c r="AA875" s="1324"/>
      <c r="AB875" s="1324"/>
      <c r="AC875" s="1324"/>
      <c r="AD875" s="1324"/>
      <c r="AE875" s="1324"/>
      <c r="AF875" s="2665">
        <v>2029</v>
      </c>
      <c r="AG875" s="2666" t="s">
        <v>1103</v>
      </c>
      <c r="AH875" s="2666" t="s">
        <v>1215</v>
      </c>
      <c r="AI875" s="8653"/>
      <c r="AJ875" s="2666" t="s">
        <v>1105</v>
      </c>
      <c r="AK875" s="2666" t="s">
        <v>1105</v>
      </c>
      <c r="AL875" s="2131"/>
      <c r="AM875" s="1968"/>
      <c r="AN875" s="1968"/>
      <c r="AO875" s="1968"/>
      <c r="AP875" s="1968"/>
      <c r="AQ875" s="1968"/>
      <c r="AR875" s="1968"/>
      <c r="AS875" s="1968"/>
      <c r="AT875" s="1968"/>
      <c r="AU875" s="1968"/>
      <c r="AV875" s="1968"/>
      <c r="AW875" s="1968"/>
      <c r="AX875" s="1968"/>
      <c r="AY875" s="1968"/>
      <c r="AZ875" s="1968"/>
      <c r="BA875" s="1968"/>
      <c r="BB875" s="1968"/>
      <c r="BC875" s="1968"/>
      <c r="BD875" s="1968"/>
      <c r="BE875" s="1968"/>
      <c r="BF875" s="1968"/>
      <c r="BG875" s="7235"/>
    </row>
    <row customHeight="1" ht="11.25">
      <c r="A876" s="1312" t="s">
        <v>1069</v>
      </c>
      <c r="B876" s="1312"/>
      <c r="C876" s="1312"/>
      <c r="D876" s="1306"/>
      <c r="E876" s="1316"/>
      <c r="F876" s="1974"/>
      <c r="G876" s="1975"/>
      <c r="H876" s="2674" t="s">
        <v>94</v>
      </c>
      <c r="I876" s="2675"/>
      <c r="J876" s="2644"/>
      <c r="K876" s="2676"/>
      <c r="L876" s="2266"/>
      <c r="M876" s="2267"/>
      <c r="N876" s="2667"/>
      <c r="O876" s="2668">
        <v>1</v>
      </c>
      <c r="P876" s="2669" t="s">
        <v>63</v>
      </c>
      <c r="Q876" s="8654" t="s">
        <v>1176</v>
      </c>
      <c r="R876" s="8655" t="s">
        <v>1177</v>
      </c>
      <c r="S876" s="8655" t="s">
        <v>113</v>
      </c>
      <c r="T876" s="8655" t="s">
        <v>113</v>
      </c>
      <c r="U876" s="8655" t="s">
        <v>114</v>
      </c>
      <c r="V876" s="8655" t="s">
        <v>1115</v>
      </c>
      <c r="W876" s="8655" t="s">
        <v>1116</v>
      </c>
      <c r="X876" s="8655" t="s">
        <v>1178</v>
      </c>
      <c r="Y876" s="8655" t="s">
        <v>1178</v>
      </c>
      <c r="Z876" s="1321"/>
      <c r="AA876" s="1322"/>
      <c r="AB876" s="1322"/>
      <c r="AC876" s="1326"/>
      <c r="AD876" s="1326"/>
      <c r="AE876" s="1327"/>
      <c r="AF876" s="2665"/>
      <c r="AG876" s="2666"/>
      <c r="AH876" s="2666"/>
      <c r="AI876" s="8653"/>
      <c r="AJ876" s="2666"/>
      <c r="AK876" s="2666"/>
      <c r="AL876" s="2131"/>
      <c r="AM876" s="1968"/>
      <c r="AN876" s="1968"/>
      <c r="AO876" s="1968"/>
      <c r="AP876" s="1968"/>
      <c r="AQ876" s="1968"/>
      <c r="AR876" s="1968"/>
      <c r="AS876" s="1968"/>
      <c r="AT876" s="1968"/>
      <c r="AU876" s="1968"/>
      <c r="AV876" s="1968"/>
      <c r="AW876" s="1968"/>
      <c r="AX876" s="1968"/>
      <c r="AY876" s="1968"/>
      <c r="AZ876" s="1968"/>
      <c r="BA876" s="1968"/>
      <c r="BB876" s="1968"/>
      <c r="BC876" s="1968"/>
      <c r="BD876" s="1968"/>
      <c r="BE876" s="1968"/>
      <c r="BF876" s="1968"/>
      <c r="BG876" s="7235"/>
    </row>
    <row customHeight="1" ht="11.25">
      <c r="A877" s="1312" t="s">
        <v>1069</v>
      </c>
      <c r="B877" s="1312"/>
      <c r="C877" s="1312"/>
      <c r="D877" s="1306"/>
      <c r="E877" s="1316"/>
      <c r="F877" s="1974"/>
      <c r="G877" s="1975"/>
      <c r="H877" s="2674" t="s">
        <v>94</v>
      </c>
      <c r="I877" s="2675"/>
      <c r="J877" s="2644"/>
      <c r="K877" s="2676"/>
      <c r="L877" s="2266"/>
      <c r="M877" s="2267"/>
      <c r="N877" s="2667"/>
      <c r="O877" s="2668"/>
      <c r="P877" s="2670"/>
      <c r="Q877" s="8654"/>
      <c r="R877" s="2672"/>
      <c r="S877" s="2673"/>
      <c r="T877" s="2672"/>
      <c r="U877" s="2672"/>
      <c r="V877" s="2672"/>
      <c r="W877" s="2672"/>
      <c r="X877" s="2672"/>
      <c r="Y877" s="2672"/>
      <c r="Z877" s="1973"/>
      <c r="AA877" s="1939">
        <v>1</v>
      </c>
      <c r="AB877" s="1325" t="s">
        <v>1106</v>
      </c>
      <c r="AC877" s="1315">
        <v>26837</v>
      </c>
      <c r="AD877" s="1325" t="str">
        <f>AB877</f>
        <v>  Прибыль направляемая на инвестиции</v>
      </c>
      <c r="AE877" s="1315">
        <v>0</v>
      </c>
      <c r="AF877" s="2665"/>
      <c r="AG877" s="2666"/>
      <c r="AH877" s="2666"/>
      <c r="AI877" s="8653"/>
      <c r="AJ877" s="2666"/>
      <c r="AK877" s="2666"/>
      <c r="AL877" s="2131"/>
      <c r="AM877" s="1968"/>
      <c r="AN877" s="1968"/>
      <c r="AO877" s="1968"/>
      <c r="AP877" s="1968"/>
      <c r="AQ877" s="1968"/>
      <c r="AR877" s="1968"/>
      <c r="AS877" s="1968"/>
      <c r="AT877" s="1968"/>
      <c r="AU877" s="1968"/>
      <c r="AV877" s="1968"/>
      <c r="AW877" s="1968"/>
      <c r="AX877" s="1968"/>
      <c r="AY877" s="1968"/>
      <c r="AZ877" s="1968"/>
      <c r="BA877" s="1968"/>
      <c r="BB877" s="1968"/>
      <c r="BC877" s="1968"/>
      <c r="BD877" s="1968"/>
      <c r="BE877" s="1968"/>
      <c r="BF877" s="1968"/>
      <c r="BG877" s="7235"/>
    </row>
    <row customHeight="1" ht="11.25">
      <c r="A878" s="1312" t="s">
        <v>1069</v>
      </c>
      <c r="B878" s="1312"/>
      <c r="C878" s="1312"/>
      <c r="D878" s="1306"/>
      <c r="E878" s="1316"/>
      <c r="F878" s="1974"/>
      <c r="G878" s="1975"/>
      <c r="H878" s="2674" t="s">
        <v>94</v>
      </c>
      <c r="I878" s="2675"/>
      <c r="J878" s="2644"/>
      <c r="K878" s="2676"/>
      <c r="L878" s="2266"/>
      <c r="M878" s="2267"/>
      <c r="N878" s="2667"/>
      <c r="O878" s="2668"/>
      <c r="P878" s="2671"/>
      <c r="Q878" s="8654"/>
      <c r="R878" s="2672"/>
      <c r="S878" s="2673"/>
      <c r="T878" s="2672"/>
      <c r="U878" s="2672"/>
      <c r="V878" s="2672"/>
      <c r="W878" s="2672"/>
      <c r="X878" s="2672"/>
      <c r="Y878" s="2672"/>
      <c r="Z878" s="1321"/>
      <c r="AA878" s="1322"/>
      <c r="AB878" s="1387" t="s">
        <v>1107</v>
      </c>
      <c r="AC878" s="1326"/>
      <c r="AD878" s="1326"/>
      <c r="AE878" s="1328"/>
      <c r="AF878" s="2665"/>
      <c r="AG878" s="2666"/>
      <c r="AH878" s="2666"/>
      <c r="AI878" s="8653"/>
      <c r="AJ878" s="2666"/>
      <c r="AK878" s="2666"/>
      <c r="AL878" s="2131"/>
      <c r="AM878" s="1968"/>
      <c r="AN878" s="1968"/>
      <c r="AO878" s="1968"/>
      <c r="AP878" s="1968"/>
      <c r="AQ878" s="1968"/>
      <c r="AR878" s="1968"/>
      <c r="AS878" s="1968"/>
      <c r="AT878" s="1968"/>
      <c r="AU878" s="1968"/>
      <c r="AV878" s="1968"/>
      <c r="AW878" s="1968"/>
      <c r="AX878" s="1968"/>
      <c r="AY878" s="1968"/>
      <c r="AZ878" s="1968"/>
      <c r="BA878" s="1968"/>
      <c r="BB878" s="1968"/>
      <c r="BC878" s="1968"/>
      <c r="BD878" s="1968"/>
      <c r="BE878" s="1968"/>
      <c r="BF878" s="1968"/>
      <c r="BG878" s="7235"/>
    </row>
    <row customHeight="1" ht="11.25">
      <c r="A879" s="1312" t="s">
        <v>1069</v>
      </c>
      <c r="B879" s="1312"/>
      <c r="C879" s="1312"/>
      <c r="D879" s="1306"/>
      <c r="E879" s="1316"/>
      <c r="F879" s="1974"/>
      <c r="G879" s="1975"/>
      <c r="H879" s="2674" t="s">
        <v>94</v>
      </c>
      <c r="I879" s="2675"/>
      <c r="J879" s="2644"/>
      <c r="K879" s="2676"/>
      <c r="L879" s="2266"/>
      <c r="M879" s="2267"/>
      <c r="N879" s="1321"/>
      <c r="O879" s="1322"/>
      <c r="P879" s="1314" t="s">
        <v>1108</v>
      </c>
      <c r="Q879" s="1322"/>
      <c r="R879" s="1322"/>
      <c r="S879" s="1322"/>
      <c r="T879" s="1322"/>
      <c r="U879" s="1322"/>
      <c r="V879" s="1322"/>
      <c r="W879" s="1322"/>
      <c r="X879" s="1322"/>
      <c r="Y879" s="1322"/>
      <c r="Z879" s="1322"/>
      <c r="AA879" s="1322"/>
      <c r="AB879" s="1322"/>
      <c r="AC879" s="1322"/>
      <c r="AD879" s="1322"/>
      <c r="AE879" s="1329"/>
      <c r="AF879" s="2665"/>
      <c r="AG879" s="2666"/>
      <c r="AH879" s="2666"/>
      <c r="AI879" s="8653"/>
      <c r="AJ879" s="2666"/>
      <c r="AK879" s="2666"/>
      <c r="AL879" s="2131"/>
      <c r="AM879" s="1968"/>
      <c r="AN879" s="1968"/>
      <c r="AO879" s="1968"/>
      <c r="AP879" s="1968"/>
      <c r="AQ879" s="1968"/>
      <c r="AR879" s="1968"/>
      <c r="AS879" s="1968"/>
      <c r="AT879" s="1968"/>
      <c r="AU879" s="1968"/>
      <c r="AV879" s="1968"/>
      <c r="AW879" s="1968"/>
      <c r="AX879" s="1968"/>
      <c r="AY879" s="1968"/>
      <c r="AZ879" s="1968"/>
      <c r="BA879" s="1968"/>
      <c r="BB879" s="1968"/>
      <c r="BC879" s="1968"/>
      <c r="BD879" s="1968"/>
      <c r="BE879" s="1968"/>
      <c r="BF879" s="1968"/>
      <c r="BG879" s="7235"/>
    </row>
    <row customHeight="1" ht="11.25">
      <c r="A880" s="1312" t="s">
        <v>1069</v>
      </c>
      <c r="B880" s="1312" t="s">
        <v>1198</v>
      </c>
      <c r="C880" s="1312"/>
      <c r="D880" s="1306"/>
      <c r="E880" s="1316"/>
      <c r="F880" s="1974"/>
      <c r="G880" s="7143" t="s">
        <v>106</v>
      </c>
      <c r="H880" s="2674" t="s">
        <v>123</v>
      </c>
      <c r="I880" s="2675" t="s">
        <v>1200</v>
      </c>
      <c r="J880" s="2644" t="s">
        <v>1201</v>
      </c>
      <c r="K880" s="2676" t="s">
        <v>1340</v>
      </c>
      <c r="L880" s="2266" t="s">
        <v>19</v>
      </c>
      <c r="M880" s="2267"/>
      <c r="N880" s="2129"/>
      <c r="O880" s="1323" t="s">
        <v>398</v>
      </c>
      <c r="P880" s="1324"/>
      <c r="Q880" s="1324"/>
      <c r="R880" s="1324"/>
      <c r="S880" s="1324"/>
      <c r="T880" s="1324"/>
      <c r="U880" s="1324"/>
      <c r="V880" s="1324"/>
      <c r="W880" s="1324"/>
      <c r="X880" s="1324"/>
      <c r="Y880" s="1324"/>
      <c r="Z880" s="1324"/>
      <c r="AA880" s="1324"/>
      <c r="AB880" s="1324"/>
      <c r="AC880" s="1324"/>
      <c r="AD880" s="1324"/>
      <c r="AE880" s="1324"/>
      <c r="AF880" s="2665">
        <v>2027</v>
      </c>
      <c r="AG880" s="2666" t="s">
        <v>1103</v>
      </c>
      <c r="AH880" s="2666" t="s">
        <v>1164</v>
      </c>
      <c r="AI880" s="8653"/>
      <c r="AJ880" s="2666" t="s">
        <v>1105</v>
      </c>
      <c r="AK880" s="2666" t="s">
        <v>1105</v>
      </c>
      <c r="AL880" s="2131"/>
      <c r="AM880" s="1968"/>
      <c r="AN880" s="1968"/>
      <c r="AO880" s="1968"/>
      <c r="AP880" s="1968"/>
      <c r="AQ880" s="1968"/>
      <c r="AR880" s="1968"/>
      <c r="AS880" s="1968"/>
      <c r="AT880" s="1968"/>
      <c r="AU880" s="1968"/>
      <c r="AV880" s="1968"/>
      <c r="AW880" s="1968"/>
      <c r="AX880" s="1968"/>
      <c r="AY880" s="1968"/>
      <c r="AZ880" s="1968"/>
      <c r="BA880" s="1968"/>
      <c r="BB880" s="1968"/>
      <c r="BC880" s="1968"/>
      <c r="BD880" s="1968"/>
      <c r="BE880" s="1968"/>
      <c r="BF880" s="1968"/>
      <c r="BG880" s="7235"/>
    </row>
    <row customHeight="1" ht="11.25">
      <c r="A881" s="1312" t="s">
        <v>1069</v>
      </c>
      <c r="B881" s="1312"/>
      <c r="C881" s="1312"/>
      <c r="D881" s="1306"/>
      <c r="E881" s="1316"/>
      <c r="F881" s="1974"/>
      <c r="G881" s="1975"/>
      <c r="H881" s="2674" t="s">
        <v>123</v>
      </c>
      <c r="I881" s="2675"/>
      <c r="J881" s="2644"/>
      <c r="K881" s="2676"/>
      <c r="L881" s="2266"/>
      <c r="M881" s="2267"/>
      <c r="N881" s="2667"/>
      <c r="O881" s="2668">
        <v>1</v>
      </c>
      <c r="P881" s="2669" t="s">
        <v>63</v>
      </c>
      <c r="Q881" s="8654" t="s">
        <v>1176</v>
      </c>
      <c r="R881" s="8655" t="s">
        <v>1177</v>
      </c>
      <c r="S881" s="8655" t="s">
        <v>113</v>
      </c>
      <c r="T881" s="8655" t="s">
        <v>113</v>
      </c>
      <c r="U881" s="8655" t="s">
        <v>114</v>
      </c>
      <c r="V881" s="8655" t="s">
        <v>1115</v>
      </c>
      <c r="W881" s="8655" t="s">
        <v>1116</v>
      </c>
      <c r="X881" s="8655" t="s">
        <v>1178</v>
      </c>
      <c r="Y881" s="8655" t="s">
        <v>1178</v>
      </c>
      <c r="Z881" s="1321"/>
      <c r="AA881" s="1322"/>
      <c r="AB881" s="1322"/>
      <c r="AC881" s="1326"/>
      <c r="AD881" s="1326"/>
      <c r="AE881" s="1327"/>
      <c r="AF881" s="2665"/>
      <c r="AG881" s="2666"/>
      <c r="AH881" s="2666"/>
      <c r="AI881" s="8653"/>
      <c r="AJ881" s="2666"/>
      <c r="AK881" s="2666"/>
      <c r="AL881" s="2131"/>
      <c r="AM881" s="1968"/>
      <c r="AN881" s="1968"/>
      <c r="AO881" s="1968"/>
      <c r="AP881" s="1968"/>
      <c r="AQ881" s="1968"/>
      <c r="AR881" s="1968"/>
      <c r="AS881" s="1968"/>
      <c r="AT881" s="1968"/>
      <c r="AU881" s="1968"/>
      <c r="AV881" s="1968"/>
      <c r="AW881" s="1968"/>
      <c r="AX881" s="1968"/>
      <c r="AY881" s="1968"/>
      <c r="AZ881" s="1968"/>
      <c r="BA881" s="1968"/>
      <c r="BB881" s="1968"/>
      <c r="BC881" s="1968"/>
      <c r="BD881" s="1968"/>
      <c r="BE881" s="1968"/>
      <c r="BF881" s="1968"/>
      <c r="BG881" s="7235"/>
    </row>
    <row customHeight="1" ht="11.25">
      <c r="A882" s="1312" t="s">
        <v>1069</v>
      </c>
      <c r="B882" s="1312"/>
      <c r="C882" s="1312"/>
      <c r="D882" s="1306"/>
      <c r="E882" s="1316"/>
      <c r="F882" s="1974"/>
      <c r="G882" s="1975"/>
      <c r="H882" s="2674" t="s">
        <v>123</v>
      </c>
      <c r="I882" s="2675"/>
      <c r="J882" s="2644"/>
      <c r="K882" s="2676"/>
      <c r="L882" s="2266"/>
      <c r="M882" s="2267"/>
      <c r="N882" s="2667"/>
      <c r="O882" s="2668"/>
      <c r="P882" s="2670"/>
      <c r="Q882" s="8654"/>
      <c r="R882" s="2672"/>
      <c r="S882" s="2673"/>
      <c r="T882" s="2672"/>
      <c r="U882" s="2672"/>
      <c r="V882" s="2672"/>
      <c r="W882" s="2672"/>
      <c r="X882" s="2672"/>
      <c r="Y882" s="2672"/>
      <c r="Z882" s="1973"/>
      <c r="AA882" s="1939">
        <v>1</v>
      </c>
      <c r="AB882" s="1325" t="s">
        <v>1106</v>
      </c>
      <c r="AC882" s="1315">
        <v>60128</v>
      </c>
      <c r="AD882" s="1325" t="str">
        <f>AB882</f>
        <v>  Прибыль направляемая на инвестиции</v>
      </c>
      <c r="AE882" s="1315">
        <v>0</v>
      </c>
      <c r="AF882" s="2665"/>
      <c r="AG882" s="2666"/>
      <c r="AH882" s="2666"/>
      <c r="AI882" s="8653"/>
      <c r="AJ882" s="2666"/>
      <c r="AK882" s="2666"/>
      <c r="AL882" s="2131"/>
      <c r="AM882" s="1968"/>
      <c r="AN882" s="1968"/>
      <c r="AO882" s="1968"/>
      <c r="AP882" s="1968"/>
      <c r="AQ882" s="1968"/>
      <c r="AR882" s="1968"/>
      <c r="AS882" s="1968"/>
      <c r="AT882" s="1968"/>
      <c r="AU882" s="1968"/>
      <c r="AV882" s="1968"/>
      <c r="AW882" s="1968"/>
      <c r="AX882" s="1968"/>
      <c r="AY882" s="1968"/>
      <c r="AZ882" s="1968"/>
      <c r="BA882" s="1968"/>
      <c r="BB882" s="1968"/>
      <c r="BC882" s="1968"/>
      <c r="BD882" s="1968"/>
      <c r="BE882" s="1968"/>
      <c r="BF882" s="1968"/>
      <c r="BG882" s="7235"/>
    </row>
    <row customHeight="1" ht="11.25">
      <c r="A883" s="1312" t="s">
        <v>1069</v>
      </c>
      <c r="B883" s="1312"/>
      <c r="C883" s="1312"/>
      <c r="D883" s="1306"/>
      <c r="E883" s="1316"/>
      <c r="F883" s="1974"/>
      <c r="G883" s="1975"/>
      <c r="H883" s="2674" t="s">
        <v>123</v>
      </c>
      <c r="I883" s="2675"/>
      <c r="J883" s="2644"/>
      <c r="K883" s="2676"/>
      <c r="L883" s="2266"/>
      <c r="M883" s="2267"/>
      <c r="N883" s="2667"/>
      <c r="O883" s="2668"/>
      <c r="P883" s="2671"/>
      <c r="Q883" s="8654"/>
      <c r="R883" s="2672"/>
      <c r="S883" s="2673"/>
      <c r="T883" s="2672"/>
      <c r="U883" s="2672"/>
      <c r="V883" s="2672"/>
      <c r="W883" s="2672"/>
      <c r="X883" s="2672"/>
      <c r="Y883" s="2672"/>
      <c r="Z883" s="1321"/>
      <c r="AA883" s="1322"/>
      <c r="AB883" s="1387" t="s">
        <v>1107</v>
      </c>
      <c r="AC883" s="1326"/>
      <c r="AD883" s="1326"/>
      <c r="AE883" s="1328"/>
      <c r="AF883" s="2665"/>
      <c r="AG883" s="2666"/>
      <c r="AH883" s="2666"/>
      <c r="AI883" s="8653"/>
      <c r="AJ883" s="2666"/>
      <c r="AK883" s="2666"/>
      <c r="AL883" s="2131"/>
      <c r="AM883" s="1968"/>
      <c r="AN883" s="1968"/>
      <c r="AO883" s="1968"/>
      <c r="AP883" s="1968"/>
      <c r="AQ883" s="1968"/>
      <c r="AR883" s="1968"/>
      <c r="AS883" s="1968"/>
      <c r="AT883" s="1968"/>
      <c r="AU883" s="1968"/>
      <c r="AV883" s="1968"/>
      <c r="AW883" s="1968"/>
      <c r="AX883" s="1968"/>
      <c r="AY883" s="1968"/>
      <c r="AZ883" s="1968"/>
      <c r="BA883" s="1968"/>
      <c r="BB883" s="1968"/>
      <c r="BC883" s="1968"/>
      <c r="BD883" s="1968"/>
      <c r="BE883" s="1968"/>
      <c r="BF883" s="1968"/>
      <c r="BG883" s="7235"/>
    </row>
    <row customHeight="1" ht="11.25">
      <c r="A884" s="1312" t="s">
        <v>1069</v>
      </c>
      <c r="B884" s="1312"/>
      <c r="C884" s="1312"/>
      <c r="D884" s="1306"/>
      <c r="E884" s="1316"/>
      <c r="F884" s="1974"/>
      <c r="G884" s="1975"/>
      <c r="H884" s="2674" t="s">
        <v>123</v>
      </c>
      <c r="I884" s="2675"/>
      <c r="J884" s="2644"/>
      <c r="K884" s="2676"/>
      <c r="L884" s="2266"/>
      <c r="M884" s="2267"/>
      <c r="N884" s="1321"/>
      <c r="O884" s="1322"/>
      <c r="P884" s="1314" t="s">
        <v>1108</v>
      </c>
      <c r="Q884" s="1322"/>
      <c r="R884" s="1322"/>
      <c r="S884" s="1322"/>
      <c r="T884" s="1322"/>
      <c r="U884" s="1322"/>
      <c r="V884" s="1322"/>
      <c r="W884" s="1322"/>
      <c r="X884" s="1322"/>
      <c r="Y884" s="1322"/>
      <c r="Z884" s="1322"/>
      <c r="AA884" s="1322"/>
      <c r="AB884" s="1322"/>
      <c r="AC884" s="1322"/>
      <c r="AD884" s="1322"/>
      <c r="AE884" s="1329"/>
      <c r="AF884" s="2665"/>
      <c r="AG884" s="2666"/>
      <c r="AH884" s="2666"/>
      <c r="AI884" s="8653"/>
      <c r="AJ884" s="2666"/>
      <c r="AK884" s="2666"/>
      <c r="AL884" s="2131"/>
      <c r="AM884" s="1968"/>
      <c r="AN884" s="1968"/>
      <c r="AO884" s="1968"/>
      <c r="AP884" s="1968"/>
      <c r="AQ884" s="1968"/>
      <c r="AR884" s="1968"/>
      <c r="AS884" s="1968"/>
      <c r="AT884" s="1968"/>
      <c r="AU884" s="1968"/>
      <c r="AV884" s="1968"/>
      <c r="AW884" s="1968"/>
      <c r="AX884" s="1968"/>
      <c r="AY884" s="1968"/>
      <c r="AZ884" s="1968"/>
      <c r="BA884" s="1968"/>
      <c r="BB884" s="1968"/>
      <c r="BC884" s="1968"/>
      <c r="BD884" s="1968"/>
      <c r="BE884" s="1968"/>
      <c r="BF884" s="1968"/>
      <c r="BG884" s="7235"/>
    </row>
    <row customHeight="1" ht="11.25">
      <c r="A885" s="1312" t="s">
        <v>1069</v>
      </c>
      <c r="B885" s="1312" t="s">
        <v>1198</v>
      </c>
      <c r="C885" s="1312"/>
      <c r="D885" s="1306"/>
      <c r="E885" s="1316"/>
      <c r="F885" s="1974"/>
      <c r="G885" s="7143" t="s">
        <v>106</v>
      </c>
      <c r="H885" s="2674" t="s">
        <v>172</v>
      </c>
      <c r="I885" s="2675" t="s">
        <v>1200</v>
      </c>
      <c r="J885" s="2644" t="s">
        <v>1206</v>
      </c>
      <c r="K885" s="2676" t="s">
        <v>1324</v>
      </c>
      <c r="L885" s="2266" t="s">
        <v>19</v>
      </c>
      <c r="M885" s="2267"/>
      <c r="N885" s="2129"/>
      <c r="O885" s="1323" t="s">
        <v>398</v>
      </c>
      <c r="P885" s="1324"/>
      <c r="Q885" s="1324"/>
      <c r="R885" s="1324"/>
      <c r="S885" s="1324"/>
      <c r="T885" s="1324"/>
      <c r="U885" s="1324"/>
      <c r="V885" s="1324"/>
      <c r="W885" s="1324"/>
      <c r="X885" s="1324"/>
      <c r="Y885" s="1324"/>
      <c r="Z885" s="1324"/>
      <c r="AA885" s="1324"/>
      <c r="AB885" s="1324"/>
      <c r="AC885" s="1324"/>
      <c r="AD885" s="1324"/>
      <c r="AE885" s="1324"/>
      <c r="AF885" s="2665">
        <v>2027</v>
      </c>
      <c r="AG885" s="2666" t="s">
        <v>1103</v>
      </c>
      <c r="AH885" s="2666" t="s">
        <v>1164</v>
      </c>
      <c r="AI885" s="8653"/>
      <c r="AJ885" s="2666" t="s">
        <v>1105</v>
      </c>
      <c r="AK885" s="2666" t="s">
        <v>1105</v>
      </c>
      <c r="AL885" s="2131"/>
      <c r="AM885" s="1968"/>
      <c r="AN885" s="1968"/>
      <c r="AO885" s="1968"/>
      <c r="AP885" s="1968"/>
      <c r="AQ885" s="1968"/>
      <c r="AR885" s="1968"/>
      <c r="AS885" s="1968"/>
      <c r="AT885" s="1968"/>
      <c r="AU885" s="1968"/>
      <c r="AV885" s="1968"/>
      <c r="AW885" s="1968"/>
      <c r="AX885" s="1968"/>
      <c r="AY885" s="1968"/>
      <c r="AZ885" s="1968"/>
      <c r="BA885" s="1968"/>
      <c r="BB885" s="1968"/>
      <c r="BC885" s="1968"/>
      <c r="BD885" s="1968"/>
      <c r="BE885" s="1968"/>
      <c r="BF885" s="1968"/>
      <c r="BG885" s="7235"/>
    </row>
    <row customHeight="1" ht="11.25">
      <c r="A886" s="1312" t="s">
        <v>1069</v>
      </c>
      <c r="B886" s="1312"/>
      <c r="C886" s="1312"/>
      <c r="D886" s="1306"/>
      <c r="E886" s="1316"/>
      <c r="F886" s="1974"/>
      <c r="G886" s="1975"/>
      <c r="H886" s="2674" t="s">
        <v>172</v>
      </c>
      <c r="I886" s="2675"/>
      <c r="J886" s="2644"/>
      <c r="K886" s="2676"/>
      <c r="L886" s="2266"/>
      <c r="M886" s="2267"/>
      <c r="N886" s="2667"/>
      <c r="O886" s="2668">
        <v>1</v>
      </c>
      <c r="P886" s="2669" t="s">
        <v>63</v>
      </c>
      <c r="Q886" s="8654" t="s">
        <v>1176</v>
      </c>
      <c r="R886" s="8655" t="s">
        <v>1177</v>
      </c>
      <c r="S886" s="8655" t="s">
        <v>113</v>
      </c>
      <c r="T886" s="8655" t="s">
        <v>113</v>
      </c>
      <c r="U886" s="8655" t="s">
        <v>114</v>
      </c>
      <c r="V886" s="8655" t="s">
        <v>1115</v>
      </c>
      <c r="W886" s="8655" t="s">
        <v>1116</v>
      </c>
      <c r="X886" s="8655" t="s">
        <v>1178</v>
      </c>
      <c r="Y886" s="8655" t="s">
        <v>1178</v>
      </c>
      <c r="Z886" s="1321"/>
      <c r="AA886" s="1322"/>
      <c r="AB886" s="1322"/>
      <c r="AC886" s="1326"/>
      <c r="AD886" s="1326"/>
      <c r="AE886" s="1327"/>
      <c r="AF886" s="2665"/>
      <c r="AG886" s="2666"/>
      <c r="AH886" s="2666"/>
      <c r="AI886" s="8653"/>
      <c r="AJ886" s="2666"/>
      <c r="AK886" s="2666"/>
      <c r="AL886" s="2131"/>
      <c r="AM886" s="1968"/>
      <c r="AN886" s="1968"/>
      <c r="AO886" s="1968"/>
      <c r="AP886" s="1968"/>
      <c r="AQ886" s="1968"/>
      <c r="AR886" s="1968"/>
      <c r="AS886" s="1968"/>
      <c r="AT886" s="1968"/>
      <c r="AU886" s="1968"/>
      <c r="AV886" s="1968"/>
      <c r="AW886" s="1968"/>
      <c r="AX886" s="1968"/>
      <c r="AY886" s="1968"/>
      <c r="AZ886" s="1968"/>
      <c r="BA886" s="1968"/>
      <c r="BB886" s="1968"/>
      <c r="BC886" s="1968"/>
      <c r="BD886" s="1968"/>
      <c r="BE886" s="1968"/>
      <c r="BF886" s="1968"/>
      <c r="BG886" s="7235"/>
    </row>
    <row customHeight="1" ht="11.25">
      <c r="A887" s="1312" t="s">
        <v>1069</v>
      </c>
      <c r="B887" s="1312"/>
      <c r="C887" s="1312"/>
      <c r="D887" s="1306"/>
      <c r="E887" s="1316"/>
      <c r="F887" s="1974"/>
      <c r="G887" s="1975"/>
      <c r="H887" s="2674" t="s">
        <v>172</v>
      </c>
      <c r="I887" s="2675"/>
      <c r="J887" s="2644"/>
      <c r="K887" s="2676"/>
      <c r="L887" s="2266"/>
      <c r="M887" s="2267"/>
      <c r="N887" s="2667"/>
      <c r="O887" s="2668"/>
      <c r="P887" s="2670"/>
      <c r="Q887" s="8654"/>
      <c r="R887" s="2672"/>
      <c r="S887" s="2673"/>
      <c r="T887" s="2672"/>
      <c r="U887" s="2672"/>
      <c r="V887" s="2672"/>
      <c r="W887" s="2672"/>
      <c r="X887" s="2672"/>
      <c r="Y887" s="2672"/>
      <c r="Z887" s="1973"/>
      <c r="AA887" s="1939">
        <v>1</v>
      </c>
      <c r="AB887" s="1325" t="s">
        <v>1106</v>
      </c>
      <c r="AC887" s="1315">
        <v>53652</v>
      </c>
      <c r="AD887" s="1325" t="str">
        <f>AB887</f>
        <v>  Прибыль направляемая на инвестиции</v>
      </c>
      <c r="AE887" s="1315">
        <v>0</v>
      </c>
      <c r="AF887" s="2665"/>
      <c r="AG887" s="2666"/>
      <c r="AH887" s="2666"/>
      <c r="AI887" s="8653"/>
      <c r="AJ887" s="2666"/>
      <c r="AK887" s="2666"/>
      <c r="AL887" s="2131"/>
      <c r="AM887" s="1968"/>
      <c r="AN887" s="1968"/>
      <c r="AO887" s="1968"/>
      <c r="AP887" s="1968"/>
      <c r="AQ887" s="1968"/>
      <c r="AR887" s="1968"/>
      <c r="AS887" s="1968"/>
      <c r="AT887" s="1968"/>
      <c r="AU887" s="1968"/>
      <c r="AV887" s="1968"/>
      <c r="AW887" s="1968"/>
      <c r="AX887" s="1968"/>
      <c r="AY887" s="1968"/>
      <c r="AZ887" s="1968"/>
      <c r="BA887" s="1968"/>
      <c r="BB887" s="1968"/>
      <c r="BC887" s="1968"/>
      <c r="BD887" s="1968"/>
      <c r="BE887" s="1968"/>
      <c r="BF887" s="1968"/>
      <c r="BG887" s="7235"/>
    </row>
    <row customHeight="1" ht="11.25">
      <c r="A888" s="1312" t="s">
        <v>1069</v>
      </c>
      <c r="B888" s="1312"/>
      <c r="C888" s="1312"/>
      <c r="D888" s="1306"/>
      <c r="E888" s="1316"/>
      <c r="F888" s="1974"/>
      <c r="G888" s="1975"/>
      <c r="H888" s="2674" t="s">
        <v>172</v>
      </c>
      <c r="I888" s="2675"/>
      <c r="J888" s="2644"/>
      <c r="K888" s="2676"/>
      <c r="L888" s="2266"/>
      <c r="M888" s="2267"/>
      <c r="N888" s="2667"/>
      <c r="O888" s="2668"/>
      <c r="P888" s="2671"/>
      <c r="Q888" s="8654"/>
      <c r="R888" s="2672"/>
      <c r="S888" s="2673"/>
      <c r="T888" s="2672"/>
      <c r="U888" s="2672"/>
      <c r="V888" s="2672"/>
      <c r="W888" s="2672"/>
      <c r="X888" s="2672"/>
      <c r="Y888" s="2672"/>
      <c r="Z888" s="1321"/>
      <c r="AA888" s="1322"/>
      <c r="AB888" s="1387" t="s">
        <v>1107</v>
      </c>
      <c r="AC888" s="1326"/>
      <c r="AD888" s="1326"/>
      <c r="AE888" s="1328"/>
      <c r="AF888" s="2665"/>
      <c r="AG888" s="2666"/>
      <c r="AH888" s="2666"/>
      <c r="AI888" s="8653"/>
      <c r="AJ888" s="2666"/>
      <c r="AK888" s="2666"/>
      <c r="AL888" s="2131"/>
      <c r="AM888" s="1968"/>
      <c r="AN888" s="1968"/>
      <c r="AO888" s="1968"/>
      <c r="AP888" s="1968"/>
      <c r="AQ888" s="1968"/>
      <c r="AR888" s="1968"/>
      <c r="AS888" s="1968"/>
      <c r="AT888" s="1968"/>
      <c r="AU888" s="1968"/>
      <c r="AV888" s="1968"/>
      <c r="AW888" s="1968"/>
      <c r="AX888" s="1968"/>
      <c r="AY888" s="1968"/>
      <c r="AZ888" s="1968"/>
      <c r="BA888" s="1968"/>
      <c r="BB888" s="1968"/>
      <c r="BC888" s="1968"/>
      <c r="BD888" s="1968"/>
      <c r="BE888" s="1968"/>
      <c r="BF888" s="1968"/>
      <c r="BG888" s="7235"/>
    </row>
    <row customHeight="1" ht="11.25">
      <c r="A889" s="1312" t="s">
        <v>1069</v>
      </c>
      <c r="B889" s="1312"/>
      <c r="C889" s="1312"/>
      <c r="D889" s="1306"/>
      <c r="E889" s="1316"/>
      <c r="F889" s="1974"/>
      <c r="G889" s="1975"/>
      <c r="H889" s="2674" t="s">
        <v>172</v>
      </c>
      <c r="I889" s="2675"/>
      <c r="J889" s="2644"/>
      <c r="K889" s="2676"/>
      <c r="L889" s="2266"/>
      <c r="M889" s="2267"/>
      <c r="N889" s="1321"/>
      <c r="O889" s="1322"/>
      <c r="P889" s="1314" t="s">
        <v>1108</v>
      </c>
      <c r="Q889" s="1322"/>
      <c r="R889" s="1322"/>
      <c r="S889" s="1322"/>
      <c r="T889" s="1322"/>
      <c r="U889" s="1322"/>
      <c r="V889" s="1322"/>
      <c r="W889" s="1322"/>
      <c r="X889" s="1322"/>
      <c r="Y889" s="1322"/>
      <c r="Z889" s="1322"/>
      <c r="AA889" s="1322"/>
      <c r="AB889" s="1322"/>
      <c r="AC889" s="1322"/>
      <c r="AD889" s="1322"/>
      <c r="AE889" s="1329"/>
      <c r="AF889" s="2665"/>
      <c r="AG889" s="2666"/>
      <c r="AH889" s="2666"/>
      <c r="AI889" s="8653"/>
      <c r="AJ889" s="2666"/>
      <c r="AK889" s="2666"/>
      <c r="AL889" s="2131"/>
      <c r="AM889" s="1968"/>
      <c r="AN889" s="1968"/>
      <c r="AO889" s="1968"/>
      <c r="AP889" s="1968"/>
      <c r="AQ889" s="1968"/>
      <c r="AR889" s="1968"/>
      <c r="AS889" s="1968"/>
      <c r="AT889" s="1968"/>
      <c r="AU889" s="1968"/>
      <c r="AV889" s="1968"/>
      <c r="AW889" s="1968"/>
      <c r="AX889" s="1968"/>
      <c r="AY889" s="1968"/>
      <c r="AZ889" s="1968"/>
      <c r="BA889" s="1968"/>
      <c r="BB889" s="1968"/>
      <c r="BC889" s="1968"/>
      <c r="BD889" s="1968"/>
      <c r="BE889" s="1968"/>
      <c r="BF889" s="1968"/>
      <c r="BG889" s="7235"/>
    </row>
    <row customHeight="1" ht="11.25">
      <c r="A890" s="1312" t="s">
        <v>1069</v>
      </c>
      <c r="B890" s="1312" t="s">
        <v>1198</v>
      </c>
      <c r="C890" s="1312"/>
      <c r="D890" s="1306"/>
      <c r="E890" s="1316"/>
      <c r="F890" s="1974"/>
      <c r="G890" s="7143" t="s">
        <v>106</v>
      </c>
      <c r="H890" s="2674" t="s">
        <v>173</v>
      </c>
      <c r="I890" s="2675" t="s">
        <v>1200</v>
      </c>
      <c r="J890" s="2644" t="s">
        <v>1206</v>
      </c>
      <c r="K890" s="2676" t="s">
        <v>1293</v>
      </c>
      <c r="L890" s="2266" t="s">
        <v>19</v>
      </c>
      <c r="M890" s="2267"/>
      <c r="N890" s="2129"/>
      <c r="O890" s="1323" t="s">
        <v>398</v>
      </c>
      <c r="P890" s="1324"/>
      <c r="Q890" s="1324"/>
      <c r="R890" s="1324"/>
      <c r="S890" s="1324"/>
      <c r="T890" s="1324"/>
      <c r="U890" s="1324"/>
      <c r="V890" s="1324"/>
      <c r="W890" s="1324"/>
      <c r="X890" s="1324"/>
      <c r="Y890" s="1324"/>
      <c r="Z890" s="1324"/>
      <c r="AA890" s="1324"/>
      <c r="AB890" s="1324"/>
      <c r="AC890" s="1324"/>
      <c r="AD890" s="1324"/>
      <c r="AE890" s="1324"/>
      <c r="AF890" s="2665">
        <v>2027</v>
      </c>
      <c r="AG890" s="2666" t="s">
        <v>1103</v>
      </c>
      <c r="AH890" s="2666" t="s">
        <v>1164</v>
      </c>
      <c r="AI890" s="8653"/>
      <c r="AJ890" s="2666" t="s">
        <v>1105</v>
      </c>
      <c r="AK890" s="2666" t="s">
        <v>1105</v>
      </c>
      <c r="AL890" s="2131"/>
      <c r="AM890" s="1968"/>
      <c r="AN890" s="1968"/>
      <c r="AO890" s="1968"/>
      <c r="AP890" s="1968"/>
      <c r="AQ890" s="1968"/>
      <c r="AR890" s="1968"/>
      <c r="AS890" s="1968"/>
      <c r="AT890" s="1968"/>
      <c r="AU890" s="1968"/>
      <c r="AV890" s="1968"/>
      <c r="AW890" s="1968"/>
      <c r="AX890" s="1968"/>
      <c r="AY890" s="1968"/>
      <c r="AZ890" s="1968"/>
      <c r="BA890" s="1968"/>
      <c r="BB890" s="1968"/>
      <c r="BC890" s="1968"/>
      <c r="BD890" s="1968"/>
      <c r="BE890" s="1968"/>
      <c r="BF890" s="1968"/>
      <c r="BG890" s="7235"/>
    </row>
    <row customHeight="1" ht="11.25">
      <c r="A891" s="1312" t="s">
        <v>1069</v>
      </c>
      <c r="B891" s="1312"/>
      <c r="C891" s="1312"/>
      <c r="D891" s="1306"/>
      <c r="E891" s="1316"/>
      <c r="F891" s="1974"/>
      <c r="G891" s="1975"/>
      <c r="H891" s="2674" t="s">
        <v>173</v>
      </c>
      <c r="I891" s="2675"/>
      <c r="J891" s="2644"/>
      <c r="K891" s="2676"/>
      <c r="L891" s="2266"/>
      <c r="M891" s="2267"/>
      <c r="N891" s="2667"/>
      <c r="O891" s="2668">
        <v>1</v>
      </c>
      <c r="P891" s="2669" t="s">
        <v>63</v>
      </c>
      <c r="Q891" s="8654" t="s">
        <v>1208</v>
      </c>
      <c r="R891" s="8655" t="s">
        <v>1114</v>
      </c>
      <c r="S891" s="8655" t="s">
        <v>113</v>
      </c>
      <c r="T891" s="8655" t="s">
        <v>113</v>
      </c>
      <c r="U891" s="8655" t="s">
        <v>114</v>
      </c>
      <c r="V891" s="8655" t="s">
        <v>1115</v>
      </c>
      <c r="W891" s="8655" t="s">
        <v>1116</v>
      </c>
      <c r="X891" s="8655" t="s">
        <v>1209</v>
      </c>
      <c r="Y891" s="8655" t="s">
        <v>121</v>
      </c>
      <c r="Z891" s="1321"/>
      <c r="AA891" s="1322"/>
      <c r="AB891" s="1322"/>
      <c r="AC891" s="1326"/>
      <c r="AD891" s="1326"/>
      <c r="AE891" s="1327"/>
      <c r="AF891" s="2665"/>
      <c r="AG891" s="2666"/>
      <c r="AH891" s="2666"/>
      <c r="AI891" s="8653"/>
      <c r="AJ891" s="2666"/>
      <c r="AK891" s="2666"/>
      <c r="AL891" s="2131"/>
      <c r="AM891" s="1968"/>
      <c r="AN891" s="1968"/>
      <c r="AO891" s="1968"/>
      <c r="AP891" s="1968"/>
      <c r="AQ891" s="1968"/>
      <c r="AR891" s="1968"/>
      <c r="AS891" s="1968"/>
      <c r="AT891" s="1968"/>
      <c r="AU891" s="1968"/>
      <c r="AV891" s="1968"/>
      <c r="AW891" s="1968"/>
      <c r="AX891" s="1968"/>
      <c r="AY891" s="1968"/>
      <c r="AZ891" s="1968"/>
      <c r="BA891" s="1968"/>
      <c r="BB891" s="1968"/>
      <c r="BC891" s="1968"/>
      <c r="BD891" s="1968"/>
      <c r="BE891" s="1968"/>
      <c r="BF891" s="1968"/>
      <c r="BG891" s="7235"/>
    </row>
    <row customHeight="1" ht="11.25">
      <c r="A892" s="1312" t="s">
        <v>1069</v>
      </c>
      <c r="B892" s="1312"/>
      <c r="C892" s="1312"/>
      <c r="D892" s="1306"/>
      <c r="E892" s="1316"/>
      <c r="F892" s="1974"/>
      <c r="G892" s="1975"/>
      <c r="H892" s="2674" t="s">
        <v>173</v>
      </c>
      <c r="I892" s="2675"/>
      <c r="J892" s="2644"/>
      <c r="K892" s="2676"/>
      <c r="L892" s="2266"/>
      <c r="M892" s="2267"/>
      <c r="N892" s="2667"/>
      <c r="O892" s="2668"/>
      <c r="P892" s="2670"/>
      <c r="Q892" s="8654"/>
      <c r="R892" s="2672"/>
      <c r="S892" s="2673"/>
      <c r="T892" s="2672"/>
      <c r="U892" s="2672"/>
      <c r="V892" s="2672"/>
      <c r="W892" s="2672"/>
      <c r="X892" s="2672"/>
      <c r="Y892" s="2672"/>
      <c r="Z892" s="1973"/>
      <c r="AA892" s="1939">
        <v>1</v>
      </c>
      <c r="AB892" s="1325" t="s">
        <v>1210</v>
      </c>
      <c r="AC892" s="1315">
        <v>2431436</v>
      </c>
      <c r="AD892" s="1325" t="str">
        <f>AB892</f>
        <v>  Кредиты</v>
      </c>
      <c r="AE892" s="1315">
        <v>0</v>
      </c>
      <c r="AF892" s="2665"/>
      <c r="AG892" s="2666"/>
      <c r="AH892" s="2666"/>
      <c r="AI892" s="8653"/>
      <c r="AJ892" s="2666"/>
      <c r="AK892" s="2666"/>
      <c r="AL892" s="2131"/>
      <c r="AM892" s="1968"/>
      <c r="AN892" s="1968"/>
      <c r="AO892" s="1968"/>
      <c r="AP892" s="1968"/>
      <c r="AQ892" s="1968"/>
      <c r="AR892" s="1968"/>
      <c r="AS892" s="1968"/>
      <c r="AT892" s="1968"/>
      <c r="AU892" s="1968"/>
      <c r="AV892" s="1968"/>
      <c r="AW892" s="1968"/>
      <c r="AX892" s="1968"/>
      <c r="AY892" s="1968"/>
      <c r="AZ892" s="1968"/>
      <c r="BA892" s="1968"/>
      <c r="BB892" s="1968"/>
      <c r="BC892" s="1968"/>
      <c r="BD892" s="1968"/>
      <c r="BE892" s="1968"/>
      <c r="BF892" s="1968"/>
      <c r="BG892" s="7235"/>
    </row>
    <row customHeight="1" ht="11.25">
      <c r="A893" s="1312" t="s">
        <v>1069</v>
      </c>
      <c r="B893" s="1312"/>
      <c r="C893" s="1312"/>
      <c r="D893" s="1306"/>
      <c r="E893" s="1316"/>
      <c r="F893" s="1974"/>
      <c r="G893" s="1975"/>
      <c r="H893" s="2674" t="s">
        <v>173</v>
      </c>
      <c r="I893" s="2675"/>
      <c r="J893" s="2644"/>
      <c r="K893" s="2676"/>
      <c r="L893" s="2266"/>
      <c r="M893" s="2267"/>
      <c r="N893" s="2667"/>
      <c r="O893" s="2668"/>
      <c r="P893" s="2671"/>
      <c r="Q893" s="8654"/>
      <c r="R893" s="2672"/>
      <c r="S893" s="2673"/>
      <c r="T893" s="2672"/>
      <c r="U893" s="2672"/>
      <c r="V893" s="2672"/>
      <c r="W893" s="2672"/>
      <c r="X893" s="2672"/>
      <c r="Y893" s="2672"/>
      <c r="Z893" s="1321"/>
      <c r="AA893" s="1322"/>
      <c r="AB893" s="1387" t="s">
        <v>1107</v>
      </c>
      <c r="AC893" s="1326"/>
      <c r="AD893" s="1326"/>
      <c r="AE893" s="1328"/>
      <c r="AF893" s="2665"/>
      <c r="AG893" s="2666"/>
      <c r="AH893" s="2666"/>
      <c r="AI893" s="8653"/>
      <c r="AJ893" s="2666"/>
      <c r="AK893" s="2666"/>
      <c r="AL893" s="2131"/>
      <c r="AM893" s="1968"/>
      <c r="AN893" s="1968"/>
      <c r="AO893" s="1968"/>
      <c r="AP893" s="1968"/>
      <c r="AQ893" s="1968"/>
      <c r="AR893" s="1968"/>
      <c r="AS893" s="1968"/>
      <c r="AT893" s="1968"/>
      <c r="AU893" s="1968"/>
      <c r="AV893" s="1968"/>
      <c r="AW893" s="1968"/>
      <c r="AX893" s="1968"/>
      <c r="AY893" s="1968"/>
      <c r="AZ893" s="1968"/>
      <c r="BA893" s="1968"/>
      <c r="BB893" s="1968"/>
      <c r="BC893" s="1968"/>
      <c r="BD893" s="1968"/>
      <c r="BE893" s="1968"/>
      <c r="BF893" s="1968"/>
      <c r="BG893" s="7235"/>
    </row>
    <row customHeight="1" ht="11.25">
      <c r="A894" s="1312" t="s">
        <v>1069</v>
      </c>
      <c r="B894" s="1312"/>
      <c r="C894" s="1312"/>
      <c r="D894" s="1306"/>
      <c r="E894" s="1316"/>
      <c r="F894" s="1974"/>
      <c r="G894" s="1975"/>
      <c r="H894" s="2674" t="s">
        <v>173</v>
      </c>
      <c r="I894" s="2675"/>
      <c r="J894" s="2644"/>
      <c r="K894" s="2676"/>
      <c r="L894" s="2266"/>
      <c r="M894" s="2267"/>
      <c r="N894" s="1321"/>
      <c r="O894" s="1322"/>
      <c r="P894" s="1314" t="s">
        <v>1108</v>
      </c>
      <c r="Q894" s="1322"/>
      <c r="R894" s="1322"/>
      <c r="S894" s="1322"/>
      <c r="T894" s="1322"/>
      <c r="U894" s="1322"/>
      <c r="V894" s="1322"/>
      <c r="W894" s="1322"/>
      <c r="X894" s="1322"/>
      <c r="Y894" s="1322"/>
      <c r="Z894" s="1322"/>
      <c r="AA894" s="1322"/>
      <c r="AB894" s="1322"/>
      <c r="AC894" s="1322"/>
      <c r="AD894" s="1322"/>
      <c r="AE894" s="1329"/>
      <c r="AF894" s="2665"/>
      <c r="AG894" s="2666"/>
      <c r="AH894" s="2666"/>
      <c r="AI894" s="8653"/>
      <c r="AJ894" s="2666"/>
      <c r="AK894" s="2666"/>
      <c r="AL894" s="2131"/>
      <c r="AM894" s="1968"/>
      <c r="AN894" s="1968"/>
      <c r="AO894" s="1968"/>
      <c r="AP894" s="1968"/>
      <c r="AQ894" s="1968"/>
      <c r="AR894" s="1968"/>
      <c r="AS894" s="1968"/>
      <c r="AT894" s="1968"/>
      <c r="AU894" s="1968"/>
      <c r="AV894" s="1968"/>
      <c r="AW894" s="1968"/>
      <c r="AX894" s="1968"/>
      <c r="AY894" s="1968"/>
      <c r="AZ894" s="1968"/>
      <c r="BA894" s="1968"/>
      <c r="BB894" s="1968"/>
      <c r="BC894" s="1968"/>
      <c r="BD894" s="1968"/>
      <c r="BE894" s="1968"/>
      <c r="BF894" s="1968"/>
      <c r="BG894" s="7235"/>
    </row>
    <row customHeight="1" ht="11.25">
      <c r="A895" s="1312" t="s">
        <v>1069</v>
      </c>
      <c r="B895" s="1312" t="s">
        <v>1198</v>
      </c>
      <c r="C895" s="1312"/>
      <c r="D895" s="1306"/>
      <c r="E895" s="1316"/>
      <c r="F895" s="1974"/>
      <c r="G895" s="7143" t="s">
        <v>106</v>
      </c>
      <c r="H895" s="2674" t="s">
        <v>174</v>
      </c>
      <c r="I895" s="2675" t="s">
        <v>1200</v>
      </c>
      <c r="J895" s="2644" t="s">
        <v>1206</v>
      </c>
      <c r="K895" s="2676" t="s">
        <v>1294</v>
      </c>
      <c r="L895" s="2266" t="s">
        <v>19</v>
      </c>
      <c r="M895" s="2267"/>
      <c r="N895" s="2129"/>
      <c r="O895" s="1323" t="s">
        <v>398</v>
      </c>
      <c r="P895" s="1324"/>
      <c r="Q895" s="1324"/>
      <c r="R895" s="1324"/>
      <c r="S895" s="1324"/>
      <c r="T895" s="1324"/>
      <c r="U895" s="1324"/>
      <c r="V895" s="1324"/>
      <c r="W895" s="1324"/>
      <c r="X895" s="1324"/>
      <c r="Y895" s="1324"/>
      <c r="Z895" s="1324"/>
      <c r="AA895" s="1324"/>
      <c r="AB895" s="1324"/>
      <c r="AC895" s="1324"/>
      <c r="AD895" s="1324"/>
      <c r="AE895" s="1324"/>
      <c r="AF895" s="2665">
        <v>2028</v>
      </c>
      <c r="AG895" s="2666" t="s">
        <v>1103</v>
      </c>
      <c r="AH895" s="2666" t="s">
        <v>1228</v>
      </c>
      <c r="AI895" s="8653"/>
      <c r="AJ895" s="2666" t="s">
        <v>1105</v>
      </c>
      <c r="AK895" s="2666" t="s">
        <v>1105</v>
      </c>
      <c r="AL895" s="2131"/>
      <c r="AM895" s="1968"/>
      <c r="AN895" s="1968"/>
      <c r="AO895" s="1968"/>
      <c r="AP895" s="1968"/>
      <c r="AQ895" s="1968"/>
      <c r="AR895" s="1968"/>
      <c r="AS895" s="1968"/>
      <c r="AT895" s="1968"/>
      <c r="AU895" s="1968"/>
      <c r="AV895" s="1968"/>
      <c r="AW895" s="1968"/>
      <c r="AX895" s="1968"/>
      <c r="AY895" s="1968"/>
      <c r="AZ895" s="1968"/>
      <c r="BA895" s="1968"/>
      <c r="BB895" s="1968"/>
      <c r="BC895" s="1968"/>
      <c r="BD895" s="1968"/>
      <c r="BE895" s="1968"/>
      <c r="BF895" s="1968"/>
      <c r="BG895" s="7235"/>
    </row>
    <row customHeight="1" ht="11.25">
      <c r="A896" s="1312" t="s">
        <v>1069</v>
      </c>
      <c r="B896" s="1312"/>
      <c r="C896" s="1312"/>
      <c r="D896" s="1306"/>
      <c r="E896" s="1316"/>
      <c r="F896" s="1974"/>
      <c r="G896" s="1975"/>
      <c r="H896" s="2674" t="s">
        <v>174</v>
      </c>
      <c r="I896" s="2675"/>
      <c r="J896" s="2644"/>
      <c r="K896" s="2676"/>
      <c r="L896" s="2266"/>
      <c r="M896" s="2267"/>
      <c r="N896" s="2667"/>
      <c r="O896" s="2668">
        <v>1</v>
      </c>
      <c r="P896" s="2669" t="s">
        <v>63</v>
      </c>
      <c r="Q896" s="8654" t="s">
        <v>1208</v>
      </c>
      <c r="R896" s="8655" t="s">
        <v>1114</v>
      </c>
      <c r="S896" s="8655" t="s">
        <v>113</v>
      </c>
      <c r="T896" s="8655" t="s">
        <v>113</v>
      </c>
      <c r="U896" s="8655" t="s">
        <v>114</v>
      </c>
      <c r="V896" s="8655" t="s">
        <v>1115</v>
      </c>
      <c r="W896" s="8655" t="s">
        <v>1116</v>
      </c>
      <c r="X896" s="8655" t="s">
        <v>1209</v>
      </c>
      <c r="Y896" s="8655" t="s">
        <v>121</v>
      </c>
      <c r="Z896" s="1321"/>
      <c r="AA896" s="1322"/>
      <c r="AB896" s="1322"/>
      <c r="AC896" s="1326"/>
      <c r="AD896" s="1326"/>
      <c r="AE896" s="1327"/>
      <c r="AF896" s="2665"/>
      <c r="AG896" s="2666"/>
      <c r="AH896" s="2666"/>
      <c r="AI896" s="8653"/>
      <c r="AJ896" s="2666"/>
      <c r="AK896" s="2666"/>
      <c r="AL896" s="2131"/>
      <c r="AM896" s="1968"/>
      <c r="AN896" s="1968"/>
      <c r="AO896" s="1968"/>
      <c r="AP896" s="1968"/>
      <c r="AQ896" s="1968"/>
      <c r="AR896" s="1968"/>
      <c r="AS896" s="1968"/>
      <c r="AT896" s="1968"/>
      <c r="AU896" s="1968"/>
      <c r="AV896" s="1968"/>
      <c r="AW896" s="1968"/>
      <c r="AX896" s="1968"/>
      <c r="AY896" s="1968"/>
      <c r="AZ896" s="1968"/>
      <c r="BA896" s="1968"/>
      <c r="BB896" s="1968"/>
      <c r="BC896" s="1968"/>
      <c r="BD896" s="1968"/>
      <c r="BE896" s="1968"/>
      <c r="BF896" s="1968"/>
      <c r="BG896" s="7235"/>
    </row>
    <row customHeight="1" ht="11.25">
      <c r="A897" s="1312" t="s">
        <v>1069</v>
      </c>
      <c r="B897" s="1312"/>
      <c r="C897" s="1312"/>
      <c r="D897" s="1306"/>
      <c r="E897" s="1316"/>
      <c r="F897" s="1974"/>
      <c r="G897" s="1975"/>
      <c r="H897" s="2674" t="s">
        <v>174</v>
      </c>
      <c r="I897" s="2675"/>
      <c r="J897" s="2644"/>
      <c r="K897" s="2676"/>
      <c r="L897" s="2266"/>
      <c r="M897" s="2267"/>
      <c r="N897" s="2667"/>
      <c r="O897" s="2668"/>
      <c r="P897" s="2670"/>
      <c r="Q897" s="8654"/>
      <c r="R897" s="2672"/>
      <c r="S897" s="2673"/>
      <c r="T897" s="2672"/>
      <c r="U897" s="2672"/>
      <c r="V897" s="2672"/>
      <c r="W897" s="2672"/>
      <c r="X897" s="2672"/>
      <c r="Y897" s="2672"/>
      <c r="Z897" s="1973"/>
      <c r="AA897" s="1939">
        <v>1</v>
      </c>
      <c r="AB897" s="1325" t="s">
        <v>1131</v>
      </c>
      <c r="AC897" s="1315">
        <v>157918</v>
      </c>
      <c r="AD897" s="1325" t="str">
        <f>AB897</f>
        <v>      Прочие амортизационные отчисления</v>
      </c>
      <c r="AE897" s="1315">
        <v>0</v>
      </c>
      <c r="AF897" s="2665"/>
      <c r="AG897" s="2666"/>
      <c r="AH897" s="2666"/>
      <c r="AI897" s="8653"/>
      <c r="AJ897" s="2666"/>
      <c r="AK897" s="2666"/>
      <c r="AL897" s="2131"/>
      <c r="AM897" s="1968"/>
      <c r="AN897" s="1968"/>
      <c r="AO897" s="1968"/>
      <c r="AP897" s="1968"/>
      <c r="AQ897" s="1968"/>
      <c r="AR897" s="1968"/>
      <c r="AS897" s="1968"/>
      <c r="AT897" s="1968"/>
      <c r="AU897" s="1968"/>
      <c r="AV897" s="1968"/>
      <c r="AW897" s="1968"/>
      <c r="AX897" s="1968"/>
      <c r="AY897" s="1968"/>
      <c r="AZ897" s="1968"/>
      <c r="BA897" s="1968"/>
      <c r="BB897" s="1968"/>
      <c r="BC897" s="1968"/>
      <c r="BD897" s="1968"/>
      <c r="BE897" s="1968"/>
      <c r="BF897" s="1968"/>
      <c r="BG897" s="7235"/>
    </row>
    <row customHeight="1" ht="11.25">
      <c r="A898" s="1312" t="s">
        <v>1069</v>
      </c>
      <c r="B898" s="1312"/>
      <c r="C898" s="1312"/>
      <c r="D898" s="1306"/>
      <c r="E898" s="1316"/>
      <c r="F898" s="1974"/>
      <c r="G898" s="1975"/>
      <c r="H898" s="2674" t="s">
        <v>174</v>
      </c>
      <c r="I898" s="2675"/>
      <c r="J898" s="2644"/>
      <c r="K898" s="2676"/>
      <c r="L898" s="2266"/>
      <c r="M898" s="2267"/>
      <c r="N898" s="2667"/>
      <c r="O898" s="2668"/>
      <c r="P898" s="2671"/>
      <c r="Q898" s="8654"/>
      <c r="R898" s="2672"/>
      <c r="S898" s="2673"/>
      <c r="T898" s="2672"/>
      <c r="U898" s="2672"/>
      <c r="V898" s="2672"/>
      <c r="W898" s="2672"/>
      <c r="X898" s="2672"/>
      <c r="Y898" s="2672"/>
      <c r="Z898" s="1321"/>
      <c r="AA898" s="1322"/>
      <c r="AB898" s="1387" t="s">
        <v>1107</v>
      </c>
      <c r="AC898" s="1326"/>
      <c r="AD898" s="1326"/>
      <c r="AE898" s="1328"/>
      <c r="AF898" s="2665"/>
      <c r="AG898" s="2666"/>
      <c r="AH898" s="2666"/>
      <c r="AI898" s="8653"/>
      <c r="AJ898" s="2666"/>
      <c r="AK898" s="2666"/>
      <c r="AL898" s="2131"/>
      <c r="AM898" s="1968"/>
      <c r="AN898" s="1968"/>
      <c r="AO898" s="1968"/>
      <c r="AP898" s="1968"/>
      <c r="AQ898" s="1968"/>
      <c r="AR898" s="1968"/>
      <c r="AS898" s="1968"/>
      <c r="AT898" s="1968"/>
      <c r="AU898" s="1968"/>
      <c r="AV898" s="1968"/>
      <c r="AW898" s="1968"/>
      <c r="AX898" s="1968"/>
      <c r="AY898" s="1968"/>
      <c r="AZ898" s="1968"/>
      <c r="BA898" s="1968"/>
      <c r="BB898" s="1968"/>
      <c r="BC898" s="1968"/>
      <c r="BD898" s="1968"/>
      <c r="BE898" s="1968"/>
      <c r="BF898" s="1968"/>
      <c r="BG898" s="7235"/>
    </row>
    <row customHeight="1" ht="11.25">
      <c r="A899" s="1312" t="s">
        <v>1069</v>
      </c>
      <c r="B899" s="1312"/>
      <c r="C899" s="1312"/>
      <c r="D899" s="1306"/>
      <c r="E899" s="1316"/>
      <c r="F899" s="1974"/>
      <c r="G899" s="1975"/>
      <c r="H899" s="2674" t="s">
        <v>174</v>
      </c>
      <c r="I899" s="2675"/>
      <c r="J899" s="2644"/>
      <c r="K899" s="2676"/>
      <c r="L899" s="2266"/>
      <c r="M899" s="2267"/>
      <c r="N899" s="1321"/>
      <c r="O899" s="1322"/>
      <c r="P899" s="1314" t="s">
        <v>1108</v>
      </c>
      <c r="Q899" s="1322"/>
      <c r="R899" s="1322"/>
      <c r="S899" s="1322"/>
      <c r="T899" s="1322"/>
      <c r="U899" s="1322"/>
      <c r="V899" s="1322"/>
      <c r="W899" s="1322"/>
      <c r="X899" s="1322"/>
      <c r="Y899" s="1322"/>
      <c r="Z899" s="1322"/>
      <c r="AA899" s="1322"/>
      <c r="AB899" s="1322"/>
      <c r="AC899" s="1322"/>
      <c r="AD899" s="1322"/>
      <c r="AE899" s="1329"/>
      <c r="AF899" s="2665"/>
      <c r="AG899" s="2666"/>
      <c r="AH899" s="2666"/>
      <c r="AI899" s="8653"/>
      <c r="AJ899" s="2666"/>
      <c r="AK899" s="2666"/>
      <c r="AL899" s="2131"/>
      <c r="AM899" s="1968"/>
      <c r="AN899" s="1968"/>
      <c r="AO899" s="1968"/>
      <c r="AP899" s="1968"/>
      <c r="AQ899" s="1968"/>
      <c r="AR899" s="1968"/>
      <c r="AS899" s="1968"/>
      <c r="AT899" s="1968"/>
      <c r="AU899" s="1968"/>
      <c r="AV899" s="1968"/>
      <c r="AW899" s="1968"/>
      <c r="AX899" s="1968"/>
      <c r="AY899" s="1968"/>
      <c r="AZ899" s="1968"/>
      <c r="BA899" s="1968"/>
      <c r="BB899" s="1968"/>
      <c r="BC899" s="1968"/>
      <c r="BD899" s="1968"/>
      <c r="BE899" s="1968"/>
      <c r="BF899" s="1968"/>
      <c r="BG899" s="7235"/>
    </row>
    <row customHeight="1" ht="11.25">
      <c r="A900" s="1312" t="s">
        <v>1069</v>
      </c>
      <c r="B900" s="1312" t="s">
        <v>1198</v>
      </c>
      <c r="C900" s="1312"/>
      <c r="D900" s="1306"/>
      <c r="E900" s="1316"/>
      <c r="F900" s="1974"/>
      <c r="G900" s="7143" t="s">
        <v>106</v>
      </c>
      <c r="H900" s="2674" t="s">
        <v>175</v>
      </c>
      <c r="I900" s="2675" t="s">
        <v>1200</v>
      </c>
      <c r="J900" s="2644" t="s">
        <v>1206</v>
      </c>
      <c r="K900" s="2676" t="s">
        <v>1341</v>
      </c>
      <c r="L900" s="2266" t="s">
        <v>19</v>
      </c>
      <c r="M900" s="2267"/>
      <c r="N900" s="2129"/>
      <c r="O900" s="1323" t="s">
        <v>398</v>
      </c>
      <c r="P900" s="1324"/>
      <c r="Q900" s="1324"/>
      <c r="R900" s="1324"/>
      <c r="S900" s="1324"/>
      <c r="T900" s="1324"/>
      <c r="U900" s="1324"/>
      <c r="V900" s="1324"/>
      <c r="W900" s="1324"/>
      <c r="X900" s="1324"/>
      <c r="Y900" s="1324"/>
      <c r="Z900" s="1324"/>
      <c r="AA900" s="1324"/>
      <c r="AB900" s="1324"/>
      <c r="AC900" s="1324"/>
      <c r="AD900" s="1324"/>
      <c r="AE900" s="1324"/>
      <c r="AF900" s="2665">
        <v>2028</v>
      </c>
      <c r="AG900" s="2666" t="s">
        <v>1103</v>
      </c>
      <c r="AH900" s="2666" t="s">
        <v>1228</v>
      </c>
      <c r="AI900" s="8653"/>
      <c r="AJ900" s="2666" t="s">
        <v>1105</v>
      </c>
      <c r="AK900" s="2666" t="s">
        <v>1105</v>
      </c>
      <c r="AL900" s="2131"/>
      <c r="AM900" s="1968"/>
      <c r="AN900" s="1968"/>
      <c r="AO900" s="1968"/>
      <c r="AP900" s="1968"/>
      <c r="AQ900" s="1968"/>
      <c r="AR900" s="1968"/>
      <c r="AS900" s="1968"/>
      <c r="AT900" s="1968"/>
      <c r="AU900" s="1968"/>
      <c r="AV900" s="1968"/>
      <c r="AW900" s="1968"/>
      <c r="AX900" s="1968"/>
      <c r="AY900" s="1968"/>
      <c r="AZ900" s="1968"/>
      <c r="BA900" s="1968"/>
      <c r="BB900" s="1968"/>
      <c r="BC900" s="1968"/>
      <c r="BD900" s="1968"/>
      <c r="BE900" s="1968"/>
      <c r="BF900" s="1968"/>
      <c r="BG900" s="7235"/>
    </row>
    <row customHeight="1" ht="11.25">
      <c r="A901" s="1312" t="s">
        <v>1069</v>
      </c>
      <c r="B901" s="1312"/>
      <c r="C901" s="1312"/>
      <c r="D901" s="1306"/>
      <c r="E901" s="1316"/>
      <c r="F901" s="1974"/>
      <c r="G901" s="1975"/>
      <c r="H901" s="2674" t="s">
        <v>175</v>
      </c>
      <c r="I901" s="2675"/>
      <c r="J901" s="2644"/>
      <c r="K901" s="2676"/>
      <c r="L901" s="2266"/>
      <c r="M901" s="2267"/>
      <c r="N901" s="2667"/>
      <c r="O901" s="2668">
        <v>1</v>
      </c>
      <c r="P901" s="2669" t="s">
        <v>63</v>
      </c>
      <c r="Q901" s="8654" t="s">
        <v>1208</v>
      </c>
      <c r="R901" s="8655" t="s">
        <v>1114</v>
      </c>
      <c r="S901" s="8655" t="s">
        <v>113</v>
      </c>
      <c r="T901" s="8655" t="s">
        <v>113</v>
      </c>
      <c r="U901" s="8655" t="s">
        <v>114</v>
      </c>
      <c r="V901" s="8655" t="s">
        <v>1115</v>
      </c>
      <c r="W901" s="8655" t="s">
        <v>1116</v>
      </c>
      <c r="X901" s="8655" t="s">
        <v>1209</v>
      </c>
      <c r="Y901" s="8655" t="s">
        <v>121</v>
      </c>
      <c r="Z901" s="1321"/>
      <c r="AA901" s="1322"/>
      <c r="AB901" s="1322"/>
      <c r="AC901" s="1326"/>
      <c r="AD901" s="1326"/>
      <c r="AE901" s="1327"/>
      <c r="AF901" s="2665"/>
      <c r="AG901" s="2666"/>
      <c r="AH901" s="2666"/>
      <c r="AI901" s="8653"/>
      <c r="AJ901" s="2666"/>
      <c r="AK901" s="2666"/>
      <c r="AL901" s="2131"/>
      <c r="AM901" s="1968"/>
      <c r="AN901" s="1968"/>
      <c r="AO901" s="1968"/>
      <c r="AP901" s="1968"/>
      <c r="AQ901" s="1968"/>
      <c r="AR901" s="1968"/>
      <c r="AS901" s="1968"/>
      <c r="AT901" s="1968"/>
      <c r="AU901" s="1968"/>
      <c r="AV901" s="1968"/>
      <c r="AW901" s="1968"/>
      <c r="AX901" s="1968"/>
      <c r="AY901" s="1968"/>
      <c r="AZ901" s="1968"/>
      <c r="BA901" s="1968"/>
      <c r="BB901" s="1968"/>
      <c r="BC901" s="1968"/>
      <c r="BD901" s="1968"/>
      <c r="BE901" s="1968"/>
      <c r="BF901" s="1968"/>
      <c r="BG901" s="7235"/>
    </row>
    <row customHeight="1" ht="11.25">
      <c r="A902" s="1312" t="s">
        <v>1069</v>
      </c>
      <c r="B902" s="1312"/>
      <c r="C902" s="1312"/>
      <c r="D902" s="1306"/>
      <c r="E902" s="1316"/>
      <c r="F902" s="1974"/>
      <c r="G902" s="1975"/>
      <c r="H902" s="2674" t="s">
        <v>175</v>
      </c>
      <c r="I902" s="2675"/>
      <c r="J902" s="2644"/>
      <c r="K902" s="2676"/>
      <c r="L902" s="2266"/>
      <c r="M902" s="2267"/>
      <c r="N902" s="2667"/>
      <c r="O902" s="2668"/>
      <c r="P902" s="2670"/>
      <c r="Q902" s="8654"/>
      <c r="R902" s="2672"/>
      <c r="S902" s="2673"/>
      <c r="T902" s="2672"/>
      <c r="U902" s="2672"/>
      <c r="V902" s="2672"/>
      <c r="W902" s="2672"/>
      <c r="X902" s="2672"/>
      <c r="Y902" s="2672"/>
      <c r="Z902" s="1973"/>
      <c r="AA902" s="1939">
        <v>1</v>
      </c>
      <c r="AB902" s="1325" t="s">
        <v>1106</v>
      </c>
      <c r="AC902" s="1315">
        <v>35560</v>
      </c>
      <c r="AD902" s="1325" t="str">
        <f>AB902</f>
        <v>  Прибыль направляемая на инвестиции</v>
      </c>
      <c r="AE902" s="1315">
        <v>0</v>
      </c>
      <c r="AF902" s="2665"/>
      <c r="AG902" s="2666"/>
      <c r="AH902" s="2666"/>
      <c r="AI902" s="8653"/>
      <c r="AJ902" s="2666"/>
      <c r="AK902" s="2666"/>
      <c r="AL902" s="2131"/>
      <c r="AM902" s="1968"/>
      <c r="AN902" s="1968"/>
      <c r="AO902" s="1968"/>
      <c r="AP902" s="1968"/>
      <c r="AQ902" s="1968"/>
      <c r="AR902" s="1968"/>
      <c r="AS902" s="1968"/>
      <c r="AT902" s="1968"/>
      <c r="AU902" s="1968"/>
      <c r="AV902" s="1968"/>
      <c r="AW902" s="1968"/>
      <c r="AX902" s="1968"/>
      <c r="AY902" s="1968"/>
      <c r="AZ902" s="1968"/>
      <c r="BA902" s="1968"/>
      <c r="BB902" s="1968"/>
      <c r="BC902" s="1968"/>
      <c r="BD902" s="1968"/>
      <c r="BE902" s="1968"/>
      <c r="BF902" s="1968"/>
      <c r="BG902" s="7235"/>
    </row>
    <row customHeight="1" ht="11.25">
      <c r="A903" s="1312" t="s">
        <v>1069</v>
      </c>
      <c r="B903" s="1312"/>
      <c r="C903" s="1312"/>
      <c r="D903" s="1306"/>
      <c r="E903" s="1316"/>
      <c r="F903" s="1974"/>
      <c r="G903" s="1975"/>
      <c r="H903" s="2674" t="s">
        <v>175</v>
      </c>
      <c r="I903" s="2675"/>
      <c r="J903" s="2644"/>
      <c r="K903" s="2676"/>
      <c r="L903" s="2266"/>
      <c r="M903" s="2267"/>
      <c r="N903" s="2667"/>
      <c r="O903" s="2668"/>
      <c r="P903" s="2671"/>
      <c r="Q903" s="8654"/>
      <c r="R903" s="2672"/>
      <c r="S903" s="2673"/>
      <c r="T903" s="2672"/>
      <c r="U903" s="2672"/>
      <c r="V903" s="2672"/>
      <c r="W903" s="2672"/>
      <c r="X903" s="2672"/>
      <c r="Y903" s="2672"/>
      <c r="Z903" s="1321"/>
      <c r="AA903" s="1322"/>
      <c r="AB903" s="1387" t="s">
        <v>1107</v>
      </c>
      <c r="AC903" s="1326"/>
      <c r="AD903" s="1326"/>
      <c r="AE903" s="1328"/>
      <c r="AF903" s="2665"/>
      <c r="AG903" s="2666"/>
      <c r="AH903" s="2666"/>
      <c r="AI903" s="8653"/>
      <c r="AJ903" s="2666"/>
      <c r="AK903" s="2666"/>
      <c r="AL903" s="2131"/>
      <c r="AM903" s="1968"/>
      <c r="AN903" s="1968"/>
      <c r="AO903" s="1968"/>
      <c r="AP903" s="1968"/>
      <c r="AQ903" s="1968"/>
      <c r="AR903" s="1968"/>
      <c r="AS903" s="1968"/>
      <c r="AT903" s="1968"/>
      <c r="AU903" s="1968"/>
      <c r="AV903" s="1968"/>
      <c r="AW903" s="1968"/>
      <c r="AX903" s="1968"/>
      <c r="AY903" s="1968"/>
      <c r="AZ903" s="1968"/>
      <c r="BA903" s="1968"/>
      <c r="BB903" s="1968"/>
      <c r="BC903" s="1968"/>
      <c r="BD903" s="1968"/>
      <c r="BE903" s="1968"/>
      <c r="BF903" s="1968"/>
      <c r="BG903" s="7235"/>
    </row>
    <row customHeight="1" ht="11.25">
      <c r="A904" s="1312" t="s">
        <v>1069</v>
      </c>
      <c r="B904" s="1312"/>
      <c r="C904" s="1312"/>
      <c r="D904" s="1306"/>
      <c r="E904" s="1316"/>
      <c r="F904" s="1974"/>
      <c r="G904" s="1975"/>
      <c r="H904" s="2674" t="s">
        <v>175</v>
      </c>
      <c r="I904" s="2675"/>
      <c r="J904" s="2644"/>
      <c r="K904" s="2676"/>
      <c r="L904" s="2266"/>
      <c r="M904" s="2267"/>
      <c r="N904" s="1321"/>
      <c r="O904" s="1322"/>
      <c r="P904" s="1314" t="s">
        <v>1108</v>
      </c>
      <c r="Q904" s="1322"/>
      <c r="R904" s="1322"/>
      <c r="S904" s="1322"/>
      <c r="T904" s="1322"/>
      <c r="U904" s="1322"/>
      <c r="V904" s="1322"/>
      <c r="W904" s="1322"/>
      <c r="X904" s="1322"/>
      <c r="Y904" s="1322"/>
      <c r="Z904" s="1322"/>
      <c r="AA904" s="1322"/>
      <c r="AB904" s="1322"/>
      <c r="AC904" s="1322"/>
      <c r="AD904" s="1322"/>
      <c r="AE904" s="1329"/>
      <c r="AF904" s="2665"/>
      <c r="AG904" s="2666"/>
      <c r="AH904" s="2666"/>
      <c r="AI904" s="8653"/>
      <c r="AJ904" s="2666"/>
      <c r="AK904" s="2666"/>
      <c r="AL904" s="2131"/>
      <c r="AM904" s="1968"/>
      <c r="AN904" s="1968"/>
      <c r="AO904" s="1968"/>
      <c r="AP904" s="1968"/>
      <c r="AQ904" s="1968"/>
      <c r="AR904" s="1968"/>
      <c r="AS904" s="1968"/>
      <c r="AT904" s="1968"/>
      <c r="AU904" s="1968"/>
      <c r="AV904" s="1968"/>
      <c r="AW904" s="1968"/>
      <c r="AX904" s="1968"/>
      <c r="AY904" s="1968"/>
      <c r="AZ904" s="1968"/>
      <c r="BA904" s="1968"/>
      <c r="BB904" s="1968"/>
      <c r="BC904" s="1968"/>
      <c r="BD904" s="1968"/>
      <c r="BE904" s="1968"/>
      <c r="BF904" s="1968"/>
      <c r="BG904" s="7235"/>
    </row>
    <row customHeight="1" ht="11.25">
      <c r="A905" s="1312" t="s">
        <v>1069</v>
      </c>
      <c r="B905" s="1312" t="s">
        <v>1198</v>
      </c>
      <c r="C905" s="1312"/>
      <c r="D905" s="1306"/>
      <c r="E905" s="1316"/>
      <c r="F905" s="1974"/>
      <c r="G905" s="7143" t="s">
        <v>106</v>
      </c>
      <c r="H905" s="2674" t="s">
        <v>176</v>
      </c>
      <c r="I905" s="2675" t="s">
        <v>1200</v>
      </c>
      <c r="J905" s="2644" t="s">
        <v>1206</v>
      </c>
      <c r="K905" s="2676" t="s">
        <v>1342</v>
      </c>
      <c r="L905" s="2266" t="s">
        <v>19</v>
      </c>
      <c r="M905" s="2267"/>
      <c r="N905" s="2129"/>
      <c r="O905" s="1323" t="s">
        <v>398</v>
      </c>
      <c r="P905" s="1324"/>
      <c r="Q905" s="1324"/>
      <c r="R905" s="1324"/>
      <c r="S905" s="1324"/>
      <c r="T905" s="1324"/>
      <c r="U905" s="1324"/>
      <c r="V905" s="1324"/>
      <c r="W905" s="1324"/>
      <c r="X905" s="1324"/>
      <c r="Y905" s="1324"/>
      <c r="Z905" s="1324"/>
      <c r="AA905" s="1324"/>
      <c r="AB905" s="1324"/>
      <c r="AC905" s="1324"/>
      <c r="AD905" s="1324"/>
      <c r="AE905" s="1324"/>
      <c r="AF905" s="2665">
        <v>2028</v>
      </c>
      <c r="AG905" s="2666" t="s">
        <v>1103</v>
      </c>
      <c r="AH905" s="2666" t="s">
        <v>1228</v>
      </c>
      <c r="AI905" s="8653"/>
      <c r="AJ905" s="2666" t="s">
        <v>1105</v>
      </c>
      <c r="AK905" s="2666" t="s">
        <v>1105</v>
      </c>
      <c r="AL905" s="2131"/>
      <c r="AM905" s="1968"/>
      <c r="AN905" s="1968"/>
      <c r="AO905" s="1968"/>
      <c r="AP905" s="1968"/>
      <c r="AQ905" s="1968"/>
      <c r="AR905" s="1968"/>
      <c r="AS905" s="1968"/>
      <c r="AT905" s="1968"/>
      <c r="AU905" s="1968"/>
      <c r="AV905" s="1968"/>
      <c r="AW905" s="1968"/>
      <c r="AX905" s="1968"/>
      <c r="AY905" s="1968"/>
      <c r="AZ905" s="1968"/>
      <c r="BA905" s="1968"/>
      <c r="BB905" s="1968"/>
      <c r="BC905" s="1968"/>
      <c r="BD905" s="1968"/>
      <c r="BE905" s="1968"/>
      <c r="BF905" s="1968"/>
      <c r="BG905" s="7235"/>
    </row>
    <row customHeight="1" ht="11.25">
      <c r="A906" s="1312" t="s">
        <v>1069</v>
      </c>
      <c r="B906" s="1312"/>
      <c r="C906" s="1312"/>
      <c r="D906" s="1306"/>
      <c r="E906" s="1316"/>
      <c r="F906" s="1974"/>
      <c r="G906" s="1975"/>
      <c r="H906" s="2674" t="s">
        <v>176</v>
      </c>
      <c r="I906" s="2675"/>
      <c r="J906" s="2644"/>
      <c r="K906" s="2676"/>
      <c r="L906" s="2266"/>
      <c r="M906" s="2267"/>
      <c r="N906" s="2667"/>
      <c r="O906" s="2668">
        <v>1</v>
      </c>
      <c r="P906" s="2669" t="s">
        <v>63</v>
      </c>
      <c r="Q906" s="8654" t="s">
        <v>1208</v>
      </c>
      <c r="R906" s="8655" t="s">
        <v>1114</v>
      </c>
      <c r="S906" s="8655" t="s">
        <v>113</v>
      </c>
      <c r="T906" s="8655" t="s">
        <v>113</v>
      </c>
      <c r="U906" s="8655" t="s">
        <v>114</v>
      </c>
      <c r="V906" s="8655" t="s">
        <v>1115</v>
      </c>
      <c r="W906" s="8655" t="s">
        <v>1116</v>
      </c>
      <c r="X906" s="8655" t="s">
        <v>1209</v>
      </c>
      <c r="Y906" s="8655" t="s">
        <v>121</v>
      </c>
      <c r="Z906" s="1321"/>
      <c r="AA906" s="1322"/>
      <c r="AB906" s="1322"/>
      <c r="AC906" s="1326"/>
      <c r="AD906" s="1326"/>
      <c r="AE906" s="1327"/>
      <c r="AF906" s="2665"/>
      <c r="AG906" s="2666"/>
      <c r="AH906" s="2666"/>
      <c r="AI906" s="8653"/>
      <c r="AJ906" s="2666"/>
      <c r="AK906" s="2666"/>
      <c r="AL906" s="2131"/>
      <c r="AM906" s="1968"/>
      <c r="AN906" s="1968"/>
      <c r="AO906" s="1968"/>
      <c r="AP906" s="1968"/>
      <c r="AQ906" s="1968"/>
      <c r="AR906" s="1968"/>
      <c r="AS906" s="1968"/>
      <c r="AT906" s="1968"/>
      <c r="AU906" s="1968"/>
      <c r="AV906" s="1968"/>
      <c r="AW906" s="1968"/>
      <c r="AX906" s="1968"/>
      <c r="AY906" s="1968"/>
      <c r="AZ906" s="1968"/>
      <c r="BA906" s="1968"/>
      <c r="BB906" s="1968"/>
      <c r="BC906" s="1968"/>
      <c r="BD906" s="1968"/>
      <c r="BE906" s="1968"/>
      <c r="BF906" s="1968"/>
      <c r="BG906" s="7235"/>
    </row>
    <row customHeight="1" ht="11.25">
      <c r="A907" s="1312" t="s">
        <v>1069</v>
      </c>
      <c r="B907" s="1312"/>
      <c r="C907" s="1312"/>
      <c r="D907" s="1306"/>
      <c r="E907" s="1316"/>
      <c r="F907" s="1974"/>
      <c r="G907" s="1975"/>
      <c r="H907" s="2674" t="s">
        <v>176</v>
      </c>
      <c r="I907" s="2675"/>
      <c r="J907" s="2644"/>
      <c r="K907" s="2676"/>
      <c r="L907" s="2266"/>
      <c r="M907" s="2267"/>
      <c r="N907" s="2667"/>
      <c r="O907" s="2668"/>
      <c r="P907" s="2670"/>
      <c r="Q907" s="8654"/>
      <c r="R907" s="2672"/>
      <c r="S907" s="2673"/>
      <c r="T907" s="2672"/>
      <c r="U907" s="2672"/>
      <c r="V907" s="2672"/>
      <c r="W907" s="2672"/>
      <c r="X907" s="2672"/>
      <c r="Y907" s="2672"/>
      <c r="Z907" s="1973"/>
      <c r="AA907" s="1939">
        <v>1</v>
      </c>
      <c r="AB907" s="1325" t="s">
        <v>1106</v>
      </c>
      <c r="AC907" s="1315">
        <v>61844</v>
      </c>
      <c r="AD907" s="1325" t="str">
        <f>AB907</f>
        <v>  Прибыль направляемая на инвестиции</v>
      </c>
      <c r="AE907" s="1315">
        <v>0</v>
      </c>
      <c r="AF907" s="2665"/>
      <c r="AG907" s="2666"/>
      <c r="AH907" s="2666"/>
      <c r="AI907" s="8653"/>
      <c r="AJ907" s="2666"/>
      <c r="AK907" s="2666"/>
      <c r="AL907" s="2131"/>
      <c r="AM907" s="1968"/>
      <c r="AN907" s="1968"/>
      <c r="AO907" s="1968"/>
      <c r="AP907" s="1968"/>
      <c r="AQ907" s="1968"/>
      <c r="AR907" s="1968"/>
      <c r="AS907" s="1968"/>
      <c r="AT907" s="1968"/>
      <c r="AU907" s="1968"/>
      <c r="AV907" s="1968"/>
      <c r="AW907" s="1968"/>
      <c r="AX907" s="1968"/>
      <c r="AY907" s="1968"/>
      <c r="AZ907" s="1968"/>
      <c r="BA907" s="1968"/>
      <c r="BB907" s="1968"/>
      <c r="BC907" s="1968"/>
      <c r="BD907" s="1968"/>
      <c r="BE907" s="1968"/>
      <c r="BF907" s="1968"/>
      <c r="BG907" s="7235"/>
    </row>
    <row customHeight="1" ht="11.25">
      <c r="A908" s="1312" t="s">
        <v>1069</v>
      </c>
      <c r="B908" s="1312"/>
      <c r="C908" s="1312"/>
      <c r="D908" s="1306"/>
      <c r="E908" s="1316"/>
      <c r="F908" s="1974"/>
      <c r="G908" s="1975"/>
      <c r="H908" s="2674" t="s">
        <v>176</v>
      </c>
      <c r="I908" s="2675"/>
      <c r="J908" s="2644"/>
      <c r="K908" s="2676"/>
      <c r="L908" s="2266"/>
      <c r="M908" s="2267"/>
      <c r="N908" s="2667"/>
      <c r="O908" s="2668"/>
      <c r="P908" s="2671"/>
      <c r="Q908" s="8654"/>
      <c r="R908" s="2672"/>
      <c r="S908" s="2673"/>
      <c r="T908" s="2672"/>
      <c r="U908" s="2672"/>
      <c r="V908" s="2672"/>
      <c r="W908" s="2672"/>
      <c r="X908" s="2672"/>
      <c r="Y908" s="2672"/>
      <c r="Z908" s="1321"/>
      <c r="AA908" s="1322"/>
      <c r="AB908" s="1387" t="s">
        <v>1107</v>
      </c>
      <c r="AC908" s="1326"/>
      <c r="AD908" s="1326"/>
      <c r="AE908" s="1328"/>
      <c r="AF908" s="2665"/>
      <c r="AG908" s="2666"/>
      <c r="AH908" s="2666"/>
      <c r="AI908" s="8653"/>
      <c r="AJ908" s="2666"/>
      <c r="AK908" s="2666"/>
      <c r="AL908" s="2131"/>
      <c r="AM908" s="1968"/>
      <c r="AN908" s="1968"/>
      <c r="AO908" s="1968"/>
      <c r="AP908" s="1968"/>
      <c r="AQ908" s="1968"/>
      <c r="AR908" s="1968"/>
      <c r="AS908" s="1968"/>
      <c r="AT908" s="1968"/>
      <c r="AU908" s="1968"/>
      <c r="AV908" s="1968"/>
      <c r="AW908" s="1968"/>
      <c r="AX908" s="1968"/>
      <c r="AY908" s="1968"/>
      <c r="AZ908" s="1968"/>
      <c r="BA908" s="1968"/>
      <c r="BB908" s="1968"/>
      <c r="BC908" s="1968"/>
      <c r="BD908" s="1968"/>
      <c r="BE908" s="1968"/>
      <c r="BF908" s="1968"/>
      <c r="BG908" s="7235"/>
    </row>
    <row customHeight="1" ht="11.25">
      <c r="A909" s="1312" t="s">
        <v>1069</v>
      </c>
      <c r="B909" s="1312"/>
      <c r="C909" s="1312"/>
      <c r="D909" s="1306"/>
      <c r="E909" s="1316"/>
      <c r="F909" s="1974"/>
      <c r="G909" s="1975"/>
      <c r="H909" s="2674" t="s">
        <v>176</v>
      </c>
      <c r="I909" s="2675"/>
      <c r="J909" s="2644"/>
      <c r="K909" s="2676"/>
      <c r="L909" s="2266"/>
      <c r="M909" s="2267"/>
      <c r="N909" s="1321"/>
      <c r="O909" s="1322"/>
      <c r="P909" s="1314" t="s">
        <v>1108</v>
      </c>
      <c r="Q909" s="1322"/>
      <c r="R909" s="1322"/>
      <c r="S909" s="1322"/>
      <c r="T909" s="1322"/>
      <c r="U909" s="1322"/>
      <c r="V909" s="1322"/>
      <c r="W909" s="1322"/>
      <c r="X909" s="1322"/>
      <c r="Y909" s="1322"/>
      <c r="Z909" s="1322"/>
      <c r="AA909" s="1322"/>
      <c r="AB909" s="1322"/>
      <c r="AC909" s="1322"/>
      <c r="AD909" s="1322"/>
      <c r="AE909" s="1329"/>
      <c r="AF909" s="2665"/>
      <c r="AG909" s="2666"/>
      <c r="AH909" s="2666"/>
      <c r="AI909" s="8653"/>
      <c r="AJ909" s="2666"/>
      <c r="AK909" s="2666"/>
      <c r="AL909" s="2131"/>
      <c r="AM909" s="1968"/>
      <c r="AN909" s="1968"/>
      <c r="AO909" s="1968"/>
      <c r="AP909" s="1968"/>
      <c r="AQ909" s="1968"/>
      <c r="AR909" s="1968"/>
      <c r="AS909" s="1968"/>
      <c r="AT909" s="1968"/>
      <c r="AU909" s="1968"/>
      <c r="AV909" s="1968"/>
      <c r="AW909" s="1968"/>
      <c r="AX909" s="1968"/>
      <c r="AY909" s="1968"/>
      <c r="AZ909" s="1968"/>
      <c r="BA909" s="1968"/>
      <c r="BB909" s="1968"/>
      <c r="BC909" s="1968"/>
      <c r="BD909" s="1968"/>
      <c r="BE909" s="1968"/>
      <c r="BF909" s="1968"/>
      <c r="BG909" s="7235"/>
    </row>
    <row customHeight="1" ht="11.25">
      <c r="A910" s="1312" t="s">
        <v>1069</v>
      </c>
      <c r="B910" s="1312" t="s">
        <v>1198</v>
      </c>
      <c r="C910" s="1312"/>
      <c r="D910" s="1306"/>
      <c r="E910" s="1316"/>
      <c r="F910" s="1974"/>
      <c r="G910" s="7143" t="s">
        <v>106</v>
      </c>
      <c r="H910" s="2674" t="s">
        <v>177</v>
      </c>
      <c r="I910" s="2675" t="s">
        <v>1200</v>
      </c>
      <c r="J910" s="2644" t="s">
        <v>1206</v>
      </c>
      <c r="K910" s="2676" t="s">
        <v>1343</v>
      </c>
      <c r="L910" s="2266" t="s">
        <v>19</v>
      </c>
      <c r="M910" s="2267"/>
      <c r="N910" s="2129"/>
      <c r="O910" s="1323" t="s">
        <v>398</v>
      </c>
      <c r="P910" s="1324"/>
      <c r="Q910" s="1324"/>
      <c r="R910" s="1324"/>
      <c r="S910" s="1324"/>
      <c r="T910" s="1324"/>
      <c r="U910" s="1324"/>
      <c r="V910" s="1324"/>
      <c r="W910" s="1324"/>
      <c r="X910" s="1324"/>
      <c r="Y910" s="1324"/>
      <c r="Z910" s="1324"/>
      <c r="AA910" s="1324"/>
      <c r="AB910" s="1324"/>
      <c r="AC910" s="1324"/>
      <c r="AD910" s="1324"/>
      <c r="AE910" s="1324"/>
      <c r="AF910" s="2665">
        <v>2027</v>
      </c>
      <c r="AG910" s="2666" t="s">
        <v>1103</v>
      </c>
      <c r="AH910" s="2666" t="s">
        <v>1164</v>
      </c>
      <c r="AI910" s="8653"/>
      <c r="AJ910" s="2666" t="s">
        <v>1105</v>
      </c>
      <c r="AK910" s="2666" t="s">
        <v>1105</v>
      </c>
      <c r="AL910" s="2131"/>
      <c r="AM910" s="1968"/>
      <c r="AN910" s="1968"/>
      <c r="AO910" s="1968"/>
      <c r="AP910" s="1968"/>
      <c r="AQ910" s="1968"/>
      <c r="AR910" s="1968"/>
      <c r="AS910" s="1968"/>
      <c r="AT910" s="1968"/>
      <c r="AU910" s="1968"/>
      <c r="AV910" s="1968"/>
      <c r="AW910" s="1968"/>
      <c r="AX910" s="1968"/>
      <c r="AY910" s="1968"/>
      <c r="AZ910" s="1968"/>
      <c r="BA910" s="1968"/>
      <c r="BB910" s="1968"/>
      <c r="BC910" s="1968"/>
      <c r="BD910" s="1968"/>
      <c r="BE910" s="1968"/>
      <c r="BF910" s="1968"/>
      <c r="BG910" s="7235"/>
    </row>
    <row customHeight="1" ht="11.25">
      <c r="A911" s="1312" t="s">
        <v>1069</v>
      </c>
      <c r="B911" s="1312"/>
      <c r="C911" s="1312"/>
      <c r="D911" s="1306"/>
      <c r="E911" s="1316"/>
      <c r="F911" s="1974"/>
      <c r="G911" s="1975"/>
      <c r="H911" s="2674" t="s">
        <v>177</v>
      </c>
      <c r="I911" s="2675"/>
      <c r="J911" s="2644"/>
      <c r="K911" s="2676"/>
      <c r="L911" s="2266"/>
      <c r="M911" s="2267"/>
      <c r="N911" s="2667"/>
      <c r="O911" s="2668">
        <v>1</v>
      </c>
      <c r="P911" s="2669" t="s">
        <v>63</v>
      </c>
      <c r="Q911" s="8654" t="s">
        <v>1208</v>
      </c>
      <c r="R911" s="8655" t="s">
        <v>1114</v>
      </c>
      <c r="S911" s="8655" t="s">
        <v>113</v>
      </c>
      <c r="T911" s="8655" t="s">
        <v>113</v>
      </c>
      <c r="U911" s="8655" t="s">
        <v>114</v>
      </c>
      <c r="V911" s="8655" t="s">
        <v>1115</v>
      </c>
      <c r="W911" s="8655" t="s">
        <v>1116</v>
      </c>
      <c r="X911" s="8655" t="s">
        <v>1209</v>
      </c>
      <c r="Y911" s="8655" t="s">
        <v>121</v>
      </c>
      <c r="Z911" s="1321"/>
      <c r="AA911" s="1322"/>
      <c r="AB911" s="1322"/>
      <c r="AC911" s="1326"/>
      <c r="AD911" s="1326"/>
      <c r="AE911" s="1327"/>
      <c r="AF911" s="2665"/>
      <c r="AG911" s="2666"/>
      <c r="AH911" s="2666"/>
      <c r="AI911" s="8653"/>
      <c r="AJ911" s="2666"/>
      <c r="AK911" s="2666"/>
      <c r="AL911" s="2131"/>
      <c r="AM911" s="1968"/>
      <c r="AN911" s="1968"/>
      <c r="AO911" s="1968"/>
      <c r="AP911" s="1968"/>
      <c r="AQ911" s="1968"/>
      <c r="AR911" s="1968"/>
      <c r="AS911" s="1968"/>
      <c r="AT911" s="1968"/>
      <c r="AU911" s="1968"/>
      <c r="AV911" s="1968"/>
      <c r="AW911" s="1968"/>
      <c r="AX911" s="1968"/>
      <c r="AY911" s="1968"/>
      <c r="AZ911" s="1968"/>
      <c r="BA911" s="1968"/>
      <c r="BB911" s="1968"/>
      <c r="BC911" s="1968"/>
      <c r="BD911" s="1968"/>
      <c r="BE911" s="1968"/>
      <c r="BF911" s="1968"/>
      <c r="BG911" s="7235"/>
    </row>
    <row customHeight="1" ht="11.25">
      <c r="A912" s="1312" t="s">
        <v>1069</v>
      </c>
      <c r="B912" s="1312"/>
      <c r="C912" s="1312"/>
      <c r="D912" s="1306"/>
      <c r="E912" s="1316"/>
      <c r="F912" s="1974"/>
      <c r="G912" s="1975"/>
      <c r="H912" s="2674" t="s">
        <v>177</v>
      </c>
      <c r="I912" s="2675"/>
      <c r="J912" s="2644"/>
      <c r="K912" s="2676"/>
      <c r="L912" s="2266"/>
      <c r="M912" s="2267"/>
      <c r="N912" s="2667"/>
      <c r="O912" s="2668"/>
      <c r="P912" s="2670"/>
      <c r="Q912" s="8654"/>
      <c r="R912" s="2672"/>
      <c r="S912" s="2673"/>
      <c r="T912" s="2672"/>
      <c r="U912" s="2672"/>
      <c r="V912" s="2672"/>
      <c r="W912" s="2672"/>
      <c r="X912" s="2672"/>
      <c r="Y912" s="2672"/>
      <c r="Z912" s="1973"/>
      <c r="AA912" s="1939">
        <v>1</v>
      </c>
      <c r="AB912" s="1325" t="s">
        <v>1131</v>
      </c>
      <c r="AC912" s="1315">
        <v>8524</v>
      </c>
      <c r="AD912" s="1325" t="str">
        <f>AB912</f>
        <v>      Прочие амортизационные отчисления</v>
      </c>
      <c r="AE912" s="1315">
        <v>0</v>
      </c>
      <c r="AF912" s="2665"/>
      <c r="AG912" s="2666"/>
      <c r="AH912" s="2666"/>
      <c r="AI912" s="8653"/>
      <c r="AJ912" s="2666"/>
      <c r="AK912" s="2666"/>
      <c r="AL912" s="2131"/>
      <c r="AM912" s="1968"/>
      <c r="AN912" s="1968"/>
      <c r="AO912" s="1968"/>
      <c r="AP912" s="1968"/>
      <c r="AQ912" s="1968"/>
      <c r="AR912" s="1968"/>
      <c r="AS912" s="1968"/>
      <c r="AT912" s="1968"/>
      <c r="AU912" s="1968"/>
      <c r="AV912" s="1968"/>
      <c r="AW912" s="1968"/>
      <c r="AX912" s="1968"/>
      <c r="AY912" s="1968"/>
      <c r="AZ912" s="1968"/>
      <c r="BA912" s="1968"/>
      <c r="BB912" s="1968"/>
      <c r="BC912" s="1968"/>
      <c r="BD912" s="1968"/>
      <c r="BE912" s="1968"/>
      <c r="BF912" s="1968"/>
      <c r="BG912" s="7235"/>
    </row>
    <row customHeight="1" ht="11.25">
      <c r="A913" s="1312" t="s">
        <v>1069</v>
      </c>
      <c r="B913" s="1312"/>
      <c r="C913" s="1312"/>
      <c r="D913" s="1306"/>
      <c r="E913" s="1316"/>
      <c r="F913" s="1974"/>
      <c r="G913" s="1975"/>
      <c r="H913" s="2674" t="s">
        <v>177</v>
      </c>
      <c r="I913" s="2675"/>
      <c r="J913" s="2644"/>
      <c r="K913" s="2676"/>
      <c r="L913" s="2266"/>
      <c r="M913" s="2267"/>
      <c r="N913" s="2667"/>
      <c r="O913" s="2668"/>
      <c r="P913" s="2671"/>
      <c r="Q913" s="8654"/>
      <c r="R913" s="2672"/>
      <c r="S913" s="2673"/>
      <c r="T913" s="2672"/>
      <c r="U913" s="2672"/>
      <c r="V913" s="2672"/>
      <c r="W913" s="2672"/>
      <c r="X913" s="2672"/>
      <c r="Y913" s="2672"/>
      <c r="Z913" s="1321"/>
      <c r="AA913" s="1322"/>
      <c r="AB913" s="1387" t="s">
        <v>1107</v>
      </c>
      <c r="AC913" s="1326"/>
      <c r="AD913" s="1326"/>
      <c r="AE913" s="1328"/>
      <c r="AF913" s="2665"/>
      <c r="AG913" s="2666"/>
      <c r="AH913" s="2666"/>
      <c r="AI913" s="8653"/>
      <c r="AJ913" s="2666"/>
      <c r="AK913" s="2666"/>
      <c r="AL913" s="2131"/>
      <c r="AM913" s="1968"/>
      <c r="AN913" s="1968"/>
      <c r="AO913" s="1968"/>
      <c r="AP913" s="1968"/>
      <c r="AQ913" s="1968"/>
      <c r="AR913" s="1968"/>
      <c r="AS913" s="1968"/>
      <c r="AT913" s="1968"/>
      <c r="AU913" s="1968"/>
      <c r="AV913" s="1968"/>
      <c r="AW913" s="1968"/>
      <c r="AX913" s="1968"/>
      <c r="AY913" s="1968"/>
      <c r="AZ913" s="1968"/>
      <c r="BA913" s="1968"/>
      <c r="BB913" s="1968"/>
      <c r="BC913" s="1968"/>
      <c r="BD913" s="1968"/>
      <c r="BE913" s="1968"/>
      <c r="BF913" s="1968"/>
      <c r="BG913" s="7235"/>
    </row>
    <row customHeight="1" ht="11.25">
      <c r="A914" s="1312" t="s">
        <v>1069</v>
      </c>
      <c r="B914" s="1312"/>
      <c r="C914" s="1312"/>
      <c r="D914" s="1306"/>
      <c r="E914" s="1316"/>
      <c r="F914" s="1974"/>
      <c r="G914" s="1975"/>
      <c r="H914" s="2674" t="s">
        <v>177</v>
      </c>
      <c r="I914" s="2675"/>
      <c r="J914" s="2644"/>
      <c r="K914" s="2676"/>
      <c r="L914" s="2266"/>
      <c r="M914" s="2267"/>
      <c r="N914" s="1321"/>
      <c r="O914" s="1322"/>
      <c r="P914" s="1314" t="s">
        <v>1108</v>
      </c>
      <c r="Q914" s="1322"/>
      <c r="R914" s="1322"/>
      <c r="S914" s="1322"/>
      <c r="T914" s="1322"/>
      <c r="U914" s="1322"/>
      <c r="V914" s="1322"/>
      <c r="W914" s="1322"/>
      <c r="X914" s="1322"/>
      <c r="Y914" s="1322"/>
      <c r="Z914" s="1322"/>
      <c r="AA914" s="1322"/>
      <c r="AB914" s="1322"/>
      <c r="AC914" s="1322"/>
      <c r="AD914" s="1322"/>
      <c r="AE914" s="1329"/>
      <c r="AF914" s="2665"/>
      <c r="AG914" s="2666"/>
      <c r="AH914" s="2666"/>
      <c r="AI914" s="8653"/>
      <c r="AJ914" s="2666"/>
      <c r="AK914" s="2666"/>
      <c r="AL914" s="2131"/>
      <c r="AM914" s="1968"/>
      <c r="AN914" s="1968"/>
      <c r="AO914" s="1968"/>
      <c r="AP914" s="1968"/>
      <c r="AQ914" s="1968"/>
      <c r="AR914" s="1968"/>
      <c r="AS914" s="1968"/>
      <c r="AT914" s="1968"/>
      <c r="AU914" s="1968"/>
      <c r="AV914" s="1968"/>
      <c r="AW914" s="1968"/>
      <c r="AX914" s="1968"/>
      <c r="AY914" s="1968"/>
      <c r="AZ914" s="1968"/>
      <c r="BA914" s="1968"/>
      <c r="BB914" s="1968"/>
      <c r="BC914" s="1968"/>
      <c r="BD914" s="1968"/>
      <c r="BE914" s="1968"/>
      <c r="BF914" s="1968"/>
      <c r="BG914" s="7235"/>
    </row>
    <row customHeight="1" ht="11.25">
      <c r="A915" s="1312" t="s">
        <v>1069</v>
      </c>
      <c r="B915" s="1312" t="s">
        <v>1198</v>
      </c>
      <c r="C915" s="1312"/>
      <c r="D915" s="1306"/>
      <c r="E915" s="1316"/>
      <c r="F915" s="1974"/>
      <c r="G915" s="7143" t="s">
        <v>106</v>
      </c>
      <c r="H915" s="2674" t="s">
        <v>1190</v>
      </c>
      <c r="I915" s="2675" t="s">
        <v>1200</v>
      </c>
      <c r="J915" s="2644" t="s">
        <v>1206</v>
      </c>
      <c r="K915" s="2676" t="s">
        <v>1299</v>
      </c>
      <c r="L915" s="2266" t="s">
        <v>19</v>
      </c>
      <c r="M915" s="2267"/>
      <c r="N915" s="2129"/>
      <c r="O915" s="1323" t="s">
        <v>398</v>
      </c>
      <c r="P915" s="1324"/>
      <c r="Q915" s="1324"/>
      <c r="R915" s="1324"/>
      <c r="S915" s="1324"/>
      <c r="T915" s="1324"/>
      <c r="U915" s="1324"/>
      <c r="V915" s="1324"/>
      <c r="W915" s="1324"/>
      <c r="X915" s="1324"/>
      <c r="Y915" s="1324"/>
      <c r="Z915" s="1324"/>
      <c r="AA915" s="1324"/>
      <c r="AB915" s="1324"/>
      <c r="AC915" s="1324"/>
      <c r="AD915" s="1324"/>
      <c r="AE915" s="1324"/>
      <c r="AF915" s="2665">
        <v>2027</v>
      </c>
      <c r="AG915" s="2666" t="s">
        <v>1103</v>
      </c>
      <c r="AH915" s="2666" t="s">
        <v>1164</v>
      </c>
      <c r="AI915" s="8653"/>
      <c r="AJ915" s="2666" t="s">
        <v>1105</v>
      </c>
      <c r="AK915" s="2666" t="s">
        <v>1105</v>
      </c>
      <c r="AL915" s="2131"/>
      <c r="AM915" s="1968"/>
      <c r="AN915" s="1968"/>
      <c r="AO915" s="1968"/>
      <c r="AP915" s="1968"/>
      <c r="AQ915" s="1968"/>
      <c r="AR915" s="1968"/>
      <c r="AS915" s="1968"/>
      <c r="AT915" s="1968"/>
      <c r="AU915" s="1968"/>
      <c r="AV915" s="1968"/>
      <c r="AW915" s="1968"/>
      <c r="AX915" s="1968"/>
      <c r="AY915" s="1968"/>
      <c r="AZ915" s="1968"/>
      <c r="BA915" s="1968"/>
      <c r="BB915" s="1968"/>
      <c r="BC915" s="1968"/>
      <c r="BD915" s="1968"/>
      <c r="BE915" s="1968"/>
      <c r="BF915" s="1968"/>
      <c r="BG915" s="7235"/>
    </row>
    <row customHeight="1" ht="11.25">
      <c r="A916" s="1312" t="s">
        <v>1069</v>
      </c>
      <c r="B916" s="1312"/>
      <c r="C916" s="1312"/>
      <c r="D916" s="1306"/>
      <c r="E916" s="1316"/>
      <c r="F916" s="1974"/>
      <c r="G916" s="1975"/>
      <c r="H916" s="2674" t="s">
        <v>1190</v>
      </c>
      <c r="I916" s="2675"/>
      <c r="J916" s="2644"/>
      <c r="K916" s="2676"/>
      <c r="L916" s="2266"/>
      <c r="M916" s="2267"/>
      <c r="N916" s="2667"/>
      <c r="O916" s="2668">
        <v>1</v>
      </c>
      <c r="P916" s="2669" t="s">
        <v>63</v>
      </c>
      <c r="Q916" s="8654" t="s">
        <v>1208</v>
      </c>
      <c r="R916" s="8655" t="s">
        <v>1114</v>
      </c>
      <c r="S916" s="8655" t="s">
        <v>113</v>
      </c>
      <c r="T916" s="8655" t="s">
        <v>113</v>
      </c>
      <c r="U916" s="8655" t="s">
        <v>114</v>
      </c>
      <c r="V916" s="8655" t="s">
        <v>1115</v>
      </c>
      <c r="W916" s="8655" t="s">
        <v>1116</v>
      </c>
      <c r="X916" s="8655" t="s">
        <v>1209</v>
      </c>
      <c r="Y916" s="8655" t="s">
        <v>121</v>
      </c>
      <c r="Z916" s="1321"/>
      <c r="AA916" s="1322"/>
      <c r="AB916" s="1322"/>
      <c r="AC916" s="1326"/>
      <c r="AD916" s="1326"/>
      <c r="AE916" s="1327"/>
      <c r="AF916" s="2665"/>
      <c r="AG916" s="2666"/>
      <c r="AH916" s="2666"/>
      <c r="AI916" s="8653"/>
      <c r="AJ916" s="2666"/>
      <c r="AK916" s="2666"/>
      <c r="AL916" s="2131"/>
      <c r="AM916" s="1968"/>
      <c r="AN916" s="1968"/>
      <c r="AO916" s="1968"/>
      <c r="AP916" s="1968"/>
      <c r="AQ916" s="1968"/>
      <c r="AR916" s="1968"/>
      <c r="AS916" s="1968"/>
      <c r="AT916" s="1968"/>
      <c r="AU916" s="1968"/>
      <c r="AV916" s="1968"/>
      <c r="AW916" s="1968"/>
      <c r="AX916" s="1968"/>
      <c r="AY916" s="1968"/>
      <c r="AZ916" s="1968"/>
      <c r="BA916" s="1968"/>
      <c r="BB916" s="1968"/>
      <c r="BC916" s="1968"/>
      <c r="BD916" s="1968"/>
      <c r="BE916" s="1968"/>
      <c r="BF916" s="1968"/>
      <c r="BG916" s="7235"/>
    </row>
    <row customHeight="1" ht="11.25">
      <c r="A917" s="1312" t="s">
        <v>1069</v>
      </c>
      <c r="B917" s="1312"/>
      <c r="C917" s="1312"/>
      <c r="D917" s="1306"/>
      <c r="E917" s="1316"/>
      <c r="F917" s="1974"/>
      <c r="G917" s="1975"/>
      <c r="H917" s="2674" t="s">
        <v>1190</v>
      </c>
      <c r="I917" s="2675"/>
      <c r="J917" s="2644"/>
      <c r="K917" s="2676"/>
      <c r="L917" s="2266"/>
      <c r="M917" s="2267"/>
      <c r="N917" s="2667"/>
      <c r="O917" s="2668"/>
      <c r="P917" s="2670"/>
      <c r="Q917" s="8654"/>
      <c r="R917" s="2672"/>
      <c r="S917" s="2673"/>
      <c r="T917" s="2672"/>
      <c r="U917" s="2672"/>
      <c r="V917" s="2672"/>
      <c r="W917" s="2672"/>
      <c r="X917" s="2672"/>
      <c r="Y917" s="2672"/>
      <c r="Z917" s="1973"/>
      <c r="AA917" s="1939">
        <v>1</v>
      </c>
      <c r="AB917" s="1325" t="s">
        <v>1131</v>
      </c>
      <c r="AC917" s="1315">
        <v>984</v>
      </c>
      <c r="AD917" s="1325" t="str">
        <f>AB917</f>
        <v>      Прочие амортизационные отчисления</v>
      </c>
      <c r="AE917" s="1315">
        <v>0</v>
      </c>
      <c r="AF917" s="2665"/>
      <c r="AG917" s="2666"/>
      <c r="AH917" s="2666"/>
      <c r="AI917" s="8653"/>
      <c r="AJ917" s="2666"/>
      <c r="AK917" s="2666"/>
      <c r="AL917" s="2131"/>
      <c r="AM917" s="1968"/>
      <c r="AN917" s="1968"/>
      <c r="AO917" s="1968"/>
      <c r="AP917" s="1968"/>
      <c r="AQ917" s="1968"/>
      <c r="AR917" s="1968"/>
      <c r="AS917" s="1968"/>
      <c r="AT917" s="1968"/>
      <c r="AU917" s="1968"/>
      <c r="AV917" s="1968"/>
      <c r="AW917" s="1968"/>
      <c r="AX917" s="1968"/>
      <c r="AY917" s="1968"/>
      <c r="AZ917" s="1968"/>
      <c r="BA917" s="1968"/>
      <c r="BB917" s="1968"/>
      <c r="BC917" s="1968"/>
      <c r="BD917" s="1968"/>
      <c r="BE917" s="1968"/>
      <c r="BF917" s="1968"/>
      <c r="BG917" s="7235"/>
    </row>
    <row customHeight="1" ht="11.25">
      <c r="A918" s="1312" t="s">
        <v>1069</v>
      </c>
      <c r="B918" s="1312"/>
      <c r="C918" s="1312"/>
      <c r="D918" s="1306"/>
      <c r="E918" s="1316"/>
      <c r="F918" s="1974"/>
      <c r="G918" s="1975"/>
      <c r="H918" s="2674" t="s">
        <v>1190</v>
      </c>
      <c r="I918" s="2675"/>
      <c r="J918" s="2644"/>
      <c r="K918" s="2676"/>
      <c r="L918" s="2266"/>
      <c r="M918" s="2267"/>
      <c r="N918" s="2667"/>
      <c r="O918" s="2668"/>
      <c r="P918" s="2671"/>
      <c r="Q918" s="8654"/>
      <c r="R918" s="2672"/>
      <c r="S918" s="2673"/>
      <c r="T918" s="2672"/>
      <c r="U918" s="2672"/>
      <c r="V918" s="2672"/>
      <c r="W918" s="2672"/>
      <c r="X918" s="2672"/>
      <c r="Y918" s="2672"/>
      <c r="Z918" s="1321"/>
      <c r="AA918" s="1322"/>
      <c r="AB918" s="1387" t="s">
        <v>1107</v>
      </c>
      <c r="AC918" s="1326"/>
      <c r="AD918" s="1326"/>
      <c r="AE918" s="1328"/>
      <c r="AF918" s="2665"/>
      <c r="AG918" s="2666"/>
      <c r="AH918" s="2666"/>
      <c r="AI918" s="8653"/>
      <c r="AJ918" s="2666"/>
      <c r="AK918" s="2666"/>
      <c r="AL918" s="2131"/>
      <c r="AM918" s="1968"/>
      <c r="AN918" s="1968"/>
      <c r="AO918" s="1968"/>
      <c r="AP918" s="1968"/>
      <c r="AQ918" s="1968"/>
      <c r="AR918" s="1968"/>
      <c r="AS918" s="1968"/>
      <c r="AT918" s="1968"/>
      <c r="AU918" s="1968"/>
      <c r="AV918" s="1968"/>
      <c r="AW918" s="1968"/>
      <c r="AX918" s="1968"/>
      <c r="AY918" s="1968"/>
      <c r="AZ918" s="1968"/>
      <c r="BA918" s="1968"/>
      <c r="BB918" s="1968"/>
      <c r="BC918" s="1968"/>
      <c r="BD918" s="1968"/>
      <c r="BE918" s="1968"/>
      <c r="BF918" s="1968"/>
      <c r="BG918" s="7235"/>
    </row>
    <row customHeight="1" ht="11.25">
      <c r="A919" s="1312" t="s">
        <v>1069</v>
      </c>
      <c r="B919" s="1312"/>
      <c r="C919" s="1312"/>
      <c r="D919" s="1306"/>
      <c r="E919" s="1316"/>
      <c r="F919" s="1974"/>
      <c r="G919" s="1975"/>
      <c r="H919" s="2674" t="s">
        <v>1190</v>
      </c>
      <c r="I919" s="2675"/>
      <c r="J919" s="2644"/>
      <c r="K919" s="2676"/>
      <c r="L919" s="2266"/>
      <c r="M919" s="2267"/>
      <c r="N919" s="1321"/>
      <c r="O919" s="1322"/>
      <c r="P919" s="1314" t="s">
        <v>1108</v>
      </c>
      <c r="Q919" s="1322"/>
      <c r="R919" s="1322"/>
      <c r="S919" s="1322"/>
      <c r="T919" s="1322"/>
      <c r="U919" s="1322"/>
      <c r="V919" s="1322"/>
      <c r="W919" s="1322"/>
      <c r="X919" s="1322"/>
      <c r="Y919" s="1322"/>
      <c r="Z919" s="1322"/>
      <c r="AA919" s="1322"/>
      <c r="AB919" s="1322"/>
      <c r="AC919" s="1322"/>
      <c r="AD919" s="1322"/>
      <c r="AE919" s="1329"/>
      <c r="AF919" s="2665"/>
      <c r="AG919" s="2666"/>
      <c r="AH919" s="2666"/>
      <c r="AI919" s="8653"/>
      <c r="AJ919" s="2666"/>
      <c r="AK919" s="2666"/>
      <c r="AL919" s="2131"/>
      <c r="AM919" s="1968"/>
      <c r="AN919" s="1968"/>
      <c r="AO919" s="1968"/>
      <c r="AP919" s="1968"/>
      <c r="AQ919" s="1968"/>
      <c r="AR919" s="1968"/>
      <c r="AS919" s="1968"/>
      <c r="AT919" s="1968"/>
      <c r="AU919" s="1968"/>
      <c r="AV919" s="1968"/>
      <c r="AW919" s="1968"/>
      <c r="AX919" s="1968"/>
      <c r="AY919" s="1968"/>
      <c r="AZ919" s="1968"/>
      <c r="BA919" s="1968"/>
      <c r="BB919" s="1968"/>
      <c r="BC919" s="1968"/>
      <c r="BD919" s="1968"/>
      <c r="BE919" s="1968"/>
      <c r="BF919" s="1968"/>
      <c r="BG919" s="7235"/>
    </row>
    <row customHeight="1" ht="11.25">
      <c r="A920" s="1312" t="s">
        <v>1069</v>
      </c>
      <c r="B920" s="1312" t="s">
        <v>1198</v>
      </c>
      <c r="C920" s="1312"/>
      <c r="D920" s="1306"/>
      <c r="E920" s="1316"/>
      <c r="F920" s="1974"/>
      <c r="G920" s="7143" t="s">
        <v>106</v>
      </c>
      <c r="H920" s="2674" t="s">
        <v>1196</v>
      </c>
      <c r="I920" s="2675" t="s">
        <v>1200</v>
      </c>
      <c r="J920" s="2644" t="s">
        <v>1206</v>
      </c>
      <c r="K920" s="2676" t="s">
        <v>1328</v>
      </c>
      <c r="L920" s="2266" t="s">
        <v>19</v>
      </c>
      <c r="M920" s="2267"/>
      <c r="N920" s="2129"/>
      <c r="O920" s="1323" t="s">
        <v>398</v>
      </c>
      <c r="P920" s="1324"/>
      <c r="Q920" s="1324"/>
      <c r="R920" s="1324"/>
      <c r="S920" s="1324"/>
      <c r="T920" s="1324"/>
      <c r="U920" s="1324"/>
      <c r="V920" s="1324"/>
      <c r="W920" s="1324"/>
      <c r="X920" s="1324"/>
      <c r="Y920" s="1324"/>
      <c r="Z920" s="1324"/>
      <c r="AA920" s="1324"/>
      <c r="AB920" s="1324"/>
      <c r="AC920" s="1324"/>
      <c r="AD920" s="1324"/>
      <c r="AE920" s="1324"/>
      <c r="AF920" s="2665">
        <v>2028</v>
      </c>
      <c r="AG920" s="2666" t="s">
        <v>1103</v>
      </c>
      <c r="AH920" s="2666" t="s">
        <v>1228</v>
      </c>
      <c r="AI920" s="8653"/>
      <c r="AJ920" s="2666" t="s">
        <v>1105</v>
      </c>
      <c r="AK920" s="2666" t="s">
        <v>1105</v>
      </c>
      <c r="AL920" s="2131"/>
      <c r="AM920" s="1968"/>
      <c r="AN920" s="1968"/>
      <c r="AO920" s="1968"/>
      <c r="AP920" s="1968"/>
      <c r="AQ920" s="1968"/>
      <c r="AR920" s="1968"/>
      <c r="AS920" s="1968"/>
      <c r="AT920" s="1968"/>
      <c r="AU920" s="1968"/>
      <c r="AV920" s="1968"/>
      <c r="AW920" s="1968"/>
      <c r="AX920" s="1968"/>
      <c r="AY920" s="1968"/>
      <c r="AZ920" s="1968"/>
      <c r="BA920" s="1968"/>
      <c r="BB920" s="1968"/>
      <c r="BC920" s="1968"/>
      <c r="BD920" s="1968"/>
      <c r="BE920" s="1968"/>
      <c r="BF920" s="1968"/>
      <c r="BG920" s="7235"/>
    </row>
    <row customHeight="1" ht="11.25">
      <c r="A921" s="1312" t="s">
        <v>1069</v>
      </c>
      <c r="B921" s="1312"/>
      <c r="C921" s="1312"/>
      <c r="D921" s="1306"/>
      <c r="E921" s="1316"/>
      <c r="F921" s="1974"/>
      <c r="G921" s="1975"/>
      <c r="H921" s="2674" t="s">
        <v>1196</v>
      </c>
      <c r="I921" s="2675"/>
      <c r="J921" s="2644"/>
      <c r="K921" s="2676"/>
      <c r="L921" s="2266"/>
      <c r="M921" s="2267"/>
      <c r="N921" s="2667"/>
      <c r="O921" s="2668">
        <v>1</v>
      </c>
      <c r="P921" s="2669" t="s">
        <v>63</v>
      </c>
      <c r="Q921" s="8654" t="s">
        <v>1208</v>
      </c>
      <c r="R921" s="8655" t="s">
        <v>1114</v>
      </c>
      <c r="S921" s="8655" t="s">
        <v>113</v>
      </c>
      <c r="T921" s="8655" t="s">
        <v>113</v>
      </c>
      <c r="U921" s="8655" t="s">
        <v>114</v>
      </c>
      <c r="V921" s="8655" t="s">
        <v>1115</v>
      </c>
      <c r="W921" s="8655" t="s">
        <v>1116</v>
      </c>
      <c r="X921" s="8655" t="s">
        <v>1209</v>
      </c>
      <c r="Y921" s="8655" t="s">
        <v>121</v>
      </c>
      <c r="Z921" s="1321"/>
      <c r="AA921" s="1322"/>
      <c r="AB921" s="1322"/>
      <c r="AC921" s="1326"/>
      <c r="AD921" s="1326"/>
      <c r="AE921" s="1327"/>
      <c r="AF921" s="2665"/>
      <c r="AG921" s="2666"/>
      <c r="AH921" s="2666"/>
      <c r="AI921" s="8653"/>
      <c r="AJ921" s="2666"/>
      <c r="AK921" s="2666"/>
      <c r="AL921" s="2131"/>
      <c r="AM921" s="1968"/>
      <c r="AN921" s="1968"/>
      <c r="AO921" s="1968"/>
      <c r="AP921" s="1968"/>
      <c r="AQ921" s="1968"/>
      <c r="AR921" s="1968"/>
      <c r="AS921" s="1968"/>
      <c r="AT921" s="1968"/>
      <c r="AU921" s="1968"/>
      <c r="AV921" s="1968"/>
      <c r="AW921" s="1968"/>
      <c r="AX921" s="1968"/>
      <c r="AY921" s="1968"/>
      <c r="AZ921" s="1968"/>
      <c r="BA921" s="1968"/>
      <c r="BB921" s="1968"/>
      <c r="BC921" s="1968"/>
      <c r="BD921" s="1968"/>
      <c r="BE921" s="1968"/>
      <c r="BF921" s="1968"/>
      <c r="BG921" s="7235"/>
    </row>
    <row customHeight="1" ht="11.25">
      <c r="A922" s="1312" t="s">
        <v>1069</v>
      </c>
      <c r="B922" s="1312"/>
      <c r="C922" s="1312"/>
      <c r="D922" s="1306"/>
      <c r="E922" s="1316"/>
      <c r="F922" s="1974"/>
      <c r="G922" s="1975"/>
      <c r="H922" s="2674" t="s">
        <v>1196</v>
      </c>
      <c r="I922" s="2675"/>
      <c r="J922" s="2644"/>
      <c r="K922" s="2676"/>
      <c r="L922" s="2266"/>
      <c r="M922" s="2267"/>
      <c r="N922" s="2667"/>
      <c r="O922" s="2668"/>
      <c r="P922" s="2670"/>
      <c r="Q922" s="8654"/>
      <c r="R922" s="2672"/>
      <c r="S922" s="2673"/>
      <c r="T922" s="2672"/>
      <c r="U922" s="2672"/>
      <c r="V922" s="2672"/>
      <c r="W922" s="2672"/>
      <c r="X922" s="2672"/>
      <c r="Y922" s="2672"/>
      <c r="Z922" s="1973"/>
      <c r="AA922" s="1939">
        <v>1</v>
      </c>
      <c r="AB922" s="1325" t="s">
        <v>1131</v>
      </c>
      <c r="AC922" s="1315">
        <v>6034</v>
      </c>
      <c r="AD922" s="1325" t="str">
        <f>AB922</f>
        <v>      Прочие амортизационные отчисления</v>
      </c>
      <c r="AE922" s="1315">
        <v>0</v>
      </c>
      <c r="AF922" s="2665"/>
      <c r="AG922" s="2666"/>
      <c r="AH922" s="2666"/>
      <c r="AI922" s="8653"/>
      <c r="AJ922" s="2666"/>
      <c r="AK922" s="2666"/>
      <c r="AL922" s="2131"/>
      <c r="AM922" s="1968"/>
      <c r="AN922" s="1968"/>
      <c r="AO922" s="1968"/>
      <c r="AP922" s="1968"/>
      <c r="AQ922" s="1968"/>
      <c r="AR922" s="1968"/>
      <c r="AS922" s="1968"/>
      <c r="AT922" s="1968"/>
      <c r="AU922" s="1968"/>
      <c r="AV922" s="1968"/>
      <c r="AW922" s="1968"/>
      <c r="AX922" s="1968"/>
      <c r="AY922" s="1968"/>
      <c r="AZ922" s="1968"/>
      <c r="BA922" s="1968"/>
      <c r="BB922" s="1968"/>
      <c r="BC922" s="1968"/>
      <c r="BD922" s="1968"/>
      <c r="BE922" s="1968"/>
      <c r="BF922" s="1968"/>
      <c r="BG922" s="7235"/>
    </row>
    <row customHeight="1" ht="11.25">
      <c r="A923" s="1312" t="s">
        <v>1069</v>
      </c>
      <c r="B923" s="1312"/>
      <c r="C923" s="1312"/>
      <c r="D923" s="1306"/>
      <c r="E923" s="1316"/>
      <c r="F923" s="1974"/>
      <c r="G923" s="1975"/>
      <c r="H923" s="2674" t="s">
        <v>1196</v>
      </c>
      <c r="I923" s="2675"/>
      <c r="J923" s="2644"/>
      <c r="K923" s="2676"/>
      <c r="L923" s="2266"/>
      <c r="M923" s="2267"/>
      <c r="N923" s="2667"/>
      <c r="O923" s="2668"/>
      <c r="P923" s="2671"/>
      <c r="Q923" s="8654"/>
      <c r="R923" s="2672"/>
      <c r="S923" s="2673"/>
      <c r="T923" s="2672"/>
      <c r="U923" s="2672"/>
      <c r="V923" s="2672"/>
      <c r="W923" s="2672"/>
      <c r="X923" s="2672"/>
      <c r="Y923" s="2672"/>
      <c r="Z923" s="1321"/>
      <c r="AA923" s="1322"/>
      <c r="AB923" s="1387" t="s">
        <v>1107</v>
      </c>
      <c r="AC923" s="1326"/>
      <c r="AD923" s="1326"/>
      <c r="AE923" s="1328"/>
      <c r="AF923" s="2665"/>
      <c r="AG923" s="2666"/>
      <c r="AH923" s="2666"/>
      <c r="AI923" s="8653"/>
      <c r="AJ923" s="2666"/>
      <c r="AK923" s="2666"/>
      <c r="AL923" s="2131"/>
      <c r="AM923" s="1968"/>
      <c r="AN923" s="1968"/>
      <c r="AO923" s="1968"/>
      <c r="AP923" s="1968"/>
      <c r="AQ923" s="1968"/>
      <c r="AR923" s="1968"/>
      <c r="AS923" s="1968"/>
      <c r="AT923" s="1968"/>
      <c r="AU923" s="1968"/>
      <c r="AV923" s="1968"/>
      <c r="AW923" s="1968"/>
      <c r="AX923" s="1968"/>
      <c r="AY923" s="1968"/>
      <c r="AZ923" s="1968"/>
      <c r="BA923" s="1968"/>
      <c r="BB923" s="1968"/>
      <c r="BC923" s="1968"/>
      <c r="BD923" s="1968"/>
      <c r="BE923" s="1968"/>
      <c r="BF923" s="1968"/>
      <c r="BG923" s="7235"/>
    </row>
    <row customHeight="1" ht="11.25">
      <c r="A924" s="1312" t="s">
        <v>1069</v>
      </c>
      <c r="B924" s="1312"/>
      <c r="C924" s="1312"/>
      <c r="D924" s="1306"/>
      <c r="E924" s="1316"/>
      <c r="F924" s="1974"/>
      <c r="G924" s="1975"/>
      <c r="H924" s="2674" t="s">
        <v>1196</v>
      </c>
      <c r="I924" s="2675"/>
      <c r="J924" s="2644"/>
      <c r="K924" s="2676"/>
      <c r="L924" s="2266"/>
      <c r="M924" s="2267"/>
      <c r="N924" s="1321"/>
      <c r="O924" s="1322"/>
      <c r="P924" s="1314" t="s">
        <v>1108</v>
      </c>
      <c r="Q924" s="1322"/>
      <c r="R924" s="1322"/>
      <c r="S924" s="1322"/>
      <c r="T924" s="1322"/>
      <c r="U924" s="1322"/>
      <c r="V924" s="1322"/>
      <c r="W924" s="1322"/>
      <c r="X924" s="1322"/>
      <c r="Y924" s="1322"/>
      <c r="Z924" s="1322"/>
      <c r="AA924" s="1322"/>
      <c r="AB924" s="1322"/>
      <c r="AC924" s="1322"/>
      <c r="AD924" s="1322"/>
      <c r="AE924" s="1329"/>
      <c r="AF924" s="2665"/>
      <c r="AG924" s="2666"/>
      <c r="AH924" s="2666"/>
      <c r="AI924" s="8653"/>
      <c r="AJ924" s="2666"/>
      <c r="AK924" s="2666"/>
      <c r="AL924" s="2131"/>
      <c r="AM924" s="1968"/>
      <c r="AN924" s="1968"/>
      <c r="AO924" s="1968"/>
      <c r="AP924" s="1968"/>
      <c r="AQ924" s="1968"/>
      <c r="AR924" s="1968"/>
      <c r="AS924" s="1968"/>
      <c r="AT924" s="1968"/>
      <c r="AU924" s="1968"/>
      <c r="AV924" s="1968"/>
      <c r="AW924" s="1968"/>
      <c r="AX924" s="1968"/>
      <c r="AY924" s="1968"/>
      <c r="AZ924" s="1968"/>
      <c r="BA924" s="1968"/>
      <c r="BB924" s="1968"/>
      <c r="BC924" s="1968"/>
      <c r="BD924" s="1968"/>
      <c r="BE924" s="1968"/>
      <c r="BF924" s="1968"/>
      <c r="BG924" s="7235"/>
    </row>
    <row customHeight="1" ht="11.25">
      <c r="A925" s="1312" t="s">
        <v>1069</v>
      </c>
      <c r="B925" s="1312" t="s">
        <v>1198</v>
      </c>
      <c r="C925" s="1312"/>
      <c r="D925" s="1306"/>
      <c r="E925" s="1316"/>
      <c r="F925" s="1974"/>
      <c r="G925" s="7143" t="s">
        <v>106</v>
      </c>
      <c r="H925" s="2674" t="s">
        <v>1199</v>
      </c>
      <c r="I925" s="2675" t="s">
        <v>1200</v>
      </c>
      <c r="J925" s="2644" t="s">
        <v>1206</v>
      </c>
      <c r="K925" s="2676" t="s">
        <v>1330</v>
      </c>
      <c r="L925" s="2266" t="s">
        <v>19</v>
      </c>
      <c r="M925" s="2267"/>
      <c r="N925" s="2129"/>
      <c r="O925" s="1323" t="s">
        <v>398</v>
      </c>
      <c r="P925" s="1324"/>
      <c r="Q925" s="1324"/>
      <c r="R925" s="1324"/>
      <c r="S925" s="1324"/>
      <c r="T925" s="1324"/>
      <c r="U925" s="1324"/>
      <c r="V925" s="1324"/>
      <c r="W925" s="1324"/>
      <c r="X925" s="1324"/>
      <c r="Y925" s="1324"/>
      <c r="Z925" s="1324"/>
      <c r="AA925" s="1324"/>
      <c r="AB925" s="1324"/>
      <c r="AC925" s="1324"/>
      <c r="AD925" s="1324"/>
      <c r="AE925" s="1324"/>
      <c r="AF925" s="2665">
        <v>2027</v>
      </c>
      <c r="AG925" s="2666" t="s">
        <v>1103</v>
      </c>
      <c r="AH925" s="2666" t="s">
        <v>1164</v>
      </c>
      <c r="AI925" s="8653"/>
      <c r="AJ925" s="2666" t="s">
        <v>1105</v>
      </c>
      <c r="AK925" s="2666" t="s">
        <v>1105</v>
      </c>
      <c r="AL925" s="2131"/>
      <c r="AM925" s="1968"/>
      <c r="AN925" s="1968"/>
      <c r="AO925" s="1968"/>
      <c r="AP925" s="1968"/>
      <c r="AQ925" s="1968"/>
      <c r="AR925" s="1968"/>
      <c r="AS925" s="1968"/>
      <c r="AT925" s="1968"/>
      <c r="AU925" s="1968"/>
      <c r="AV925" s="1968"/>
      <c r="AW925" s="1968"/>
      <c r="AX925" s="1968"/>
      <c r="AY925" s="1968"/>
      <c r="AZ925" s="1968"/>
      <c r="BA925" s="1968"/>
      <c r="BB925" s="1968"/>
      <c r="BC925" s="1968"/>
      <c r="BD925" s="1968"/>
      <c r="BE925" s="1968"/>
      <c r="BF925" s="1968"/>
      <c r="BG925" s="7235"/>
    </row>
    <row customHeight="1" ht="11.25">
      <c r="A926" s="1312" t="s">
        <v>1069</v>
      </c>
      <c r="B926" s="1312"/>
      <c r="C926" s="1312"/>
      <c r="D926" s="1306"/>
      <c r="E926" s="1316"/>
      <c r="F926" s="1974"/>
      <c r="G926" s="1975"/>
      <c r="H926" s="2674" t="s">
        <v>1199</v>
      </c>
      <c r="I926" s="2675"/>
      <c r="J926" s="2644"/>
      <c r="K926" s="2676"/>
      <c r="L926" s="2266"/>
      <c r="M926" s="2267"/>
      <c r="N926" s="2667"/>
      <c r="O926" s="2668">
        <v>1</v>
      </c>
      <c r="P926" s="2669" t="s">
        <v>63</v>
      </c>
      <c r="Q926" s="8654" t="s">
        <v>1208</v>
      </c>
      <c r="R926" s="8655" t="s">
        <v>1114</v>
      </c>
      <c r="S926" s="8655" t="s">
        <v>113</v>
      </c>
      <c r="T926" s="8655" t="s">
        <v>113</v>
      </c>
      <c r="U926" s="8655" t="s">
        <v>114</v>
      </c>
      <c r="V926" s="8655" t="s">
        <v>1115</v>
      </c>
      <c r="W926" s="8655" t="s">
        <v>1116</v>
      </c>
      <c r="X926" s="8655" t="s">
        <v>1209</v>
      </c>
      <c r="Y926" s="8655" t="s">
        <v>121</v>
      </c>
      <c r="Z926" s="1321"/>
      <c r="AA926" s="1322"/>
      <c r="AB926" s="1322"/>
      <c r="AC926" s="1326"/>
      <c r="AD926" s="1326"/>
      <c r="AE926" s="1327"/>
      <c r="AF926" s="2665"/>
      <c r="AG926" s="2666"/>
      <c r="AH926" s="2666"/>
      <c r="AI926" s="8653"/>
      <c r="AJ926" s="2666"/>
      <c r="AK926" s="2666"/>
      <c r="AL926" s="2131"/>
      <c r="AM926" s="1968"/>
      <c r="AN926" s="1968"/>
      <c r="AO926" s="1968"/>
      <c r="AP926" s="1968"/>
      <c r="AQ926" s="1968"/>
      <c r="AR926" s="1968"/>
      <c r="AS926" s="1968"/>
      <c r="AT926" s="1968"/>
      <c r="AU926" s="1968"/>
      <c r="AV926" s="1968"/>
      <c r="AW926" s="1968"/>
      <c r="AX926" s="1968"/>
      <c r="AY926" s="1968"/>
      <c r="AZ926" s="1968"/>
      <c r="BA926" s="1968"/>
      <c r="BB926" s="1968"/>
      <c r="BC926" s="1968"/>
      <c r="BD926" s="1968"/>
      <c r="BE926" s="1968"/>
      <c r="BF926" s="1968"/>
      <c r="BG926" s="7235"/>
    </row>
    <row customHeight="1" ht="11.25">
      <c r="A927" s="1312" t="s">
        <v>1069</v>
      </c>
      <c r="B927" s="1312"/>
      <c r="C927" s="1312"/>
      <c r="D927" s="1306"/>
      <c r="E927" s="1316"/>
      <c r="F927" s="1974"/>
      <c r="G927" s="1975"/>
      <c r="H927" s="2674" t="s">
        <v>1199</v>
      </c>
      <c r="I927" s="2675"/>
      <c r="J927" s="2644"/>
      <c r="K927" s="2676"/>
      <c r="L927" s="2266"/>
      <c r="M927" s="2267"/>
      <c r="N927" s="2667"/>
      <c r="O927" s="2668"/>
      <c r="P927" s="2670"/>
      <c r="Q927" s="8654"/>
      <c r="R927" s="2672"/>
      <c r="S927" s="2673"/>
      <c r="T927" s="2672"/>
      <c r="U927" s="2672"/>
      <c r="V927" s="2672"/>
      <c r="W927" s="2672"/>
      <c r="X927" s="2672"/>
      <c r="Y927" s="2672"/>
      <c r="Z927" s="1973"/>
      <c r="AA927" s="1939">
        <v>1</v>
      </c>
      <c r="AB927" s="1325" t="s">
        <v>1131</v>
      </c>
      <c r="AC927" s="1315">
        <v>3518</v>
      </c>
      <c r="AD927" s="1325" t="str">
        <f>AB927</f>
        <v>      Прочие амортизационные отчисления</v>
      </c>
      <c r="AE927" s="1315">
        <v>0</v>
      </c>
      <c r="AF927" s="2665"/>
      <c r="AG927" s="2666"/>
      <c r="AH927" s="2666"/>
      <c r="AI927" s="8653"/>
      <c r="AJ927" s="2666"/>
      <c r="AK927" s="2666"/>
      <c r="AL927" s="2131"/>
      <c r="AM927" s="1968"/>
      <c r="AN927" s="1968"/>
      <c r="AO927" s="1968"/>
      <c r="AP927" s="1968"/>
      <c r="AQ927" s="1968"/>
      <c r="AR927" s="1968"/>
      <c r="AS927" s="1968"/>
      <c r="AT927" s="1968"/>
      <c r="AU927" s="1968"/>
      <c r="AV927" s="1968"/>
      <c r="AW927" s="1968"/>
      <c r="AX927" s="1968"/>
      <c r="AY927" s="1968"/>
      <c r="AZ927" s="1968"/>
      <c r="BA927" s="1968"/>
      <c r="BB927" s="1968"/>
      <c r="BC927" s="1968"/>
      <c r="BD927" s="1968"/>
      <c r="BE927" s="1968"/>
      <c r="BF927" s="1968"/>
      <c r="BG927" s="7235"/>
    </row>
    <row customHeight="1" ht="11.25">
      <c r="A928" s="1312" t="s">
        <v>1069</v>
      </c>
      <c r="B928" s="1312"/>
      <c r="C928" s="1312"/>
      <c r="D928" s="1306"/>
      <c r="E928" s="1316"/>
      <c r="F928" s="1974"/>
      <c r="G928" s="1975"/>
      <c r="H928" s="2674" t="s">
        <v>1199</v>
      </c>
      <c r="I928" s="2675"/>
      <c r="J928" s="2644"/>
      <c r="K928" s="2676"/>
      <c r="L928" s="2266"/>
      <c r="M928" s="2267"/>
      <c r="N928" s="2667"/>
      <c r="O928" s="2668"/>
      <c r="P928" s="2671"/>
      <c r="Q928" s="8654"/>
      <c r="R928" s="2672"/>
      <c r="S928" s="2673"/>
      <c r="T928" s="2672"/>
      <c r="U928" s="2672"/>
      <c r="V928" s="2672"/>
      <c r="W928" s="2672"/>
      <c r="X928" s="2672"/>
      <c r="Y928" s="2672"/>
      <c r="Z928" s="1321"/>
      <c r="AA928" s="1322"/>
      <c r="AB928" s="1387" t="s">
        <v>1107</v>
      </c>
      <c r="AC928" s="1326"/>
      <c r="AD928" s="1326"/>
      <c r="AE928" s="1328"/>
      <c r="AF928" s="2665"/>
      <c r="AG928" s="2666"/>
      <c r="AH928" s="2666"/>
      <c r="AI928" s="8653"/>
      <c r="AJ928" s="2666"/>
      <c r="AK928" s="2666"/>
      <c r="AL928" s="2131"/>
      <c r="AM928" s="1968"/>
      <c r="AN928" s="1968"/>
      <c r="AO928" s="1968"/>
      <c r="AP928" s="1968"/>
      <c r="AQ928" s="1968"/>
      <c r="AR928" s="1968"/>
      <c r="AS928" s="1968"/>
      <c r="AT928" s="1968"/>
      <c r="AU928" s="1968"/>
      <c r="AV928" s="1968"/>
      <c r="AW928" s="1968"/>
      <c r="AX928" s="1968"/>
      <c r="AY928" s="1968"/>
      <c r="AZ928" s="1968"/>
      <c r="BA928" s="1968"/>
      <c r="BB928" s="1968"/>
      <c r="BC928" s="1968"/>
      <c r="BD928" s="1968"/>
      <c r="BE928" s="1968"/>
      <c r="BF928" s="1968"/>
      <c r="BG928" s="7235"/>
    </row>
    <row customHeight="1" ht="11.25">
      <c r="A929" s="1312" t="s">
        <v>1069</v>
      </c>
      <c r="B929" s="1312"/>
      <c r="C929" s="1312"/>
      <c r="D929" s="1306"/>
      <c r="E929" s="1316"/>
      <c r="F929" s="1974"/>
      <c r="G929" s="1975"/>
      <c r="H929" s="2674" t="s">
        <v>1199</v>
      </c>
      <c r="I929" s="2675"/>
      <c r="J929" s="2644"/>
      <c r="K929" s="2676"/>
      <c r="L929" s="2266"/>
      <c r="M929" s="2267"/>
      <c r="N929" s="1321"/>
      <c r="O929" s="1322"/>
      <c r="P929" s="1314" t="s">
        <v>1108</v>
      </c>
      <c r="Q929" s="1322"/>
      <c r="R929" s="1322"/>
      <c r="S929" s="1322"/>
      <c r="T929" s="1322"/>
      <c r="U929" s="1322"/>
      <c r="V929" s="1322"/>
      <c r="W929" s="1322"/>
      <c r="X929" s="1322"/>
      <c r="Y929" s="1322"/>
      <c r="Z929" s="1322"/>
      <c r="AA929" s="1322"/>
      <c r="AB929" s="1322"/>
      <c r="AC929" s="1322"/>
      <c r="AD929" s="1322"/>
      <c r="AE929" s="1329"/>
      <c r="AF929" s="2665"/>
      <c r="AG929" s="2666"/>
      <c r="AH929" s="2666"/>
      <c r="AI929" s="8653"/>
      <c r="AJ929" s="2666"/>
      <c r="AK929" s="2666"/>
      <c r="AL929" s="2131"/>
      <c r="AM929" s="1968"/>
      <c r="AN929" s="1968"/>
      <c r="AO929" s="1968"/>
      <c r="AP929" s="1968"/>
      <c r="AQ929" s="1968"/>
      <c r="AR929" s="1968"/>
      <c r="AS929" s="1968"/>
      <c r="AT929" s="1968"/>
      <c r="AU929" s="1968"/>
      <c r="AV929" s="1968"/>
      <c r="AW929" s="1968"/>
      <c r="AX929" s="1968"/>
      <c r="AY929" s="1968"/>
      <c r="AZ929" s="1968"/>
      <c r="BA929" s="1968"/>
      <c r="BB929" s="1968"/>
      <c r="BC929" s="1968"/>
      <c r="BD929" s="1968"/>
      <c r="BE929" s="1968"/>
      <c r="BF929" s="1968"/>
      <c r="BG929" s="7235"/>
    </row>
    <row customHeight="1" ht="11.25">
      <c r="A930" s="1312" t="s">
        <v>1069</v>
      </c>
      <c r="B930" s="1312" t="s">
        <v>1198</v>
      </c>
      <c r="C930" s="1312"/>
      <c r="D930" s="1306"/>
      <c r="E930" s="1316"/>
      <c r="F930" s="1974"/>
      <c r="G930" s="7143" t="s">
        <v>106</v>
      </c>
      <c r="H930" s="2674" t="s">
        <v>1141</v>
      </c>
      <c r="I930" s="2675" t="s">
        <v>1200</v>
      </c>
      <c r="J930" s="2644" t="s">
        <v>1206</v>
      </c>
      <c r="K930" s="2676" t="s">
        <v>1332</v>
      </c>
      <c r="L930" s="2266" t="s">
        <v>19</v>
      </c>
      <c r="M930" s="2267"/>
      <c r="N930" s="2129"/>
      <c r="O930" s="1323" t="s">
        <v>398</v>
      </c>
      <c r="P930" s="1324"/>
      <c r="Q930" s="1324"/>
      <c r="R930" s="1324"/>
      <c r="S930" s="1324"/>
      <c r="T930" s="1324"/>
      <c r="U930" s="1324"/>
      <c r="V930" s="1324"/>
      <c r="W930" s="1324"/>
      <c r="X930" s="1324"/>
      <c r="Y930" s="1324"/>
      <c r="Z930" s="1324"/>
      <c r="AA930" s="1324"/>
      <c r="AB930" s="1324"/>
      <c r="AC930" s="1324"/>
      <c r="AD930" s="1324"/>
      <c r="AE930" s="1324"/>
      <c r="AF930" s="2665">
        <v>2027</v>
      </c>
      <c r="AG930" s="2666" t="s">
        <v>1103</v>
      </c>
      <c r="AH930" s="2666" t="s">
        <v>1164</v>
      </c>
      <c r="AI930" s="8653"/>
      <c r="AJ930" s="2666" t="s">
        <v>1105</v>
      </c>
      <c r="AK930" s="2666" t="s">
        <v>1105</v>
      </c>
      <c r="AL930" s="2131"/>
      <c r="AM930" s="1968"/>
      <c r="AN930" s="1968"/>
      <c r="AO930" s="1968"/>
      <c r="AP930" s="1968"/>
      <c r="AQ930" s="1968"/>
      <c r="AR930" s="1968"/>
      <c r="AS930" s="1968"/>
      <c r="AT930" s="1968"/>
      <c r="AU930" s="1968"/>
      <c r="AV930" s="1968"/>
      <c r="AW930" s="1968"/>
      <c r="AX930" s="1968"/>
      <c r="AY930" s="1968"/>
      <c r="AZ930" s="1968"/>
      <c r="BA930" s="1968"/>
      <c r="BB930" s="1968"/>
      <c r="BC930" s="1968"/>
      <c r="BD930" s="1968"/>
      <c r="BE930" s="1968"/>
      <c r="BF930" s="1968"/>
      <c r="BG930" s="7235"/>
    </row>
    <row customHeight="1" ht="11.25">
      <c r="A931" s="1312" t="s">
        <v>1069</v>
      </c>
      <c r="B931" s="1312"/>
      <c r="C931" s="1312"/>
      <c r="D931" s="1306"/>
      <c r="E931" s="1316"/>
      <c r="F931" s="1974"/>
      <c r="G931" s="1975"/>
      <c r="H931" s="2674" t="s">
        <v>1141</v>
      </c>
      <c r="I931" s="2675"/>
      <c r="J931" s="2644"/>
      <c r="K931" s="2676"/>
      <c r="L931" s="2266"/>
      <c r="M931" s="2267"/>
      <c r="N931" s="2667"/>
      <c r="O931" s="2668">
        <v>1</v>
      </c>
      <c r="P931" s="2669" t="s">
        <v>63</v>
      </c>
      <c r="Q931" s="8654" t="s">
        <v>1208</v>
      </c>
      <c r="R931" s="8655" t="s">
        <v>1114</v>
      </c>
      <c r="S931" s="8655" t="s">
        <v>113</v>
      </c>
      <c r="T931" s="8655" t="s">
        <v>113</v>
      </c>
      <c r="U931" s="8655" t="s">
        <v>114</v>
      </c>
      <c r="V931" s="8655" t="s">
        <v>1115</v>
      </c>
      <c r="W931" s="8655" t="s">
        <v>1116</v>
      </c>
      <c r="X931" s="8655" t="s">
        <v>1209</v>
      </c>
      <c r="Y931" s="8655" t="s">
        <v>121</v>
      </c>
      <c r="Z931" s="1321"/>
      <c r="AA931" s="1322"/>
      <c r="AB931" s="1322"/>
      <c r="AC931" s="1326"/>
      <c r="AD931" s="1326"/>
      <c r="AE931" s="1327"/>
      <c r="AF931" s="2665"/>
      <c r="AG931" s="2666"/>
      <c r="AH931" s="2666"/>
      <c r="AI931" s="8653"/>
      <c r="AJ931" s="2666"/>
      <c r="AK931" s="2666"/>
      <c r="AL931" s="2131"/>
      <c r="AM931" s="1968"/>
      <c r="AN931" s="1968"/>
      <c r="AO931" s="1968"/>
      <c r="AP931" s="1968"/>
      <c r="AQ931" s="1968"/>
      <c r="AR931" s="1968"/>
      <c r="AS931" s="1968"/>
      <c r="AT931" s="1968"/>
      <c r="AU931" s="1968"/>
      <c r="AV931" s="1968"/>
      <c r="AW931" s="1968"/>
      <c r="AX931" s="1968"/>
      <c r="AY931" s="1968"/>
      <c r="AZ931" s="1968"/>
      <c r="BA931" s="1968"/>
      <c r="BB931" s="1968"/>
      <c r="BC931" s="1968"/>
      <c r="BD931" s="1968"/>
      <c r="BE931" s="1968"/>
      <c r="BF931" s="1968"/>
      <c r="BG931" s="7235"/>
    </row>
    <row customHeight="1" ht="11.25">
      <c r="A932" s="1312" t="s">
        <v>1069</v>
      </c>
      <c r="B932" s="1312"/>
      <c r="C932" s="1312"/>
      <c r="D932" s="1306"/>
      <c r="E932" s="1316"/>
      <c r="F932" s="1974"/>
      <c r="G932" s="1975"/>
      <c r="H932" s="2674" t="s">
        <v>1141</v>
      </c>
      <c r="I932" s="2675"/>
      <c r="J932" s="2644"/>
      <c r="K932" s="2676"/>
      <c r="L932" s="2266"/>
      <c r="M932" s="2267"/>
      <c r="N932" s="2667"/>
      <c r="O932" s="2668"/>
      <c r="P932" s="2670"/>
      <c r="Q932" s="8654"/>
      <c r="R932" s="2672"/>
      <c r="S932" s="2673"/>
      <c r="T932" s="2672"/>
      <c r="U932" s="2672"/>
      <c r="V932" s="2672"/>
      <c r="W932" s="2672"/>
      <c r="X932" s="2672"/>
      <c r="Y932" s="2672"/>
      <c r="Z932" s="1973"/>
      <c r="AA932" s="1939">
        <v>1</v>
      </c>
      <c r="AB932" s="1325" t="s">
        <v>1131</v>
      </c>
      <c r="AC932" s="1315">
        <v>18858</v>
      </c>
      <c r="AD932" s="1325" t="str">
        <f>AB932</f>
        <v>      Прочие амортизационные отчисления</v>
      </c>
      <c r="AE932" s="1315">
        <v>0</v>
      </c>
      <c r="AF932" s="2665"/>
      <c r="AG932" s="2666"/>
      <c r="AH932" s="2666"/>
      <c r="AI932" s="8653"/>
      <c r="AJ932" s="2666"/>
      <c r="AK932" s="2666"/>
      <c r="AL932" s="2131"/>
      <c r="AM932" s="1968"/>
      <c r="AN932" s="1968"/>
      <c r="AO932" s="1968"/>
      <c r="AP932" s="1968"/>
      <c r="AQ932" s="1968"/>
      <c r="AR932" s="1968"/>
      <c r="AS932" s="1968"/>
      <c r="AT932" s="1968"/>
      <c r="AU932" s="1968"/>
      <c r="AV932" s="1968"/>
      <c r="AW932" s="1968"/>
      <c r="AX932" s="1968"/>
      <c r="AY932" s="1968"/>
      <c r="AZ932" s="1968"/>
      <c r="BA932" s="1968"/>
      <c r="BB932" s="1968"/>
      <c r="BC932" s="1968"/>
      <c r="BD932" s="1968"/>
      <c r="BE932" s="1968"/>
      <c r="BF932" s="1968"/>
      <c r="BG932" s="7235"/>
    </row>
    <row customHeight="1" ht="11.25">
      <c r="A933" s="1312" t="s">
        <v>1069</v>
      </c>
      <c r="B933" s="1312"/>
      <c r="C933" s="1312"/>
      <c r="D933" s="1306"/>
      <c r="E933" s="1316"/>
      <c r="F933" s="1974"/>
      <c r="G933" s="1975"/>
      <c r="H933" s="2674" t="s">
        <v>1141</v>
      </c>
      <c r="I933" s="2675"/>
      <c r="J933" s="2644"/>
      <c r="K933" s="2676"/>
      <c r="L933" s="2266"/>
      <c r="M933" s="2267"/>
      <c r="N933" s="2667"/>
      <c r="O933" s="2668"/>
      <c r="P933" s="2671"/>
      <c r="Q933" s="8654"/>
      <c r="R933" s="2672"/>
      <c r="S933" s="2673"/>
      <c r="T933" s="2672"/>
      <c r="U933" s="2672"/>
      <c r="V933" s="2672"/>
      <c r="W933" s="2672"/>
      <c r="X933" s="2672"/>
      <c r="Y933" s="2672"/>
      <c r="Z933" s="1321"/>
      <c r="AA933" s="1322"/>
      <c r="AB933" s="1387" t="s">
        <v>1107</v>
      </c>
      <c r="AC933" s="1326"/>
      <c r="AD933" s="1326"/>
      <c r="AE933" s="1328"/>
      <c r="AF933" s="2665"/>
      <c r="AG933" s="2666"/>
      <c r="AH933" s="2666"/>
      <c r="AI933" s="8653"/>
      <c r="AJ933" s="2666"/>
      <c r="AK933" s="2666"/>
      <c r="AL933" s="2131"/>
      <c r="AM933" s="1968"/>
      <c r="AN933" s="1968"/>
      <c r="AO933" s="1968"/>
      <c r="AP933" s="1968"/>
      <c r="AQ933" s="1968"/>
      <c r="AR933" s="1968"/>
      <c r="AS933" s="1968"/>
      <c r="AT933" s="1968"/>
      <c r="AU933" s="1968"/>
      <c r="AV933" s="1968"/>
      <c r="AW933" s="1968"/>
      <c r="AX933" s="1968"/>
      <c r="AY933" s="1968"/>
      <c r="AZ933" s="1968"/>
      <c r="BA933" s="1968"/>
      <c r="BB933" s="1968"/>
      <c r="BC933" s="1968"/>
      <c r="BD933" s="1968"/>
      <c r="BE933" s="1968"/>
      <c r="BF933" s="1968"/>
      <c r="BG933" s="7235"/>
    </row>
    <row customHeight="1" ht="11.25">
      <c r="A934" s="1312" t="s">
        <v>1069</v>
      </c>
      <c r="B934" s="1312"/>
      <c r="C934" s="1312"/>
      <c r="D934" s="1306"/>
      <c r="E934" s="1316"/>
      <c r="F934" s="1974"/>
      <c r="G934" s="1975"/>
      <c r="H934" s="2674" t="s">
        <v>1141</v>
      </c>
      <c r="I934" s="2675"/>
      <c r="J934" s="2644"/>
      <c r="K934" s="2676"/>
      <c r="L934" s="2266"/>
      <c r="M934" s="2267"/>
      <c r="N934" s="1321"/>
      <c r="O934" s="1322"/>
      <c r="P934" s="1314" t="s">
        <v>1108</v>
      </c>
      <c r="Q934" s="1322"/>
      <c r="R934" s="1322"/>
      <c r="S934" s="1322"/>
      <c r="T934" s="1322"/>
      <c r="U934" s="1322"/>
      <c r="V934" s="1322"/>
      <c r="W934" s="1322"/>
      <c r="X934" s="1322"/>
      <c r="Y934" s="1322"/>
      <c r="Z934" s="1322"/>
      <c r="AA934" s="1322"/>
      <c r="AB934" s="1322"/>
      <c r="AC934" s="1322"/>
      <c r="AD934" s="1322"/>
      <c r="AE934" s="1329"/>
      <c r="AF934" s="2665"/>
      <c r="AG934" s="2666"/>
      <c r="AH934" s="2666"/>
      <c r="AI934" s="8653"/>
      <c r="AJ934" s="2666"/>
      <c r="AK934" s="2666"/>
      <c r="AL934" s="2131"/>
      <c r="AM934" s="1968"/>
      <c r="AN934" s="1968"/>
      <c r="AO934" s="1968"/>
      <c r="AP934" s="1968"/>
      <c r="AQ934" s="1968"/>
      <c r="AR934" s="1968"/>
      <c r="AS934" s="1968"/>
      <c r="AT934" s="1968"/>
      <c r="AU934" s="1968"/>
      <c r="AV934" s="1968"/>
      <c r="AW934" s="1968"/>
      <c r="AX934" s="1968"/>
      <c r="AY934" s="1968"/>
      <c r="AZ934" s="1968"/>
      <c r="BA934" s="1968"/>
      <c r="BB934" s="1968"/>
      <c r="BC934" s="1968"/>
      <c r="BD934" s="1968"/>
      <c r="BE934" s="1968"/>
      <c r="BF934" s="1968"/>
      <c r="BG934" s="7235"/>
    </row>
    <row customHeight="1" ht="11.25">
      <c r="A935" s="1312" t="s">
        <v>1069</v>
      </c>
      <c r="B935" s="1312" t="s">
        <v>1198</v>
      </c>
      <c r="C935" s="1312"/>
      <c r="D935" s="1306"/>
      <c r="E935" s="1316"/>
      <c r="F935" s="1974"/>
      <c r="G935" s="7143" t="s">
        <v>106</v>
      </c>
      <c r="H935" s="2674" t="s">
        <v>1204</v>
      </c>
      <c r="I935" s="2675" t="s">
        <v>1200</v>
      </c>
      <c r="J935" s="2644" t="s">
        <v>1206</v>
      </c>
      <c r="K935" s="2676" t="s">
        <v>1344</v>
      </c>
      <c r="L935" s="2266" t="s">
        <v>19</v>
      </c>
      <c r="M935" s="2267"/>
      <c r="N935" s="2129"/>
      <c r="O935" s="1323" t="s">
        <v>398</v>
      </c>
      <c r="P935" s="1324"/>
      <c r="Q935" s="1324"/>
      <c r="R935" s="1324"/>
      <c r="S935" s="1324"/>
      <c r="T935" s="1324"/>
      <c r="U935" s="1324"/>
      <c r="V935" s="1324"/>
      <c r="W935" s="1324"/>
      <c r="X935" s="1324"/>
      <c r="Y935" s="1324"/>
      <c r="Z935" s="1324"/>
      <c r="AA935" s="1324"/>
      <c r="AB935" s="1324"/>
      <c r="AC935" s="1324"/>
      <c r="AD935" s="1324"/>
      <c r="AE935" s="1324"/>
      <c r="AF935" s="2665">
        <v>2027</v>
      </c>
      <c r="AG935" s="2666" t="s">
        <v>1103</v>
      </c>
      <c r="AH935" s="2666" t="s">
        <v>1164</v>
      </c>
      <c r="AI935" s="8653"/>
      <c r="AJ935" s="2666" t="s">
        <v>1105</v>
      </c>
      <c r="AK935" s="2666" t="s">
        <v>1105</v>
      </c>
      <c r="AL935" s="2131"/>
      <c r="AM935" s="1968"/>
      <c r="AN935" s="1968"/>
      <c r="AO935" s="1968"/>
      <c r="AP935" s="1968"/>
      <c r="AQ935" s="1968"/>
      <c r="AR935" s="1968"/>
      <c r="AS935" s="1968"/>
      <c r="AT935" s="1968"/>
      <c r="AU935" s="1968"/>
      <c r="AV935" s="1968"/>
      <c r="AW935" s="1968"/>
      <c r="AX935" s="1968"/>
      <c r="AY935" s="1968"/>
      <c r="AZ935" s="1968"/>
      <c r="BA935" s="1968"/>
      <c r="BB935" s="1968"/>
      <c r="BC935" s="1968"/>
      <c r="BD935" s="1968"/>
      <c r="BE935" s="1968"/>
      <c r="BF935" s="1968"/>
      <c r="BG935" s="7235"/>
    </row>
    <row customHeight="1" ht="11.25">
      <c r="A936" s="1312" t="s">
        <v>1069</v>
      </c>
      <c r="B936" s="1312"/>
      <c r="C936" s="1312"/>
      <c r="D936" s="1306"/>
      <c r="E936" s="1316"/>
      <c r="F936" s="1974"/>
      <c r="G936" s="1975"/>
      <c r="H936" s="2674" t="s">
        <v>1204</v>
      </c>
      <c r="I936" s="2675"/>
      <c r="J936" s="2644"/>
      <c r="K936" s="2676"/>
      <c r="L936" s="2266"/>
      <c r="M936" s="2267"/>
      <c r="N936" s="2667"/>
      <c r="O936" s="2668">
        <v>1</v>
      </c>
      <c r="P936" s="2669" t="s">
        <v>63</v>
      </c>
      <c r="Q936" s="8654" t="s">
        <v>133</v>
      </c>
      <c r="R936" s="8655" t="s">
        <v>1114</v>
      </c>
      <c r="S936" s="8655" t="s">
        <v>109</v>
      </c>
      <c r="T936" s="8655" t="s">
        <v>109</v>
      </c>
      <c r="U936" s="8655" t="s">
        <v>110</v>
      </c>
      <c r="V936" s="8655" t="s">
        <v>1192</v>
      </c>
      <c r="W936" s="8655" t="s">
        <v>1193</v>
      </c>
      <c r="X936" s="8655" t="s">
        <v>1194</v>
      </c>
      <c r="Y936" s="8655" t="s">
        <v>1195</v>
      </c>
      <c r="Z936" s="1321"/>
      <c r="AA936" s="1322"/>
      <c r="AB936" s="1322"/>
      <c r="AC936" s="1326"/>
      <c r="AD936" s="1326"/>
      <c r="AE936" s="1327"/>
      <c r="AF936" s="2665"/>
      <c r="AG936" s="2666"/>
      <c r="AH936" s="2666"/>
      <c r="AI936" s="8653"/>
      <c r="AJ936" s="2666"/>
      <c r="AK936" s="2666"/>
      <c r="AL936" s="2131"/>
      <c r="AM936" s="1968"/>
      <c r="AN936" s="1968"/>
      <c r="AO936" s="1968"/>
      <c r="AP936" s="1968"/>
      <c r="AQ936" s="1968"/>
      <c r="AR936" s="1968"/>
      <c r="AS936" s="1968"/>
      <c r="AT936" s="1968"/>
      <c r="AU936" s="1968"/>
      <c r="AV936" s="1968"/>
      <c r="AW936" s="1968"/>
      <c r="AX936" s="1968"/>
      <c r="AY936" s="1968"/>
      <c r="AZ936" s="1968"/>
      <c r="BA936" s="1968"/>
      <c r="BB936" s="1968"/>
      <c r="BC936" s="1968"/>
      <c r="BD936" s="1968"/>
      <c r="BE936" s="1968"/>
      <c r="BF936" s="1968"/>
      <c r="BG936" s="7235"/>
    </row>
    <row customHeight="1" ht="11.25">
      <c r="A937" s="1312" t="s">
        <v>1069</v>
      </c>
      <c r="B937" s="1312"/>
      <c r="C937" s="1312"/>
      <c r="D937" s="1306"/>
      <c r="E937" s="1316"/>
      <c r="F937" s="1974"/>
      <c r="G937" s="1975"/>
      <c r="H937" s="2674" t="s">
        <v>1204</v>
      </c>
      <c r="I937" s="2675"/>
      <c r="J937" s="2644"/>
      <c r="K937" s="2676"/>
      <c r="L937" s="2266"/>
      <c r="M937" s="2267"/>
      <c r="N937" s="2667"/>
      <c r="O937" s="2668"/>
      <c r="P937" s="2670"/>
      <c r="Q937" s="8654"/>
      <c r="R937" s="2672"/>
      <c r="S937" s="2673"/>
      <c r="T937" s="2672"/>
      <c r="U937" s="2672"/>
      <c r="V937" s="2672"/>
      <c r="W937" s="2672"/>
      <c r="X937" s="2672"/>
      <c r="Y937" s="2672"/>
      <c r="Z937" s="1973"/>
      <c r="AA937" s="1939">
        <v>1</v>
      </c>
      <c r="AB937" s="1325" t="s">
        <v>1131</v>
      </c>
      <c r="AC937" s="1315">
        <v>1649</v>
      </c>
      <c r="AD937" s="1325" t="str">
        <f>AB937</f>
        <v>      Прочие амортизационные отчисления</v>
      </c>
      <c r="AE937" s="1315">
        <v>0</v>
      </c>
      <c r="AF937" s="2665"/>
      <c r="AG937" s="2666"/>
      <c r="AH937" s="2666"/>
      <c r="AI937" s="8653"/>
      <c r="AJ937" s="2666"/>
      <c r="AK937" s="2666"/>
      <c r="AL937" s="2131"/>
      <c r="AM937" s="1968"/>
      <c r="AN937" s="1968"/>
      <c r="AO937" s="1968"/>
      <c r="AP937" s="1968"/>
      <c r="AQ937" s="1968"/>
      <c r="AR937" s="1968"/>
      <c r="AS937" s="1968"/>
      <c r="AT937" s="1968"/>
      <c r="AU937" s="1968"/>
      <c r="AV937" s="1968"/>
      <c r="AW937" s="1968"/>
      <c r="AX937" s="1968"/>
      <c r="AY937" s="1968"/>
      <c r="AZ937" s="1968"/>
      <c r="BA937" s="1968"/>
      <c r="BB937" s="1968"/>
      <c r="BC937" s="1968"/>
      <c r="BD937" s="1968"/>
      <c r="BE937" s="1968"/>
      <c r="BF937" s="1968"/>
      <c r="BG937" s="7235"/>
    </row>
    <row customHeight="1" ht="11.25">
      <c r="A938" s="1312" t="s">
        <v>1069</v>
      </c>
      <c r="B938" s="1312"/>
      <c r="C938" s="1312"/>
      <c r="D938" s="1306"/>
      <c r="E938" s="1316"/>
      <c r="F938" s="1974"/>
      <c r="G938" s="1975"/>
      <c r="H938" s="2674" t="s">
        <v>1204</v>
      </c>
      <c r="I938" s="2675"/>
      <c r="J938" s="2644"/>
      <c r="K938" s="2676"/>
      <c r="L938" s="2266"/>
      <c r="M938" s="2267"/>
      <c r="N938" s="2667"/>
      <c r="O938" s="2668"/>
      <c r="P938" s="2671"/>
      <c r="Q938" s="8654"/>
      <c r="R938" s="2672"/>
      <c r="S938" s="2673"/>
      <c r="T938" s="2672"/>
      <c r="U938" s="2672"/>
      <c r="V938" s="2672"/>
      <c r="W938" s="2672"/>
      <c r="X938" s="2672"/>
      <c r="Y938" s="2672"/>
      <c r="Z938" s="1321"/>
      <c r="AA938" s="1322"/>
      <c r="AB938" s="1387" t="s">
        <v>1107</v>
      </c>
      <c r="AC938" s="1326"/>
      <c r="AD938" s="1326"/>
      <c r="AE938" s="1328"/>
      <c r="AF938" s="2665"/>
      <c r="AG938" s="2666"/>
      <c r="AH938" s="2666"/>
      <c r="AI938" s="8653"/>
      <c r="AJ938" s="2666"/>
      <c r="AK938" s="2666"/>
      <c r="AL938" s="2131"/>
      <c r="AM938" s="1968"/>
      <c r="AN938" s="1968"/>
      <c r="AO938" s="1968"/>
      <c r="AP938" s="1968"/>
      <c r="AQ938" s="1968"/>
      <c r="AR938" s="1968"/>
      <c r="AS938" s="1968"/>
      <c r="AT938" s="1968"/>
      <c r="AU938" s="1968"/>
      <c r="AV938" s="1968"/>
      <c r="AW938" s="1968"/>
      <c r="AX938" s="1968"/>
      <c r="AY938" s="1968"/>
      <c r="AZ938" s="1968"/>
      <c r="BA938" s="1968"/>
      <c r="BB938" s="1968"/>
      <c r="BC938" s="1968"/>
      <c r="BD938" s="1968"/>
      <c r="BE938" s="1968"/>
      <c r="BF938" s="1968"/>
      <c r="BG938" s="7235"/>
    </row>
    <row customHeight="1" ht="11.25">
      <c r="A939" s="1312" t="s">
        <v>1069</v>
      </c>
      <c r="B939" s="1312"/>
      <c r="C939" s="1312"/>
      <c r="D939" s="1306"/>
      <c r="E939" s="1316"/>
      <c r="F939" s="1974"/>
      <c r="G939" s="1975"/>
      <c r="H939" s="2674" t="s">
        <v>1204</v>
      </c>
      <c r="I939" s="2675"/>
      <c r="J939" s="2644"/>
      <c r="K939" s="2676"/>
      <c r="L939" s="2266"/>
      <c r="M939" s="2267"/>
      <c r="N939" s="1321"/>
      <c r="O939" s="1322"/>
      <c r="P939" s="1314" t="s">
        <v>1108</v>
      </c>
      <c r="Q939" s="1322"/>
      <c r="R939" s="1322"/>
      <c r="S939" s="1322"/>
      <c r="T939" s="1322"/>
      <c r="U939" s="1322"/>
      <c r="V939" s="1322"/>
      <c r="W939" s="1322"/>
      <c r="X939" s="1322"/>
      <c r="Y939" s="1322"/>
      <c r="Z939" s="1322"/>
      <c r="AA939" s="1322"/>
      <c r="AB939" s="1322"/>
      <c r="AC939" s="1322"/>
      <c r="AD939" s="1322"/>
      <c r="AE939" s="1329"/>
      <c r="AF939" s="2665"/>
      <c r="AG939" s="2666"/>
      <c r="AH939" s="2666"/>
      <c r="AI939" s="8653"/>
      <c r="AJ939" s="2666"/>
      <c r="AK939" s="2666"/>
      <c r="AL939" s="2131"/>
      <c r="AM939" s="1968"/>
      <c r="AN939" s="1968"/>
      <c r="AO939" s="1968"/>
      <c r="AP939" s="1968"/>
      <c r="AQ939" s="1968"/>
      <c r="AR939" s="1968"/>
      <c r="AS939" s="1968"/>
      <c r="AT939" s="1968"/>
      <c r="AU939" s="1968"/>
      <c r="AV939" s="1968"/>
      <c r="AW939" s="1968"/>
      <c r="AX939" s="1968"/>
      <c r="AY939" s="1968"/>
      <c r="AZ939" s="1968"/>
      <c r="BA939" s="1968"/>
      <c r="BB939" s="1968"/>
      <c r="BC939" s="1968"/>
      <c r="BD939" s="1968"/>
      <c r="BE939" s="1968"/>
      <c r="BF939" s="1968"/>
      <c r="BG939" s="7235"/>
    </row>
    <row customHeight="1" ht="11.25">
      <c r="A940" s="1312" t="s">
        <v>1069</v>
      </c>
      <c r="B940" s="1312" t="s">
        <v>1198</v>
      </c>
      <c r="C940" s="1312"/>
      <c r="D940" s="1306"/>
      <c r="E940" s="1316"/>
      <c r="F940" s="1974"/>
      <c r="G940" s="7143" t="s">
        <v>106</v>
      </c>
      <c r="H940" s="2674" t="s">
        <v>1157</v>
      </c>
      <c r="I940" s="2675" t="s">
        <v>1200</v>
      </c>
      <c r="J940" s="2644" t="s">
        <v>1206</v>
      </c>
      <c r="K940" s="2676" t="s">
        <v>1345</v>
      </c>
      <c r="L940" s="2266" t="s">
        <v>19</v>
      </c>
      <c r="M940" s="2267"/>
      <c r="N940" s="2129"/>
      <c r="O940" s="1323" t="s">
        <v>398</v>
      </c>
      <c r="P940" s="1324"/>
      <c r="Q940" s="1324"/>
      <c r="R940" s="1324"/>
      <c r="S940" s="1324"/>
      <c r="T940" s="1324"/>
      <c r="U940" s="1324"/>
      <c r="V940" s="1324"/>
      <c r="W940" s="1324"/>
      <c r="X940" s="1324"/>
      <c r="Y940" s="1324"/>
      <c r="Z940" s="1324"/>
      <c r="AA940" s="1324"/>
      <c r="AB940" s="1324"/>
      <c r="AC940" s="1324"/>
      <c r="AD940" s="1324"/>
      <c r="AE940" s="1324"/>
      <c r="AF940" s="2665">
        <v>2027</v>
      </c>
      <c r="AG940" s="2666" t="s">
        <v>1103</v>
      </c>
      <c r="AH940" s="2666" t="s">
        <v>1164</v>
      </c>
      <c r="AI940" s="8653"/>
      <c r="AJ940" s="2666" t="s">
        <v>1105</v>
      </c>
      <c r="AK940" s="2666" t="s">
        <v>1105</v>
      </c>
      <c r="AL940" s="2131"/>
      <c r="AM940" s="1968"/>
      <c r="AN940" s="1968"/>
      <c r="AO940" s="1968"/>
      <c r="AP940" s="1968"/>
      <c r="AQ940" s="1968"/>
      <c r="AR940" s="1968"/>
      <c r="AS940" s="1968"/>
      <c r="AT940" s="1968"/>
      <c r="AU940" s="1968"/>
      <c r="AV940" s="1968"/>
      <c r="AW940" s="1968"/>
      <c r="AX940" s="1968"/>
      <c r="AY940" s="1968"/>
      <c r="AZ940" s="1968"/>
      <c r="BA940" s="1968"/>
      <c r="BB940" s="1968"/>
      <c r="BC940" s="1968"/>
      <c r="BD940" s="1968"/>
      <c r="BE940" s="1968"/>
      <c r="BF940" s="1968"/>
      <c r="BG940" s="7235"/>
    </row>
    <row customHeight="1" ht="11.25">
      <c r="A941" s="1312" t="s">
        <v>1069</v>
      </c>
      <c r="B941" s="1312"/>
      <c r="C941" s="1312"/>
      <c r="D941" s="1306"/>
      <c r="E941" s="1316"/>
      <c r="F941" s="1974"/>
      <c r="G941" s="1975"/>
      <c r="H941" s="2674" t="s">
        <v>1157</v>
      </c>
      <c r="I941" s="2675"/>
      <c r="J941" s="2644"/>
      <c r="K941" s="2676"/>
      <c r="L941" s="2266"/>
      <c r="M941" s="2267"/>
      <c r="N941" s="2667"/>
      <c r="O941" s="2668">
        <v>1</v>
      </c>
      <c r="P941" s="2669" t="s">
        <v>63</v>
      </c>
      <c r="Q941" s="8654" t="s">
        <v>133</v>
      </c>
      <c r="R941" s="8655" t="s">
        <v>1114</v>
      </c>
      <c r="S941" s="8655" t="s">
        <v>109</v>
      </c>
      <c r="T941" s="8655" t="s">
        <v>109</v>
      </c>
      <c r="U941" s="8655" t="s">
        <v>110</v>
      </c>
      <c r="V941" s="8655" t="s">
        <v>1192</v>
      </c>
      <c r="W941" s="8655" t="s">
        <v>1193</v>
      </c>
      <c r="X941" s="8655" t="s">
        <v>1194</v>
      </c>
      <c r="Y941" s="8655" t="s">
        <v>1195</v>
      </c>
      <c r="Z941" s="1321"/>
      <c r="AA941" s="1322"/>
      <c r="AB941" s="1322"/>
      <c r="AC941" s="1326"/>
      <c r="AD941" s="1326"/>
      <c r="AE941" s="1327"/>
      <c r="AF941" s="2665"/>
      <c r="AG941" s="2666"/>
      <c r="AH941" s="2666"/>
      <c r="AI941" s="8653"/>
      <c r="AJ941" s="2666"/>
      <c r="AK941" s="2666"/>
      <c r="AL941" s="2131"/>
      <c r="AM941" s="1968"/>
      <c r="AN941" s="1968"/>
      <c r="AO941" s="1968"/>
      <c r="AP941" s="1968"/>
      <c r="AQ941" s="1968"/>
      <c r="AR941" s="1968"/>
      <c r="AS941" s="1968"/>
      <c r="AT941" s="1968"/>
      <c r="AU941" s="1968"/>
      <c r="AV941" s="1968"/>
      <c r="AW941" s="1968"/>
      <c r="AX941" s="1968"/>
      <c r="AY941" s="1968"/>
      <c r="AZ941" s="1968"/>
      <c r="BA941" s="1968"/>
      <c r="BB941" s="1968"/>
      <c r="BC941" s="1968"/>
      <c r="BD941" s="1968"/>
      <c r="BE941" s="1968"/>
      <c r="BF941" s="1968"/>
      <c r="BG941" s="7235"/>
    </row>
    <row customHeight="1" ht="11.25">
      <c r="A942" s="1312" t="s">
        <v>1069</v>
      </c>
      <c r="B942" s="1312"/>
      <c r="C942" s="1312"/>
      <c r="D942" s="1306"/>
      <c r="E942" s="1316"/>
      <c r="F942" s="1974"/>
      <c r="G942" s="1975"/>
      <c r="H942" s="2674" t="s">
        <v>1157</v>
      </c>
      <c r="I942" s="2675"/>
      <c r="J942" s="2644"/>
      <c r="K942" s="2676"/>
      <c r="L942" s="2266"/>
      <c r="M942" s="2267"/>
      <c r="N942" s="2667"/>
      <c r="O942" s="2668"/>
      <c r="P942" s="2670"/>
      <c r="Q942" s="8654"/>
      <c r="R942" s="2672"/>
      <c r="S942" s="2673"/>
      <c r="T942" s="2672"/>
      <c r="U942" s="2672"/>
      <c r="V942" s="2672"/>
      <c r="W942" s="2672"/>
      <c r="X942" s="2672"/>
      <c r="Y942" s="2672"/>
      <c r="Z942" s="1973"/>
      <c r="AA942" s="1939">
        <v>1</v>
      </c>
      <c r="AB942" s="1325" t="s">
        <v>1131</v>
      </c>
      <c r="AC942" s="1315">
        <v>1649</v>
      </c>
      <c r="AD942" s="1325" t="str">
        <f>AB942</f>
        <v>      Прочие амортизационные отчисления</v>
      </c>
      <c r="AE942" s="1315">
        <v>0</v>
      </c>
      <c r="AF942" s="2665"/>
      <c r="AG942" s="2666"/>
      <c r="AH942" s="2666"/>
      <c r="AI942" s="8653"/>
      <c r="AJ942" s="2666"/>
      <c r="AK942" s="2666"/>
      <c r="AL942" s="2131"/>
      <c r="AM942" s="1968"/>
      <c r="AN942" s="1968"/>
      <c r="AO942" s="1968"/>
      <c r="AP942" s="1968"/>
      <c r="AQ942" s="1968"/>
      <c r="AR942" s="1968"/>
      <c r="AS942" s="1968"/>
      <c r="AT942" s="1968"/>
      <c r="AU942" s="1968"/>
      <c r="AV942" s="1968"/>
      <c r="AW942" s="1968"/>
      <c r="AX942" s="1968"/>
      <c r="AY942" s="1968"/>
      <c r="AZ942" s="1968"/>
      <c r="BA942" s="1968"/>
      <c r="BB942" s="1968"/>
      <c r="BC942" s="1968"/>
      <c r="BD942" s="1968"/>
      <c r="BE942" s="1968"/>
      <c r="BF942" s="1968"/>
      <c r="BG942" s="7235"/>
    </row>
    <row customHeight="1" ht="11.25">
      <c r="A943" s="1312" t="s">
        <v>1069</v>
      </c>
      <c r="B943" s="1312"/>
      <c r="C943" s="1312"/>
      <c r="D943" s="1306"/>
      <c r="E943" s="1316"/>
      <c r="F943" s="1974"/>
      <c r="G943" s="1975"/>
      <c r="H943" s="2674" t="s">
        <v>1157</v>
      </c>
      <c r="I943" s="2675"/>
      <c r="J943" s="2644"/>
      <c r="K943" s="2676"/>
      <c r="L943" s="2266"/>
      <c r="M943" s="2267"/>
      <c r="N943" s="2667"/>
      <c r="O943" s="2668"/>
      <c r="P943" s="2671"/>
      <c r="Q943" s="8654"/>
      <c r="R943" s="2672"/>
      <c r="S943" s="2673"/>
      <c r="T943" s="2672"/>
      <c r="U943" s="2672"/>
      <c r="V943" s="2672"/>
      <c r="W943" s="2672"/>
      <c r="X943" s="2672"/>
      <c r="Y943" s="2672"/>
      <c r="Z943" s="1321"/>
      <c r="AA943" s="1322"/>
      <c r="AB943" s="1387" t="s">
        <v>1107</v>
      </c>
      <c r="AC943" s="1326"/>
      <c r="AD943" s="1326"/>
      <c r="AE943" s="1328"/>
      <c r="AF943" s="2665"/>
      <c r="AG943" s="2666"/>
      <c r="AH943" s="2666"/>
      <c r="AI943" s="8653"/>
      <c r="AJ943" s="2666"/>
      <c r="AK943" s="2666"/>
      <c r="AL943" s="2131"/>
      <c r="AM943" s="1968"/>
      <c r="AN943" s="1968"/>
      <c r="AO943" s="1968"/>
      <c r="AP943" s="1968"/>
      <c r="AQ943" s="1968"/>
      <c r="AR943" s="1968"/>
      <c r="AS943" s="1968"/>
      <c r="AT943" s="1968"/>
      <c r="AU943" s="1968"/>
      <c r="AV943" s="1968"/>
      <c r="AW943" s="1968"/>
      <c r="AX943" s="1968"/>
      <c r="AY943" s="1968"/>
      <c r="AZ943" s="1968"/>
      <c r="BA943" s="1968"/>
      <c r="BB943" s="1968"/>
      <c r="BC943" s="1968"/>
      <c r="BD943" s="1968"/>
      <c r="BE943" s="1968"/>
      <c r="BF943" s="1968"/>
      <c r="BG943" s="7235"/>
    </row>
    <row customHeight="1" ht="11.25">
      <c r="A944" s="1312" t="s">
        <v>1069</v>
      </c>
      <c r="B944" s="1312"/>
      <c r="C944" s="1312"/>
      <c r="D944" s="1306"/>
      <c r="E944" s="1316"/>
      <c r="F944" s="1974"/>
      <c r="G944" s="1975"/>
      <c r="H944" s="2674" t="s">
        <v>1157</v>
      </c>
      <c r="I944" s="2675"/>
      <c r="J944" s="2644"/>
      <c r="K944" s="2676"/>
      <c r="L944" s="2266"/>
      <c r="M944" s="2267"/>
      <c r="N944" s="1321"/>
      <c r="O944" s="1322"/>
      <c r="P944" s="1314" t="s">
        <v>1108</v>
      </c>
      <c r="Q944" s="1322"/>
      <c r="R944" s="1322"/>
      <c r="S944" s="1322"/>
      <c r="T944" s="1322"/>
      <c r="U944" s="1322"/>
      <c r="V944" s="1322"/>
      <c r="W944" s="1322"/>
      <c r="X944" s="1322"/>
      <c r="Y944" s="1322"/>
      <c r="Z944" s="1322"/>
      <c r="AA944" s="1322"/>
      <c r="AB944" s="1322"/>
      <c r="AC944" s="1322"/>
      <c r="AD944" s="1322"/>
      <c r="AE944" s="1329"/>
      <c r="AF944" s="2665"/>
      <c r="AG944" s="2666"/>
      <c r="AH944" s="2666"/>
      <c r="AI944" s="8653"/>
      <c r="AJ944" s="2666"/>
      <c r="AK944" s="2666"/>
      <c r="AL944" s="2131"/>
      <c r="AM944" s="1968"/>
      <c r="AN944" s="1968"/>
      <c r="AO944" s="1968"/>
      <c r="AP944" s="1968"/>
      <c r="AQ944" s="1968"/>
      <c r="AR944" s="1968"/>
      <c r="AS944" s="1968"/>
      <c r="AT944" s="1968"/>
      <c r="AU944" s="1968"/>
      <c r="AV944" s="1968"/>
      <c r="AW944" s="1968"/>
      <c r="AX944" s="1968"/>
      <c r="AY944" s="1968"/>
      <c r="AZ944" s="1968"/>
      <c r="BA944" s="1968"/>
      <c r="BB944" s="1968"/>
      <c r="BC944" s="1968"/>
      <c r="BD944" s="1968"/>
      <c r="BE944" s="1968"/>
      <c r="BF944" s="1968"/>
      <c r="BG944" s="7235"/>
    </row>
    <row customHeight="1" ht="11.25">
      <c r="A945" s="1312" t="s">
        <v>1069</v>
      </c>
      <c r="B945" s="1312" t="s">
        <v>1198</v>
      </c>
      <c r="C945" s="1312"/>
      <c r="D945" s="1306"/>
      <c r="E945" s="1316"/>
      <c r="F945" s="1974"/>
      <c r="G945" s="7143" t="s">
        <v>106</v>
      </c>
      <c r="H945" s="2674" t="s">
        <v>1211</v>
      </c>
      <c r="I945" s="2675" t="s">
        <v>1200</v>
      </c>
      <c r="J945" s="2644" t="s">
        <v>1206</v>
      </c>
      <c r="K945" s="2676" t="s">
        <v>1346</v>
      </c>
      <c r="L945" s="2266" t="s">
        <v>19</v>
      </c>
      <c r="M945" s="2267"/>
      <c r="N945" s="2129"/>
      <c r="O945" s="1323" t="s">
        <v>398</v>
      </c>
      <c r="P945" s="1324"/>
      <c r="Q945" s="1324"/>
      <c r="R945" s="1324"/>
      <c r="S945" s="1324"/>
      <c r="T945" s="1324"/>
      <c r="U945" s="1324"/>
      <c r="V945" s="1324"/>
      <c r="W945" s="1324"/>
      <c r="X945" s="1324"/>
      <c r="Y945" s="1324"/>
      <c r="Z945" s="1324"/>
      <c r="AA945" s="1324"/>
      <c r="AB945" s="1324"/>
      <c r="AC945" s="1324"/>
      <c r="AD945" s="1324"/>
      <c r="AE945" s="1324"/>
      <c r="AF945" s="2665">
        <v>2027</v>
      </c>
      <c r="AG945" s="2666" t="s">
        <v>1103</v>
      </c>
      <c r="AH945" s="2666" t="s">
        <v>1164</v>
      </c>
      <c r="AI945" s="8653"/>
      <c r="AJ945" s="2666" t="s">
        <v>1105</v>
      </c>
      <c r="AK945" s="2666" t="s">
        <v>1105</v>
      </c>
      <c r="AL945" s="2131"/>
      <c r="AM945" s="1968"/>
      <c r="AN945" s="1968"/>
      <c r="AO945" s="1968"/>
      <c r="AP945" s="1968"/>
      <c r="AQ945" s="1968"/>
      <c r="AR945" s="1968"/>
      <c r="AS945" s="1968"/>
      <c r="AT945" s="1968"/>
      <c r="AU945" s="1968"/>
      <c r="AV945" s="1968"/>
      <c r="AW945" s="1968"/>
      <c r="AX945" s="1968"/>
      <c r="AY945" s="1968"/>
      <c r="AZ945" s="1968"/>
      <c r="BA945" s="1968"/>
      <c r="BB945" s="1968"/>
      <c r="BC945" s="1968"/>
      <c r="BD945" s="1968"/>
      <c r="BE945" s="1968"/>
      <c r="BF945" s="1968"/>
      <c r="BG945" s="7235"/>
    </row>
    <row customHeight="1" ht="11.25">
      <c r="A946" s="1312" t="s">
        <v>1069</v>
      </c>
      <c r="B946" s="1312"/>
      <c r="C946" s="1312"/>
      <c r="D946" s="1306"/>
      <c r="E946" s="1316"/>
      <c r="F946" s="1974"/>
      <c r="G946" s="1975"/>
      <c r="H946" s="2674" t="s">
        <v>1211</v>
      </c>
      <c r="I946" s="2675"/>
      <c r="J946" s="2644"/>
      <c r="K946" s="2676"/>
      <c r="L946" s="2266"/>
      <c r="M946" s="2267"/>
      <c r="N946" s="2667"/>
      <c r="O946" s="2668">
        <v>1</v>
      </c>
      <c r="P946" s="2669" t="s">
        <v>63</v>
      </c>
      <c r="Q946" s="8654" t="s">
        <v>133</v>
      </c>
      <c r="R946" s="8655" t="s">
        <v>1114</v>
      </c>
      <c r="S946" s="8655" t="s">
        <v>109</v>
      </c>
      <c r="T946" s="8655" t="s">
        <v>109</v>
      </c>
      <c r="U946" s="8655" t="s">
        <v>110</v>
      </c>
      <c r="V946" s="8655" t="s">
        <v>1192</v>
      </c>
      <c r="W946" s="8655" t="s">
        <v>1193</v>
      </c>
      <c r="X946" s="8655" t="s">
        <v>1194</v>
      </c>
      <c r="Y946" s="8655" t="s">
        <v>1195</v>
      </c>
      <c r="Z946" s="1321"/>
      <c r="AA946" s="1322"/>
      <c r="AB946" s="1322"/>
      <c r="AC946" s="1326"/>
      <c r="AD946" s="1326"/>
      <c r="AE946" s="1327"/>
      <c r="AF946" s="2665"/>
      <c r="AG946" s="2666"/>
      <c r="AH946" s="2666"/>
      <c r="AI946" s="8653"/>
      <c r="AJ946" s="2666"/>
      <c r="AK946" s="2666"/>
      <c r="AL946" s="2131"/>
      <c r="AM946" s="1968"/>
      <c r="AN946" s="1968"/>
      <c r="AO946" s="1968"/>
      <c r="AP946" s="1968"/>
      <c r="AQ946" s="1968"/>
      <c r="AR946" s="1968"/>
      <c r="AS946" s="1968"/>
      <c r="AT946" s="1968"/>
      <c r="AU946" s="1968"/>
      <c r="AV946" s="1968"/>
      <c r="AW946" s="1968"/>
      <c r="AX946" s="1968"/>
      <c r="AY946" s="1968"/>
      <c r="AZ946" s="1968"/>
      <c r="BA946" s="1968"/>
      <c r="BB946" s="1968"/>
      <c r="BC946" s="1968"/>
      <c r="BD946" s="1968"/>
      <c r="BE946" s="1968"/>
      <c r="BF946" s="1968"/>
      <c r="BG946" s="7235"/>
    </row>
    <row customHeight="1" ht="11.25">
      <c r="A947" s="1312" t="s">
        <v>1069</v>
      </c>
      <c r="B947" s="1312"/>
      <c r="C947" s="1312"/>
      <c r="D947" s="1306"/>
      <c r="E947" s="1316"/>
      <c r="F947" s="1974"/>
      <c r="G947" s="1975"/>
      <c r="H947" s="2674" t="s">
        <v>1211</v>
      </c>
      <c r="I947" s="2675"/>
      <c r="J947" s="2644"/>
      <c r="K947" s="2676"/>
      <c r="L947" s="2266"/>
      <c r="M947" s="2267"/>
      <c r="N947" s="2667"/>
      <c r="O947" s="2668"/>
      <c r="P947" s="2670"/>
      <c r="Q947" s="8654"/>
      <c r="R947" s="2672"/>
      <c r="S947" s="2673"/>
      <c r="T947" s="2672"/>
      <c r="U947" s="2672"/>
      <c r="V947" s="2672"/>
      <c r="W947" s="2672"/>
      <c r="X947" s="2672"/>
      <c r="Y947" s="2672"/>
      <c r="Z947" s="1973"/>
      <c r="AA947" s="1939">
        <v>1</v>
      </c>
      <c r="AB947" s="1325" t="s">
        <v>1131</v>
      </c>
      <c r="AC947" s="1315">
        <v>880</v>
      </c>
      <c r="AD947" s="1325" t="str">
        <f>AB947</f>
        <v>      Прочие амортизационные отчисления</v>
      </c>
      <c r="AE947" s="1315">
        <v>0</v>
      </c>
      <c r="AF947" s="2665"/>
      <c r="AG947" s="2666"/>
      <c r="AH947" s="2666"/>
      <c r="AI947" s="8653"/>
      <c r="AJ947" s="2666"/>
      <c r="AK947" s="2666"/>
      <c r="AL947" s="2131"/>
      <c r="AM947" s="1968"/>
      <c r="AN947" s="1968"/>
      <c r="AO947" s="1968"/>
      <c r="AP947" s="1968"/>
      <c r="AQ947" s="1968"/>
      <c r="AR947" s="1968"/>
      <c r="AS947" s="1968"/>
      <c r="AT947" s="1968"/>
      <c r="AU947" s="1968"/>
      <c r="AV947" s="1968"/>
      <c r="AW947" s="1968"/>
      <c r="AX947" s="1968"/>
      <c r="AY947" s="1968"/>
      <c r="AZ947" s="1968"/>
      <c r="BA947" s="1968"/>
      <c r="BB947" s="1968"/>
      <c r="BC947" s="1968"/>
      <c r="BD947" s="1968"/>
      <c r="BE947" s="1968"/>
      <c r="BF947" s="1968"/>
      <c r="BG947" s="7235"/>
    </row>
    <row customHeight="1" ht="11.25">
      <c r="A948" s="1312" t="s">
        <v>1069</v>
      </c>
      <c r="B948" s="1312"/>
      <c r="C948" s="1312"/>
      <c r="D948" s="1306"/>
      <c r="E948" s="1316"/>
      <c r="F948" s="1974"/>
      <c r="G948" s="1975"/>
      <c r="H948" s="2674" t="s">
        <v>1211</v>
      </c>
      <c r="I948" s="2675"/>
      <c r="J948" s="2644"/>
      <c r="K948" s="2676"/>
      <c r="L948" s="2266"/>
      <c r="M948" s="2267"/>
      <c r="N948" s="2667"/>
      <c r="O948" s="2668"/>
      <c r="P948" s="2671"/>
      <c r="Q948" s="8654"/>
      <c r="R948" s="2672"/>
      <c r="S948" s="2673"/>
      <c r="T948" s="2672"/>
      <c r="U948" s="2672"/>
      <c r="V948" s="2672"/>
      <c r="W948" s="2672"/>
      <c r="X948" s="2672"/>
      <c r="Y948" s="2672"/>
      <c r="Z948" s="1321"/>
      <c r="AA948" s="1322"/>
      <c r="AB948" s="1387" t="s">
        <v>1107</v>
      </c>
      <c r="AC948" s="1326"/>
      <c r="AD948" s="1326"/>
      <c r="AE948" s="1328"/>
      <c r="AF948" s="2665"/>
      <c r="AG948" s="2666"/>
      <c r="AH948" s="2666"/>
      <c r="AI948" s="8653"/>
      <c r="AJ948" s="2666"/>
      <c r="AK948" s="2666"/>
      <c r="AL948" s="2131"/>
      <c r="AM948" s="1968"/>
      <c r="AN948" s="1968"/>
      <c r="AO948" s="1968"/>
      <c r="AP948" s="1968"/>
      <c r="AQ948" s="1968"/>
      <c r="AR948" s="1968"/>
      <c r="AS948" s="1968"/>
      <c r="AT948" s="1968"/>
      <c r="AU948" s="1968"/>
      <c r="AV948" s="1968"/>
      <c r="AW948" s="1968"/>
      <c r="AX948" s="1968"/>
      <c r="AY948" s="1968"/>
      <c r="AZ948" s="1968"/>
      <c r="BA948" s="1968"/>
      <c r="BB948" s="1968"/>
      <c r="BC948" s="1968"/>
      <c r="BD948" s="1968"/>
      <c r="BE948" s="1968"/>
      <c r="BF948" s="1968"/>
      <c r="BG948" s="7235"/>
    </row>
    <row customHeight="1" ht="11.25">
      <c r="A949" s="1312" t="s">
        <v>1069</v>
      </c>
      <c r="B949" s="1312"/>
      <c r="C949" s="1312"/>
      <c r="D949" s="1306"/>
      <c r="E949" s="1316"/>
      <c r="F949" s="1974"/>
      <c r="G949" s="1975"/>
      <c r="H949" s="2674" t="s">
        <v>1211</v>
      </c>
      <c r="I949" s="2675"/>
      <c r="J949" s="2644"/>
      <c r="K949" s="2676"/>
      <c r="L949" s="2266"/>
      <c r="M949" s="2267"/>
      <c r="N949" s="1321"/>
      <c r="O949" s="1322"/>
      <c r="P949" s="1314" t="s">
        <v>1108</v>
      </c>
      <c r="Q949" s="1322"/>
      <c r="R949" s="1322"/>
      <c r="S949" s="1322"/>
      <c r="T949" s="1322"/>
      <c r="U949" s="1322"/>
      <c r="V949" s="1322"/>
      <c r="W949" s="1322"/>
      <c r="X949" s="1322"/>
      <c r="Y949" s="1322"/>
      <c r="Z949" s="1322"/>
      <c r="AA949" s="1322"/>
      <c r="AB949" s="1322"/>
      <c r="AC949" s="1322"/>
      <c r="AD949" s="1322"/>
      <c r="AE949" s="1329"/>
      <c r="AF949" s="2665"/>
      <c r="AG949" s="2666"/>
      <c r="AH949" s="2666"/>
      <c r="AI949" s="8653"/>
      <c r="AJ949" s="2666"/>
      <c r="AK949" s="2666"/>
      <c r="AL949" s="2131"/>
      <c r="AM949" s="1968"/>
      <c r="AN949" s="1968"/>
      <c r="AO949" s="1968"/>
      <c r="AP949" s="1968"/>
      <c r="AQ949" s="1968"/>
      <c r="AR949" s="1968"/>
      <c r="AS949" s="1968"/>
      <c r="AT949" s="1968"/>
      <c r="AU949" s="1968"/>
      <c r="AV949" s="1968"/>
      <c r="AW949" s="1968"/>
      <c r="AX949" s="1968"/>
      <c r="AY949" s="1968"/>
      <c r="AZ949" s="1968"/>
      <c r="BA949" s="1968"/>
      <c r="BB949" s="1968"/>
      <c r="BC949" s="1968"/>
      <c r="BD949" s="1968"/>
      <c r="BE949" s="1968"/>
      <c r="BF949" s="1968"/>
      <c r="BG949" s="7235"/>
    </row>
    <row customHeight="1" ht="11.25">
      <c r="A950" s="1312" t="s">
        <v>1069</v>
      </c>
      <c r="B950" s="1312" t="s">
        <v>1198</v>
      </c>
      <c r="C950" s="1312"/>
      <c r="D950" s="1306"/>
      <c r="E950" s="1316"/>
      <c r="F950" s="1974"/>
      <c r="G950" s="7143" t="s">
        <v>106</v>
      </c>
      <c r="H950" s="2674" t="s">
        <v>1213</v>
      </c>
      <c r="I950" s="2675" t="s">
        <v>1200</v>
      </c>
      <c r="J950" s="2644" t="s">
        <v>1206</v>
      </c>
      <c r="K950" s="2676" t="s">
        <v>1347</v>
      </c>
      <c r="L950" s="2266" t="s">
        <v>19</v>
      </c>
      <c r="M950" s="2267"/>
      <c r="N950" s="2129"/>
      <c r="O950" s="1323" t="s">
        <v>398</v>
      </c>
      <c r="P950" s="1324"/>
      <c r="Q950" s="1324"/>
      <c r="R950" s="1324"/>
      <c r="S950" s="1324"/>
      <c r="T950" s="1324"/>
      <c r="U950" s="1324"/>
      <c r="V950" s="1324"/>
      <c r="W950" s="1324"/>
      <c r="X950" s="1324"/>
      <c r="Y950" s="1324"/>
      <c r="Z950" s="1324"/>
      <c r="AA950" s="1324"/>
      <c r="AB950" s="1324"/>
      <c r="AC950" s="1324"/>
      <c r="AD950" s="1324"/>
      <c r="AE950" s="1324"/>
      <c r="AF950" s="2665">
        <v>2027</v>
      </c>
      <c r="AG950" s="2666" t="s">
        <v>1103</v>
      </c>
      <c r="AH950" s="2666" t="s">
        <v>1164</v>
      </c>
      <c r="AI950" s="8653"/>
      <c r="AJ950" s="2666" t="s">
        <v>1105</v>
      </c>
      <c r="AK950" s="2666" t="s">
        <v>1105</v>
      </c>
      <c r="AL950" s="2131"/>
      <c r="AM950" s="1968"/>
      <c r="AN950" s="1968"/>
      <c r="AO950" s="1968"/>
      <c r="AP950" s="1968"/>
      <c r="AQ950" s="1968"/>
      <c r="AR950" s="1968"/>
      <c r="AS950" s="1968"/>
      <c r="AT950" s="1968"/>
      <c r="AU950" s="1968"/>
      <c r="AV950" s="1968"/>
      <c r="AW950" s="1968"/>
      <c r="AX950" s="1968"/>
      <c r="AY950" s="1968"/>
      <c r="AZ950" s="1968"/>
      <c r="BA950" s="1968"/>
      <c r="BB950" s="1968"/>
      <c r="BC950" s="1968"/>
      <c r="BD950" s="1968"/>
      <c r="BE950" s="1968"/>
      <c r="BF950" s="1968"/>
      <c r="BG950" s="7235"/>
    </row>
    <row customHeight="1" ht="11.25">
      <c r="A951" s="1312" t="s">
        <v>1069</v>
      </c>
      <c r="B951" s="1312"/>
      <c r="C951" s="1312"/>
      <c r="D951" s="1306"/>
      <c r="E951" s="1316"/>
      <c r="F951" s="1974"/>
      <c r="G951" s="1975"/>
      <c r="H951" s="2674" t="s">
        <v>1213</v>
      </c>
      <c r="I951" s="2675"/>
      <c r="J951" s="2644"/>
      <c r="K951" s="2676"/>
      <c r="L951" s="2266"/>
      <c r="M951" s="2267"/>
      <c r="N951" s="2667"/>
      <c r="O951" s="2668">
        <v>1</v>
      </c>
      <c r="P951" s="2669" t="s">
        <v>63</v>
      </c>
      <c r="Q951" s="8654" t="s">
        <v>128</v>
      </c>
      <c r="R951" s="8655" t="s">
        <v>1114</v>
      </c>
      <c r="S951" s="8655" t="s">
        <v>101</v>
      </c>
      <c r="T951" s="8655" t="s">
        <v>102</v>
      </c>
      <c r="U951" s="8655" t="s">
        <v>103</v>
      </c>
      <c r="V951" s="8655" t="s">
        <v>1238</v>
      </c>
      <c r="W951" s="8655" t="s">
        <v>1239</v>
      </c>
      <c r="X951" s="8655" t="s">
        <v>1240</v>
      </c>
      <c r="Y951" s="8655" t="s">
        <v>1190</v>
      </c>
      <c r="Z951" s="1321"/>
      <c r="AA951" s="1322"/>
      <c r="AB951" s="1322"/>
      <c r="AC951" s="1326"/>
      <c r="AD951" s="1326"/>
      <c r="AE951" s="1327"/>
      <c r="AF951" s="2665"/>
      <c r="AG951" s="2666"/>
      <c r="AH951" s="2666"/>
      <c r="AI951" s="8653"/>
      <c r="AJ951" s="2666"/>
      <c r="AK951" s="2666"/>
      <c r="AL951" s="2131"/>
      <c r="AM951" s="1968"/>
      <c r="AN951" s="1968"/>
      <c r="AO951" s="1968"/>
      <c r="AP951" s="1968"/>
      <c r="AQ951" s="1968"/>
      <c r="AR951" s="1968"/>
      <c r="AS951" s="1968"/>
      <c r="AT951" s="1968"/>
      <c r="AU951" s="1968"/>
      <c r="AV951" s="1968"/>
      <c r="AW951" s="1968"/>
      <c r="AX951" s="1968"/>
      <c r="AY951" s="1968"/>
      <c r="AZ951" s="1968"/>
      <c r="BA951" s="1968"/>
      <c r="BB951" s="1968"/>
      <c r="BC951" s="1968"/>
      <c r="BD951" s="1968"/>
      <c r="BE951" s="1968"/>
      <c r="BF951" s="1968"/>
      <c r="BG951" s="7235"/>
    </row>
    <row customHeight="1" ht="11.25">
      <c r="A952" s="1312" t="s">
        <v>1069</v>
      </c>
      <c r="B952" s="1312"/>
      <c r="C952" s="1312"/>
      <c r="D952" s="1306"/>
      <c r="E952" s="1316"/>
      <c r="F952" s="1974"/>
      <c r="G952" s="1975"/>
      <c r="H952" s="2674" t="s">
        <v>1213</v>
      </c>
      <c r="I952" s="2675"/>
      <c r="J952" s="2644"/>
      <c r="K952" s="2676"/>
      <c r="L952" s="2266"/>
      <c r="M952" s="2267"/>
      <c r="N952" s="2667"/>
      <c r="O952" s="2668"/>
      <c r="P952" s="2670"/>
      <c r="Q952" s="8654"/>
      <c r="R952" s="2672"/>
      <c r="S952" s="2673"/>
      <c r="T952" s="2672"/>
      <c r="U952" s="2672"/>
      <c r="V952" s="2672"/>
      <c r="W952" s="2672"/>
      <c r="X952" s="2672"/>
      <c r="Y952" s="2672"/>
      <c r="Z952" s="1973"/>
      <c r="AA952" s="1939">
        <v>1</v>
      </c>
      <c r="AB952" s="1325" t="s">
        <v>1131</v>
      </c>
      <c r="AC952" s="1315">
        <v>6786</v>
      </c>
      <c r="AD952" s="1325" t="str">
        <f>AB952</f>
        <v>      Прочие амортизационные отчисления</v>
      </c>
      <c r="AE952" s="1315">
        <v>0</v>
      </c>
      <c r="AF952" s="2665"/>
      <c r="AG952" s="2666"/>
      <c r="AH952" s="2666"/>
      <c r="AI952" s="8653"/>
      <c r="AJ952" s="2666"/>
      <c r="AK952" s="2666"/>
      <c r="AL952" s="2131"/>
      <c r="AM952" s="1968"/>
      <c r="AN952" s="1968"/>
      <c r="AO952" s="1968"/>
      <c r="AP952" s="1968"/>
      <c r="AQ952" s="1968"/>
      <c r="AR952" s="1968"/>
      <c r="AS952" s="1968"/>
      <c r="AT952" s="1968"/>
      <c r="AU952" s="1968"/>
      <c r="AV952" s="1968"/>
      <c r="AW952" s="1968"/>
      <c r="AX952" s="1968"/>
      <c r="AY952" s="1968"/>
      <c r="AZ952" s="1968"/>
      <c r="BA952" s="1968"/>
      <c r="BB952" s="1968"/>
      <c r="BC952" s="1968"/>
      <c r="BD952" s="1968"/>
      <c r="BE952" s="1968"/>
      <c r="BF952" s="1968"/>
      <c r="BG952" s="7235"/>
    </row>
    <row customHeight="1" ht="11.25">
      <c r="A953" s="1312" t="s">
        <v>1069</v>
      </c>
      <c r="B953" s="1312"/>
      <c r="C953" s="1312"/>
      <c r="D953" s="1306"/>
      <c r="E953" s="1316"/>
      <c r="F953" s="1974"/>
      <c r="G953" s="1975"/>
      <c r="H953" s="2674" t="s">
        <v>1213</v>
      </c>
      <c r="I953" s="2675"/>
      <c r="J953" s="2644"/>
      <c r="K953" s="2676"/>
      <c r="L953" s="2266"/>
      <c r="M953" s="2267"/>
      <c r="N953" s="2667"/>
      <c r="O953" s="2668"/>
      <c r="P953" s="2671"/>
      <c r="Q953" s="8654"/>
      <c r="R953" s="2672"/>
      <c r="S953" s="2673"/>
      <c r="T953" s="2672"/>
      <c r="U953" s="2672"/>
      <c r="V953" s="2672"/>
      <c r="W953" s="2672"/>
      <c r="X953" s="2672"/>
      <c r="Y953" s="2672"/>
      <c r="Z953" s="1321"/>
      <c r="AA953" s="1322"/>
      <c r="AB953" s="1387" t="s">
        <v>1107</v>
      </c>
      <c r="AC953" s="1326"/>
      <c r="AD953" s="1326"/>
      <c r="AE953" s="1328"/>
      <c r="AF953" s="2665"/>
      <c r="AG953" s="2666"/>
      <c r="AH953" s="2666"/>
      <c r="AI953" s="8653"/>
      <c r="AJ953" s="2666"/>
      <c r="AK953" s="2666"/>
      <c r="AL953" s="2131"/>
      <c r="AM953" s="1968"/>
      <c r="AN953" s="1968"/>
      <c r="AO953" s="1968"/>
      <c r="AP953" s="1968"/>
      <c r="AQ953" s="1968"/>
      <c r="AR953" s="1968"/>
      <c r="AS953" s="1968"/>
      <c r="AT953" s="1968"/>
      <c r="AU953" s="1968"/>
      <c r="AV953" s="1968"/>
      <c r="AW953" s="1968"/>
      <c r="AX953" s="1968"/>
      <c r="AY953" s="1968"/>
      <c r="AZ953" s="1968"/>
      <c r="BA953" s="1968"/>
      <c r="BB953" s="1968"/>
      <c r="BC953" s="1968"/>
      <c r="BD953" s="1968"/>
      <c r="BE953" s="1968"/>
      <c r="BF953" s="1968"/>
      <c r="BG953" s="7235"/>
    </row>
    <row customHeight="1" ht="11.25">
      <c r="A954" s="1312" t="s">
        <v>1069</v>
      </c>
      <c r="B954" s="1312"/>
      <c r="C954" s="1312"/>
      <c r="D954" s="1306"/>
      <c r="E954" s="1316"/>
      <c r="F954" s="1974"/>
      <c r="G954" s="1975"/>
      <c r="H954" s="2674" t="s">
        <v>1213</v>
      </c>
      <c r="I954" s="2675"/>
      <c r="J954" s="2644"/>
      <c r="K954" s="2676"/>
      <c r="L954" s="2266"/>
      <c r="M954" s="2267"/>
      <c r="N954" s="1321"/>
      <c r="O954" s="1322"/>
      <c r="P954" s="1314" t="s">
        <v>1108</v>
      </c>
      <c r="Q954" s="1322"/>
      <c r="R954" s="1322"/>
      <c r="S954" s="1322"/>
      <c r="T954" s="1322"/>
      <c r="U954" s="1322"/>
      <c r="V954" s="1322"/>
      <c r="W954" s="1322"/>
      <c r="X954" s="1322"/>
      <c r="Y954" s="1322"/>
      <c r="Z954" s="1322"/>
      <c r="AA954" s="1322"/>
      <c r="AB954" s="1322"/>
      <c r="AC954" s="1322"/>
      <c r="AD954" s="1322"/>
      <c r="AE954" s="1329"/>
      <c r="AF954" s="2665"/>
      <c r="AG954" s="2666"/>
      <c r="AH954" s="2666"/>
      <c r="AI954" s="8653"/>
      <c r="AJ954" s="2666"/>
      <c r="AK954" s="2666"/>
      <c r="AL954" s="2131"/>
      <c r="AM954" s="1968"/>
      <c r="AN954" s="1968"/>
      <c r="AO954" s="1968"/>
      <c r="AP954" s="1968"/>
      <c r="AQ954" s="1968"/>
      <c r="AR954" s="1968"/>
      <c r="AS954" s="1968"/>
      <c r="AT954" s="1968"/>
      <c r="AU954" s="1968"/>
      <c r="AV954" s="1968"/>
      <c r="AW954" s="1968"/>
      <c r="AX954" s="1968"/>
      <c r="AY954" s="1968"/>
      <c r="AZ954" s="1968"/>
      <c r="BA954" s="1968"/>
      <c r="BB954" s="1968"/>
      <c r="BC954" s="1968"/>
      <c r="BD954" s="1968"/>
      <c r="BE954" s="1968"/>
      <c r="BF954" s="1968"/>
      <c r="BG954" s="7235"/>
    </row>
    <row customHeight="1" ht="11.25">
      <c r="A955" s="1312" t="s">
        <v>1069</v>
      </c>
      <c r="B955" s="1312" t="s">
        <v>1198</v>
      </c>
      <c r="C955" s="1312"/>
      <c r="D955" s="1306"/>
      <c r="E955" s="1316"/>
      <c r="F955" s="1974"/>
      <c r="G955" s="7143" t="s">
        <v>106</v>
      </c>
      <c r="H955" s="2674" t="s">
        <v>1149</v>
      </c>
      <c r="I955" s="2675" t="s">
        <v>1200</v>
      </c>
      <c r="J955" s="2644" t="s">
        <v>1206</v>
      </c>
      <c r="K955" s="2676" t="s">
        <v>1348</v>
      </c>
      <c r="L955" s="2266" t="s">
        <v>19</v>
      </c>
      <c r="M955" s="2267"/>
      <c r="N955" s="2129"/>
      <c r="O955" s="1323" t="s">
        <v>398</v>
      </c>
      <c r="P955" s="1324"/>
      <c r="Q955" s="1324"/>
      <c r="R955" s="1324"/>
      <c r="S955" s="1324"/>
      <c r="T955" s="1324"/>
      <c r="U955" s="1324"/>
      <c r="V955" s="1324"/>
      <c r="W955" s="1324"/>
      <c r="X955" s="1324"/>
      <c r="Y955" s="1324"/>
      <c r="Z955" s="1324"/>
      <c r="AA955" s="1324"/>
      <c r="AB955" s="1324"/>
      <c r="AC955" s="1324"/>
      <c r="AD955" s="1324"/>
      <c r="AE955" s="1324"/>
      <c r="AF955" s="2665">
        <v>2028</v>
      </c>
      <c r="AG955" s="2666" t="s">
        <v>1103</v>
      </c>
      <c r="AH955" s="2666" t="s">
        <v>1228</v>
      </c>
      <c r="AI955" s="8653"/>
      <c r="AJ955" s="2666" t="s">
        <v>1105</v>
      </c>
      <c r="AK955" s="2666" t="s">
        <v>1105</v>
      </c>
      <c r="AL955" s="2131"/>
      <c r="AM955" s="1968"/>
      <c r="AN955" s="1968"/>
      <c r="AO955" s="1968"/>
      <c r="AP955" s="1968"/>
      <c r="AQ955" s="1968"/>
      <c r="AR955" s="1968"/>
      <c r="AS955" s="1968"/>
      <c r="AT955" s="1968"/>
      <c r="AU955" s="1968"/>
      <c r="AV955" s="1968"/>
      <c r="AW955" s="1968"/>
      <c r="AX955" s="1968"/>
      <c r="AY955" s="1968"/>
      <c r="AZ955" s="1968"/>
      <c r="BA955" s="1968"/>
      <c r="BB955" s="1968"/>
      <c r="BC955" s="1968"/>
      <c r="BD955" s="1968"/>
      <c r="BE955" s="1968"/>
      <c r="BF955" s="1968"/>
      <c r="BG955" s="7235"/>
    </row>
    <row customHeight="1" ht="11.25">
      <c r="A956" s="1312" t="s">
        <v>1069</v>
      </c>
      <c r="B956" s="1312"/>
      <c r="C956" s="1312"/>
      <c r="D956" s="1306"/>
      <c r="E956" s="1316"/>
      <c r="F956" s="1974"/>
      <c r="G956" s="1975"/>
      <c r="H956" s="2674" t="s">
        <v>1149</v>
      </c>
      <c r="I956" s="2675"/>
      <c r="J956" s="2644"/>
      <c r="K956" s="2676"/>
      <c r="L956" s="2266"/>
      <c r="M956" s="2267"/>
      <c r="N956" s="2667"/>
      <c r="O956" s="2668">
        <v>1</v>
      </c>
      <c r="P956" s="2669" t="s">
        <v>63</v>
      </c>
      <c r="Q956" s="8679" t="s">
        <v>128</v>
      </c>
      <c r="R956" s="8680" t="s">
        <v>1114</v>
      </c>
      <c r="S956" s="8680" t="s">
        <v>101</v>
      </c>
      <c r="T956" s="8680" t="s">
        <v>102</v>
      </c>
      <c r="U956" s="8680" t="s">
        <v>103</v>
      </c>
      <c r="V956" s="8680" t="s">
        <v>1238</v>
      </c>
      <c r="W956" s="8680" t="s">
        <v>1239</v>
      </c>
      <c r="X956" s="8680" t="s">
        <v>1240</v>
      </c>
      <c r="Y956" s="8680" t="s">
        <v>1190</v>
      </c>
      <c r="Z956" s="1321"/>
      <c r="AA956" s="1322"/>
      <c r="AB956" s="1322"/>
      <c r="AC956" s="1326"/>
      <c r="AD956" s="1326"/>
      <c r="AE956" s="1327"/>
      <c r="AF956" s="2665"/>
      <c r="AG956" s="2666"/>
      <c r="AH956" s="2666"/>
      <c r="AI956" s="8653"/>
      <c r="AJ956" s="2666"/>
      <c r="AK956" s="2666"/>
      <c r="AL956" s="2131"/>
      <c r="AM956" s="1968"/>
      <c r="AN956" s="1968"/>
      <c r="AO956" s="1968"/>
      <c r="AP956" s="1968"/>
      <c r="AQ956" s="1968"/>
      <c r="AR956" s="1968"/>
      <c r="AS956" s="1968"/>
      <c r="AT956" s="1968"/>
      <c r="AU956" s="1968"/>
      <c r="AV956" s="1968"/>
      <c r="AW956" s="1968"/>
      <c r="AX956" s="1968"/>
      <c r="AY956" s="1968"/>
      <c r="AZ956" s="1968"/>
      <c r="BA956" s="1968"/>
      <c r="BB956" s="1968"/>
      <c r="BC956" s="1968"/>
      <c r="BD956" s="1968"/>
      <c r="BE956" s="1968"/>
      <c r="BF956" s="1968"/>
      <c r="BG956" s="7235"/>
    </row>
    <row customHeight="1" ht="11.25">
      <c r="A957" s="1312" t="s">
        <v>1069</v>
      </c>
      <c r="B957" s="1312"/>
      <c r="C957" s="1312"/>
      <c r="D957" s="1306"/>
      <c r="E957" s="1316"/>
      <c r="F957" s="1974"/>
      <c r="G957" s="1975"/>
      <c r="H957" s="2674" t="s">
        <v>1149</v>
      </c>
      <c r="I957" s="2675"/>
      <c r="J957" s="2644"/>
      <c r="K957" s="2676"/>
      <c r="L957" s="2266"/>
      <c r="M957" s="2267"/>
      <c r="N957" s="2667"/>
      <c r="O957" s="2668"/>
      <c r="P957" s="2670"/>
      <c r="Q957" s="8679"/>
      <c r="R957" s="2672"/>
      <c r="S957" s="2673"/>
      <c r="T957" s="2672"/>
      <c r="U957" s="2672"/>
      <c r="V957" s="2672"/>
      <c r="W957" s="2672"/>
      <c r="X957" s="2672"/>
      <c r="Y957" s="2672"/>
      <c r="Z957" s="1973"/>
      <c r="AA957" s="1939">
        <v>1</v>
      </c>
      <c r="AB957" s="1325" t="s">
        <v>1131</v>
      </c>
      <c r="AC957" s="1315">
        <v>2819</v>
      </c>
      <c r="AD957" s="1325" t="str">
        <f>AB957</f>
        <v>      Прочие амортизационные отчисления</v>
      </c>
      <c r="AE957" s="1315">
        <v>0</v>
      </c>
      <c r="AF957" s="2665"/>
      <c r="AG957" s="2666"/>
      <c r="AH957" s="2666"/>
      <c r="AI957" s="8653"/>
      <c r="AJ957" s="2666"/>
      <c r="AK957" s="2666"/>
      <c r="AL957" s="2131"/>
      <c r="AM957" s="1968"/>
      <c r="AN957" s="1968"/>
      <c r="AO957" s="1968"/>
      <c r="AP957" s="1968"/>
      <c r="AQ957" s="1968"/>
      <c r="AR957" s="1968"/>
      <c r="AS957" s="1968"/>
      <c r="AT957" s="1968"/>
      <c r="AU957" s="1968"/>
      <c r="AV957" s="1968"/>
      <c r="AW957" s="1968"/>
      <c r="AX957" s="1968"/>
      <c r="AY957" s="1968"/>
      <c r="AZ957" s="1968"/>
      <c r="BA957" s="1968"/>
      <c r="BB957" s="1968"/>
      <c r="BC957" s="1968"/>
      <c r="BD957" s="1968"/>
      <c r="BE957" s="1968"/>
      <c r="BF957" s="1968"/>
      <c r="BG957" s="7235"/>
    </row>
    <row customHeight="1" ht="11.25">
      <c r="A958" s="1312" t="s">
        <v>1069</v>
      </c>
      <c r="B958" s="1312"/>
      <c r="C958" s="1312"/>
      <c r="D958" s="1306"/>
      <c r="E958" s="1316"/>
      <c r="F958" s="1974"/>
      <c r="G958" s="1975"/>
      <c r="H958" s="2674" t="s">
        <v>1149</v>
      </c>
      <c r="I958" s="2675"/>
      <c r="J958" s="2644"/>
      <c r="K958" s="2676"/>
      <c r="L958" s="2266"/>
      <c r="M958" s="2267"/>
      <c r="N958" s="2667"/>
      <c r="O958" s="2668"/>
      <c r="P958" s="2671"/>
      <c r="Q958" s="8679"/>
      <c r="R958" s="2672"/>
      <c r="S958" s="2673"/>
      <c r="T958" s="2672"/>
      <c r="U958" s="2672"/>
      <c r="V958" s="2672"/>
      <c r="W958" s="2672"/>
      <c r="X958" s="2672"/>
      <c r="Y958" s="2672"/>
      <c r="Z958" s="1321"/>
      <c r="AA958" s="1322"/>
      <c r="AB958" s="1387" t="s">
        <v>1107</v>
      </c>
      <c r="AC958" s="1326"/>
      <c r="AD958" s="1326"/>
      <c r="AE958" s="1328"/>
      <c r="AF958" s="2665"/>
      <c r="AG958" s="2666"/>
      <c r="AH958" s="2666"/>
      <c r="AI958" s="8653"/>
      <c r="AJ958" s="2666"/>
      <c r="AK958" s="2666"/>
      <c r="AL958" s="2131"/>
      <c r="AM958" s="1968"/>
      <c r="AN958" s="1968"/>
      <c r="AO958" s="1968"/>
      <c r="AP958" s="1968"/>
      <c r="AQ958" s="1968"/>
      <c r="AR958" s="1968"/>
      <c r="AS958" s="1968"/>
      <c r="AT958" s="1968"/>
      <c r="AU958" s="1968"/>
      <c r="AV958" s="1968"/>
      <c r="AW958" s="1968"/>
      <c r="AX958" s="1968"/>
      <c r="AY958" s="1968"/>
      <c r="AZ958" s="1968"/>
      <c r="BA958" s="1968"/>
      <c r="BB958" s="1968"/>
      <c r="BC958" s="1968"/>
      <c r="BD958" s="1968"/>
      <c r="BE958" s="1968"/>
      <c r="BF958" s="1968"/>
      <c r="BG958" s="7235"/>
    </row>
    <row customHeight="1" ht="11.25">
      <c r="A959" s="1312" t="s">
        <v>1069</v>
      </c>
      <c r="B959" s="1312"/>
      <c r="C959" s="1312"/>
      <c r="D959" s="1306"/>
      <c r="E959" s="1316"/>
      <c r="F959" s="1974"/>
      <c r="G959" s="1975"/>
      <c r="H959" s="2674" t="s">
        <v>1149</v>
      </c>
      <c r="I959" s="2675"/>
      <c r="J959" s="2644"/>
      <c r="K959" s="2676"/>
      <c r="L959" s="2266"/>
      <c r="M959" s="2267"/>
      <c r="N959" s="1321"/>
      <c r="O959" s="1322"/>
      <c r="P959" s="1314" t="s">
        <v>1108</v>
      </c>
      <c r="Q959" s="1322"/>
      <c r="R959" s="1322"/>
      <c r="S959" s="1322"/>
      <c r="T959" s="1322"/>
      <c r="U959" s="1322"/>
      <c r="V959" s="1322"/>
      <c r="W959" s="1322"/>
      <c r="X959" s="1322"/>
      <c r="Y959" s="1322"/>
      <c r="Z959" s="1322"/>
      <c r="AA959" s="1322"/>
      <c r="AB959" s="1322"/>
      <c r="AC959" s="1322"/>
      <c r="AD959" s="1322"/>
      <c r="AE959" s="1329"/>
      <c r="AF959" s="2665"/>
      <c r="AG959" s="2666"/>
      <c r="AH959" s="2666"/>
      <c r="AI959" s="8653"/>
      <c r="AJ959" s="2666"/>
      <c r="AK959" s="2666"/>
      <c r="AL959" s="2131"/>
      <c r="AM959" s="1968"/>
      <c r="AN959" s="1968"/>
      <c r="AO959" s="1968"/>
      <c r="AP959" s="1968"/>
      <c r="AQ959" s="1968"/>
      <c r="AR959" s="1968"/>
      <c r="AS959" s="1968"/>
      <c r="AT959" s="1968"/>
      <c r="AU959" s="1968"/>
      <c r="AV959" s="1968"/>
      <c r="AW959" s="1968"/>
      <c r="AX959" s="1968"/>
      <c r="AY959" s="1968"/>
      <c r="AZ959" s="1968"/>
      <c r="BA959" s="1968"/>
      <c r="BB959" s="1968"/>
      <c r="BC959" s="1968"/>
      <c r="BD959" s="1968"/>
      <c r="BE959" s="1968"/>
      <c r="BF959" s="1968"/>
      <c r="BG959" s="7235"/>
    </row>
    <row customHeight="1" ht="11.25">
      <c r="A960" s="1312" t="s">
        <v>1069</v>
      </c>
      <c r="B960" s="1312" t="s">
        <v>1198</v>
      </c>
      <c r="C960" s="1312"/>
      <c r="D960" s="1306"/>
      <c r="E960" s="1316"/>
      <c r="F960" s="1974"/>
      <c r="G960" s="7143" t="s">
        <v>106</v>
      </c>
      <c r="H960" s="2674" t="s">
        <v>1217</v>
      </c>
      <c r="I960" s="2675" t="s">
        <v>1200</v>
      </c>
      <c r="J960" s="2644" t="s">
        <v>1206</v>
      </c>
      <c r="K960" s="2676" t="s">
        <v>1302</v>
      </c>
      <c r="L960" s="2266" t="s">
        <v>19</v>
      </c>
      <c r="M960" s="2267"/>
      <c r="N960" s="2129"/>
      <c r="O960" s="1323" t="s">
        <v>398</v>
      </c>
      <c r="P960" s="1324"/>
      <c r="Q960" s="1324"/>
      <c r="R960" s="1324"/>
      <c r="S960" s="1324"/>
      <c r="T960" s="1324"/>
      <c r="U960" s="1324"/>
      <c r="V960" s="1324"/>
      <c r="W960" s="1324"/>
      <c r="X960" s="1324"/>
      <c r="Y960" s="1324"/>
      <c r="Z960" s="1324"/>
      <c r="AA960" s="1324"/>
      <c r="AB960" s="1324"/>
      <c r="AC960" s="1324"/>
      <c r="AD960" s="1324"/>
      <c r="AE960" s="1324"/>
      <c r="AF960" s="2665">
        <v>2028</v>
      </c>
      <c r="AG960" s="2666" t="s">
        <v>1103</v>
      </c>
      <c r="AH960" s="2666" t="s">
        <v>1228</v>
      </c>
      <c r="AI960" s="8653"/>
      <c r="AJ960" s="2666" t="s">
        <v>1105</v>
      </c>
      <c r="AK960" s="2666" t="s">
        <v>1105</v>
      </c>
      <c r="AL960" s="2131"/>
      <c r="AM960" s="1968"/>
      <c r="AN960" s="1968"/>
      <c r="AO960" s="1968"/>
      <c r="AP960" s="1968"/>
      <c r="AQ960" s="1968"/>
      <c r="AR960" s="1968"/>
      <c r="AS960" s="1968"/>
      <c r="AT960" s="1968"/>
      <c r="AU960" s="1968"/>
      <c r="AV960" s="1968"/>
      <c r="AW960" s="1968"/>
      <c r="AX960" s="1968"/>
      <c r="AY960" s="1968"/>
      <c r="AZ960" s="1968"/>
      <c r="BA960" s="1968"/>
      <c r="BB960" s="1968"/>
      <c r="BC960" s="1968"/>
      <c r="BD960" s="1968"/>
      <c r="BE960" s="1968"/>
      <c r="BF960" s="1968"/>
      <c r="BG960" s="7235"/>
    </row>
    <row customHeight="1" ht="11.25">
      <c r="A961" s="1312" t="s">
        <v>1069</v>
      </c>
      <c r="B961" s="1312"/>
      <c r="C961" s="1312"/>
      <c r="D961" s="1306"/>
      <c r="E961" s="1316"/>
      <c r="F961" s="1974"/>
      <c r="G961" s="1975"/>
      <c r="H961" s="2674" t="s">
        <v>1217</v>
      </c>
      <c r="I961" s="2675"/>
      <c r="J961" s="2644"/>
      <c r="K961" s="2676"/>
      <c r="L961" s="2266"/>
      <c r="M961" s="2267"/>
      <c r="N961" s="2667"/>
      <c r="O961" s="2668">
        <v>1</v>
      </c>
      <c r="P961" s="2669" t="s">
        <v>19</v>
      </c>
      <c r="Q961" s="2672" t="s">
        <v>22</v>
      </c>
      <c r="R961" s="2672" t="s">
        <v>22</v>
      </c>
      <c r="S961" s="2672" t="s">
        <v>22</v>
      </c>
      <c r="T961" s="2672" t="s">
        <v>22</v>
      </c>
      <c r="U961" s="2672" t="s">
        <v>22</v>
      </c>
      <c r="V961" s="2672" t="s">
        <v>22</v>
      </c>
      <c r="W961" s="2672" t="s">
        <v>22</v>
      </c>
      <c r="X961" s="2672" t="s">
        <v>22</v>
      </c>
      <c r="Y961" s="2672"/>
      <c r="Z961" s="1321"/>
      <c r="AA961" s="1322"/>
      <c r="AB961" s="1322"/>
      <c r="AC961" s="1326"/>
      <c r="AD961" s="1326"/>
      <c r="AE961" s="1327"/>
      <c r="AF961" s="2665"/>
      <c r="AG961" s="2666"/>
      <c r="AH961" s="2666"/>
      <c r="AI961" s="8653"/>
      <c r="AJ961" s="2666"/>
      <c r="AK961" s="2666"/>
      <c r="AL961" s="2131"/>
      <c r="AM961" s="1968"/>
      <c r="AN961" s="1968"/>
      <c r="AO961" s="1968"/>
      <c r="AP961" s="1968"/>
      <c r="AQ961" s="1968"/>
      <c r="AR961" s="1968"/>
      <c r="AS961" s="1968"/>
      <c r="AT961" s="1968"/>
      <c r="AU961" s="1968"/>
      <c r="AV961" s="1968"/>
      <c r="AW961" s="1968"/>
      <c r="AX961" s="1968"/>
      <c r="AY961" s="1968"/>
      <c r="AZ961" s="1968"/>
      <c r="BA961" s="1968"/>
      <c r="BB961" s="1968"/>
      <c r="BC961" s="1968"/>
      <c r="BD961" s="1968"/>
      <c r="BE961" s="1968"/>
      <c r="BF961" s="1968"/>
      <c r="BG961" s="7235"/>
    </row>
    <row customHeight="1" ht="11.25">
      <c r="A962" s="1312" t="s">
        <v>1069</v>
      </c>
      <c r="B962" s="1312"/>
      <c r="C962" s="1312"/>
      <c r="D962" s="1306"/>
      <c r="E962" s="1316"/>
      <c r="F962" s="1974"/>
      <c r="G962" s="1975"/>
      <c r="H962" s="2674" t="s">
        <v>1217</v>
      </c>
      <c r="I962" s="2675"/>
      <c r="J962" s="2644"/>
      <c r="K962" s="2676"/>
      <c r="L962" s="2266"/>
      <c r="M962" s="2267"/>
      <c r="N962" s="2667"/>
      <c r="O962" s="2668"/>
      <c r="P962" s="2670"/>
      <c r="Q962" s="2672"/>
      <c r="R962" s="2672"/>
      <c r="S962" s="2673"/>
      <c r="T962" s="2672"/>
      <c r="U962" s="2672"/>
      <c r="V962" s="2672"/>
      <c r="W962" s="2672"/>
      <c r="X962" s="2672"/>
      <c r="Y962" s="2672"/>
      <c r="Z962" s="1973"/>
      <c r="AA962" s="1939">
        <v>1</v>
      </c>
      <c r="AB962" s="1325" t="s">
        <v>1131</v>
      </c>
      <c r="AC962" s="1315">
        <v>6194</v>
      </c>
      <c r="AD962" s="1325" t="str">
        <f>AB962</f>
        <v>      Прочие амортизационные отчисления</v>
      </c>
      <c r="AE962" s="1315">
        <v>0</v>
      </c>
      <c r="AF962" s="2665"/>
      <c r="AG962" s="2666"/>
      <c r="AH962" s="2666"/>
      <c r="AI962" s="8653"/>
      <c r="AJ962" s="2666"/>
      <c r="AK962" s="2666"/>
      <c r="AL962" s="2131"/>
      <c r="AM962" s="1968"/>
      <c r="AN962" s="1968"/>
      <c r="AO962" s="1968"/>
      <c r="AP962" s="1968"/>
      <c r="AQ962" s="1968"/>
      <c r="AR962" s="1968"/>
      <c r="AS962" s="1968"/>
      <c r="AT962" s="1968"/>
      <c r="AU962" s="1968"/>
      <c r="AV962" s="1968"/>
      <c r="AW962" s="1968"/>
      <c r="AX962" s="1968"/>
      <c r="AY962" s="1968"/>
      <c r="AZ962" s="1968"/>
      <c r="BA962" s="1968"/>
      <c r="BB962" s="1968"/>
      <c r="BC962" s="1968"/>
      <c r="BD962" s="1968"/>
      <c r="BE962" s="1968"/>
      <c r="BF962" s="1968"/>
      <c r="BG962" s="7235"/>
    </row>
    <row customHeight="1" ht="11.25">
      <c r="A963" s="1312" t="s">
        <v>1069</v>
      </c>
      <c r="B963" s="1312"/>
      <c r="C963" s="1312"/>
      <c r="D963" s="1306"/>
      <c r="E963" s="1316"/>
      <c r="F963" s="1974"/>
      <c r="G963" s="1975"/>
      <c r="H963" s="2674" t="s">
        <v>1217</v>
      </c>
      <c r="I963" s="2675"/>
      <c r="J963" s="2644"/>
      <c r="K963" s="2676"/>
      <c r="L963" s="2266"/>
      <c r="M963" s="2267"/>
      <c r="N963" s="2667"/>
      <c r="O963" s="2668"/>
      <c r="P963" s="2671"/>
      <c r="Q963" s="2672"/>
      <c r="R963" s="2672"/>
      <c r="S963" s="2673"/>
      <c r="T963" s="2672"/>
      <c r="U963" s="2672"/>
      <c r="V963" s="2672"/>
      <c r="W963" s="2672"/>
      <c r="X963" s="2672"/>
      <c r="Y963" s="2672"/>
      <c r="Z963" s="1321"/>
      <c r="AA963" s="1322"/>
      <c r="AB963" s="1387" t="s">
        <v>1107</v>
      </c>
      <c r="AC963" s="1326"/>
      <c r="AD963" s="1326"/>
      <c r="AE963" s="1328"/>
      <c r="AF963" s="2665"/>
      <c r="AG963" s="2666"/>
      <c r="AH963" s="2666"/>
      <c r="AI963" s="8653"/>
      <c r="AJ963" s="2666"/>
      <c r="AK963" s="2666"/>
      <c r="AL963" s="2131"/>
      <c r="AM963" s="1968"/>
      <c r="AN963" s="1968"/>
      <c r="AO963" s="1968"/>
      <c r="AP963" s="1968"/>
      <c r="AQ963" s="1968"/>
      <c r="AR963" s="1968"/>
      <c r="AS963" s="1968"/>
      <c r="AT963" s="1968"/>
      <c r="AU963" s="1968"/>
      <c r="AV963" s="1968"/>
      <c r="AW963" s="1968"/>
      <c r="AX963" s="1968"/>
      <c r="AY963" s="1968"/>
      <c r="AZ963" s="1968"/>
      <c r="BA963" s="1968"/>
      <c r="BB963" s="1968"/>
      <c r="BC963" s="1968"/>
      <c r="BD963" s="1968"/>
      <c r="BE963" s="1968"/>
      <c r="BF963" s="1968"/>
      <c r="BG963" s="7235"/>
    </row>
    <row customHeight="1" ht="11.25">
      <c r="A964" s="1312" t="s">
        <v>1069</v>
      </c>
      <c r="B964" s="1312"/>
      <c r="C964" s="1312"/>
      <c r="D964" s="1306"/>
      <c r="E964" s="1316"/>
      <c r="F964" s="1974"/>
      <c r="G964" s="1975"/>
      <c r="H964" s="2674" t="s">
        <v>1217</v>
      </c>
      <c r="I964" s="2675"/>
      <c r="J964" s="2644"/>
      <c r="K964" s="2676"/>
      <c r="L964" s="2266"/>
      <c r="M964" s="2267"/>
      <c r="N964" s="1321"/>
      <c r="O964" s="1322"/>
      <c r="P964" s="1314" t="s">
        <v>1108</v>
      </c>
      <c r="Q964" s="1322"/>
      <c r="R964" s="1322"/>
      <c r="S964" s="1322"/>
      <c r="T964" s="1322"/>
      <c r="U964" s="1322"/>
      <c r="V964" s="1322"/>
      <c r="W964" s="1322"/>
      <c r="X964" s="1322"/>
      <c r="Y964" s="1322"/>
      <c r="Z964" s="1322"/>
      <c r="AA964" s="1322"/>
      <c r="AB964" s="1322"/>
      <c r="AC964" s="1322"/>
      <c r="AD964" s="1322"/>
      <c r="AE964" s="1329"/>
      <c r="AF964" s="2665"/>
      <c r="AG964" s="2666"/>
      <c r="AH964" s="2666"/>
      <c r="AI964" s="8653"/>
      <c r="AJ964" s="2666"/>
      <c r="AK964" s="2666"/>
      <c r="AL964" s="2131"/>
      <c r="AM964" s="1968"/>
      <c r="AN964" s="1968"/>
      <c r="AO964" s="1968"/>
      <c r="AP964" s="1968"/>
      <c r="AQ964" s="1968"/>
      <c r="AR964" s="1968"/>
      <c r="AS964" s="1968"/>
      <c r="AT964" s="1968"/>
      <c r="AU964" s="1968"/>
      <c r="AV964" s="1968"/>
      <c r="AW964" s="1968"/>
      <c r="AX964" s="1968"/>
      <c r="AY964" s="1968"/>
      <c r="AZ964" s="1968"/>
      <c r="BA964" s="1968"/>
      <c r="BB964" s="1968"/>
      <c r="BC964" s="1968"/>
      <c r="BD964" s="1968"/>
      <c r="BE964" s="1968"/>
      <c r="BF964" s="1968"/>
      <c r="BG964" s="7235"/>
    </row>
    <row customHeight="1" ht="11.25">
      <c r="A965" s="1312" t="s">
        <v>1069</v>
      </c>
      <c r="B965" s="1312" t="s">
        <v>1198</v>
      </c>
      <c r="C965" s="1312"/>
      <c r="D965" s="1306"/>
      <c r="E965" s="1316"/>
      <c r="F965" s="1974"/>
      <c r="G965" s="7143" t="s">
        <v>106</v>
      </c>
      <c r="H965" s="2674" t="s">
        <v>1167</v>
      </c>
      <c r="I965" s="2675" t="s">
        <v>1200</v>
      </c>
      <c r="J965" s="8682" t="s">
        <v>1206</v>
      </c>
      <c r="K965" s="2676" t="s">
        <v>1335</v>
      </c>
      <c r="L965" s="2266" t="s">
        <v>19</v>
      </c>
      <c r="M965" s="2267"/>
      <c r="N965" s="2129"/>
      <c r="O965" s="1323" t="s">
        <v>398</v>
      </c>
      <c r="P965" s="1324"/>
      <c r="Q965" s="1324"/>
      <c r="R965" s="1324"/>
      <c r="S965" s="1324"/>
      <c r="T965" s="1324"/>
      <c r="U965" s="1324"/>
      <c r="V965" s="1324"/>
      <c r="W965" s="1324"/>
      <c r="X965" s="1324"/>
      <c r="Y965" s="1324"/>
      <c r="Z965" s="1324"/>
      <c r="AA965" s="1324"/>
      <c r="AB965" s="1324"/>
      <c r="AC965" s="1324"/>
      <c r="AD965" s="1324"/>
      <c r="AE965" s="1324"/>
      <c r="AF965" s="2665">
        <v>2027</v>
      </c>
      <c r="AG965" s="2666" t="s">
        <v>1103</v>
      </c>
      <c r="AH965" s="2666" t="s">
        <v>1164</v>
      </c>
      <c r="AI965" s="8653"/>
      <c r="AJ965" s="2666" t="s">
        <v>1105</v>
      </c>
      <c r="AK965" s="2666" t="s">
        <v>1105</v>
      </c>
      <c r="AL965" s="2131"/>
      <c r="AM965" s="1968"/>
      <c r="AN965" s="1968"/>
      <c r="AO965" s="1968"/>
      <c r="AP965" s="1968"/>
      <c r="AQ965" s="1968"/>
      <c r="AR965" s="1968"/>
      <c r="AS965" s="1968"/>
      <c r="AT965" s="1968"/>
      <c r="AU965" s="1968"/>
      <c r="AV965" s="1968"/>
      <c r="AW965" s="1968"/>
      <c r="AX965" s="1968"/>
      <c r="AY965" s="1968"/>
      <c r="AZ965" s="1968"/>
      <c r="BA965" s="1968"/>
      <c r="BB965" s="1968"/>
      <c r="BC965" s="1968"/>
      <c r="BD965" s="1968"/>
      <c r="BE965" s="1968"/>
      <c r="BF965" s="1968"/>
      <c r="BG965" s="7235"/>
    </row>
    <row customHeight="1" ht="11.25">
      <c r="A966" s="1312" t="s">
        <v>1069</v>
      </c>
      <c r="B966" s="1312"/>
      <c r="C966" s="1312"/>
      <c r="D966" s="1306"/>
      <c r="E966" s="1316"/>
      <c r="F966" s="1974"/>
      <c r="G966" s="1975"/>
      <c r="H966" s="2674" t="s">
        <v>1167</v>
      </c>
      <c r="I966" s="2675"/>
      <c r="J966" s="8682"/>
      <c r="K966" s="2676"/>
      <c r="L966" s="2266"/>
      <c r="M966" s="2267"/>
      <c r="N966" s="2667"/>
      <c r="O966" s="2668">
        <v>1</v>
      </c>
      <c r="P966" s="2669" t="s">
        <v>19</v>
      </c>
      <c r="Q966" s="8683" t="s">
        <v>22</v>
      </c>
      <c r="R966" s="8684" t="s">
        <v>22</v>
      </c>
      <c r="S966" s="8684" t="s">
        <v>22</v>
      </c>
      <c r="T966" s="8684" t="s">
        <v>22</v>
      </c>
      <c r="U966" s="8684" t="s">
        <v>22</v>
      </c>
      <c r="V966" s="8684" t="s">
        <v>22</v>
      </c>
      <c r="W966" s="8684" t="s">
        <v>22</v>
      </c>
      <c r="X966" s="8684" t="s">
        <v>22</v>
      </c>
      <c r="Y966" s="8684" t="s">
        <v>22</v>
      </c>
      <c r="Z966" s="1321"/>
      <c r="AA966" s="1322"/>
      <c r="AB966" s="1322"/>
      <c r="AC966" s="1326"/>
      <c r="AD966" s="1326"/>
      <c r="AE966" s="1327"/>
      <c r="AF966" s="2665"/>
      <c r="AG966" s="2666"/>
      <c r="AH966" s="2666"/>
      <c r="AI966" s="8653"/>
      <c r="AJ966" s="2666"/>
      <c r="AK966" s="2666"/>
      <c r="AL966" s="2131"/>
      <c r="AM966" s="1968"/>
      <c r="AN966" s="1968"/>
      <c r="AO966" s="1968"/>
      <c r="AP966" s="1968"/>
      <c r="AQ966" s="1968"/>
      <c r="AR966" s="1968"/>
      <c r="AS966" s="1968"/>
      <c r="AT966" s="1968"/>
      <c r="AU966" s="1968"/>
      <c r="AV966" s="1968"/>
      <c r="AW966" s="1968"/>
      <c r="AX966" s="1968"/>
      <c r="AY966" s="1968"/>
      <c r="AZ966" s="1968"/>
      <c r="BA966" s="1968"/>
      <c r="BB966" s="1968"/>
      <c r="BC966" s="1968"/>
      <c r="BD966" s="1968"/>
      <c r="BE966" s="1968"/>
      <c r="BF966" s="1968"/>
      <c r="BG966" s="7235"/>
    </row>
    <row customHeight="1" ht="11.25">
      <c r="A967" s="1312" t="s">
        <v>1069</v>
      </c>
      <c r="B967" s="1312"/>
      <c r="C967" s="1312"/>
      <c r="D967" s="1306"/>
      <c r="E967" s="1316"/>
      <c r="F967" s="1974"/>
      <c r="G967" s="1975"/>
      <c r="H967" s="2674" t="s">
        <v>1167</v>
      </c>
      <c r="I967" s="2675"/>
      <c r="J967" s="8682"/>
      <c r="K967" s="2676"/>
      <c r="L967" s="2266"/>
      <c r="M967" s="2267"/>
      <c r="N967" s="2667"/>
      <c r="O967" s="2668"/>
      <c r="P967" s="2670"/>
      <c r="Q967" s="8654"/>
      <c r="R967" s="2672"/>
      <c r="S967" s="2673"/>
      <c r="T967" s="2672"/>
      <c r="U967" s="2672"/>
      <c r="V967" s="2672"/>
      <c r="W967" s="2672"/>
      <c r="X967" s="2672"/>
      <c r="Y967" s="2672"/>
      <c r="Z967" s="1973"/>
      <c r="AA967" s="1939">
        <v>1</v>
      </c>
      <c r="AB967" s="1325" t="s">
        <v>1131</v>
      </c>
      <c r="AC967" s="1315">
        <v>10537</v>
      </c>
      <c r="AD967" s="1325" t="str">
        <f>AB967</f>
        <v>      Прочие амортизационные отчисления</v>
      </c>
      <c r="AE967" s="1315">
        <v>0</v>
      </c>
      <c r="AF967" s="2665"/>
      <c r="AG967" s="2666"/>
      <c r="AH967" s="2666"/>
      <c r="AI967" s="8653"/>
      <c r="AJ967" s="2666"/>
      <c r="AK967" s="2666"/>
      <c r="AL967" s="2131"/>
      <c r="AM967" s="1968"/>
      <c r="AN967" s="1968"/>
      <c r="AO967" s="1968"/>
      <c r="AP967" s="1968"/>
      <c r="AQ967" s="1968"/>
      <c r="AR967" s="1968"/>
      <c r="AS967" s="1968"/>
      <c r="AT967" s="1968"/>
      <c r="AU967" s="1968"/>
      <c r="AV967" s="1968"/>
      <c r="AW967" s="1968"/>
      <c r="AX967" s="1968"/>
      <c r="AY967" s="1968"/>
      <c r="AZ967" s="1968"/>
      <c r="BA967" s="1968"/>
      <c r="BB967" s="1968"/>
      <c r="BC967" s="1968"/>
      <c r="BD967" s="1968"/>
      <c r="BE967" s="1968"/>
      <c r="BF967" s="1968"/>
      <c r="BG967" s="7235"/>
    </row>
    <row customHeight="1" ht="11.25">
      <c r="A968" s="1312" t="s">
        <v>1069</v>
      </c>
      <c r="B968" s="1312"/>
      <c r="C968" s="1312"/>
      <c r="D968" s="1306"/>
      <c r="E968" s="1316"/>
      <c r="F968" s="1974"/>
      <c r="G968" s="1975"/>
      <c r="H968" s="2674" t="s">
        <v>1167</v>
      </c>
      <c r="I968" s="2675"/>
      <c r="J968" s="8682"/>
      <c r="K968" s="2676"/>
      <c r="L968" s="2266"/>
      <c r="M968" s="2267"/>
      <c r="N968" s="2667"/>
      <c r="O968" s="2668"/>
      <c r="P968" s="2671"/>
      <c r="Q968" s="8654"/>
      <c r="R968" s="2672"/>
      <c r="S968" s="2673"/>
      <c r="T968" s="2672"/>
      <c r="U968" s="2672"/>
      <c r="V968" s="2672"/>
      <c r="W968" s="2672"/>
      <c r="X968" s="2672"/>
      <c r="Y968" s="2672"/>
      <c r="Z968" s="1321"/>
      <c r="AA968" s="1322"/>
      <c r="AB968" s="1387" t="s">
        <v>1107</v>
      </c>
      <c r="AC968" s="1326"/>
      <c r="AD968" s="1326"/>
      <c r="AE968" s="1328"/>
      <c r="AF968" s="2665"/>
      <c r="AG968" s="2666"/>
      <c r="AH968" s="2666"/>
      <c r="AI968" s="8653"/>
      <c r="AJ968" s="2666"/>
      <c r="AK968" s="2666"/>
      <c r="AL968" s="2131"/>
      <c r="AM968" s="1968"/>
      <c r="AN968" s="1968"/>
      <c r="AO968" s="1968"/>
      <c r="AP968" s="1968"/>
      <c r="AQ968" s="1968"/>
      <c r="AR968" s="1968"/>
      <c r="AS968" s="1968"/>
      <c r="AT968" s="1968"/>
      <c r="AU968" s="1968"/>
      <c r="AV968" s="1968"/>
      <c r="AW968" s="1968"/>
      <c r="AX968" s="1968"/>
      <c r="AY968" s="1968"/>
      <c r="AZ968" s="1968"/>
      <c r="BA968" s="1968"/>
      <c r="BB968" s="1968"/>
      <c r="BC968" s="1968"/>
      <c r="BD968" s="1968"/>
      <c r="BE968" s="1968"/>
      <c r="BF968" s="1968"/>
      <c r="BG968" s="7235"/>
    </row>
    <row customHeight="1" ht="11.25">
      <c r="A969" s="1312" t="s">
        <v>1069</v>
      </c>
      <c r="B969" s="1312"/>
      <c r="C969" s="1312"/>
      <c r="D969" s="1306"/>
      <c r="E969" s="1316"/>
      <c r="F969" s="1974"/>
      <c r="G969" s="1975"/>
      <c r="H969" s="2674" t="s">
        <v>1167</v>
      </c>
      <c r="I969" s="2675"/>
      <c r="J969" s="8682"/>
      <c r="K969" s="2676"/>
      <c r="L969" s="2266"/>
      <c r="M969" s="2267"/>
      <c r="N969" s="1321"/>
      <c r="O969" s="1322"/>
      <c r="P969" s="1314" t="s">
        <v>1108</v>
      </c>
      <c r="Q969" s="1322"/>
      <c r="R969" s="1322"/>
      <c r="S969" s="1322"/>
      <c r="T969" s="1322"/>
      <c r="U969" s="1322"/>
      <c r="V969" s="1322"/>
      <c r="W969" s="1322"/>
      <c r="X969" s="1322"/>
      <c r="Y969" s="1322"/>
      <c r="Z969" s="1322"/>
      <c r="AA969" s="1322"/>
      <c r="AB969" s="1322"/>
      <c r="AC969" s="1322"/>
      <c r="AD969" s="1322"/>
      <c r="AE969" s="1329"/>
      <c r="AF969" s="2665"/>
      <c r="AG969" s="2666"/>
      <c r="AH969" s="2666"/>
      <c r="AI969" s="8653"/>
      <c r="AJ969" s="2666"/>
      <c r="AK969" s="2666"/>
      <c r="AL969" s="2131"/>
      <c r="AM969" s="1968"/>
      <c r="AN969" s="1968"/>
      <c r="AO969" s="1968"/>
      <c r="AP969" s="1968"/>
      <c r="AQ969" s="1968"/>
      <c r="AR969" s="1968"/>
      <c r="AS969" s="1968"/>
      <c r="AT969" s="1968"/>
      <c r="AU969" s="1968"/>
      <c r="AV969" s="1968"/>
      <c r="AW969" s="1968"/>
      <c r="AX969" s="1968"/>
      <c r="AY969" s="1968"/>
      <c r="AZ969" s="1968"/>
      <c r="BA969" s="1968"/>
      <c r="BB969" s="1968"/>
      <c r="BC969" s="1968"/>
      <c r="BD969" s="1968"/>
      <c r="BE969" s="1968"/>
      <c r="BF969" s="1968"/>
      <c r="BG969" s="7235"/>
    </row>
    <row customHeight="1" ht="11.25">
      <c r="A970" s="1312" t="s">
        <v>1069</v>
      </c>
      <c r="B970" s="1312" t="s">
        <v>22</v>
      </c>
      <c r="C970" s="1312"/>
      <c r="D970" s="1306"/>
      <c r="E970" s="1316"/>
      <c r="F970" s="1974"/>
      <c r="G970" s="7143" t="s">
        <v>106</v>
      </c>
      <c r="H970" s="2674" t="s">
        <v>1220</v>
      </c>
      <c r="I970" s="2675" t="s">
        <v>1109</v>
      </c>
      <c r="J970" s="8657" t="s">
        <v>22</v>
      </c>
      <c r="K970" s="2676" t="s">
        <v>1304</v>
      </c>
      <c r="L970" s="2266" t="s">
        <v>19</v>
      </c>
      <c r="M970" s="2267"/>
      <c r="N970" s="2129"/>
      <c r="O970" s="1323" t="s">
        <v>398</v>
      </c>
      <c r="P970" s="1324"/>
      <c r="Q970" s="1324"/>
      <c r="R970" s="1324"/>
      <c r="S970" s="1324"/>
      <c r="T970" s="1324"/>
      <c r="U970" s="1324"/>
      <c r="V970" s="1324"/>
      <c r="W970" s="1324"/>
      <c r="X970" s="1324"/>
      <c r="Y970" s="1324"/>
      <c r="Z970" s="1324"/>
      <c r="AA970" s="1324"/>
      <c r="AB970" s="1324"/>
      <c r="AC970" s="1324"/>
      <c r="AD970" s="1324"/>
      <c r="AE970" s="1324"/>
      <c r="AF970" s="2665">
        <v>2027</v>
      </c>
      <c r="AG970" s="2666" t="s">
        <v>1103</v>
      </c>
      <c r="AH970" s="2666" t="s">
        <v>1164</v>
      </c>
      <c r="AI970" s="8653"/>
      <c r="AJ970" s="2666" t="s">
        <v>1105</v>
      </c>
      <c r="AK970" s="2666" t="s">
        <v>1105</v>
      </c>
      <c r="AL970" s="2131"/>
      <c r="AM970" s="1968"/>
      <c r="AN970" s="1968"/>
      <c r="AO970" s="1968"/>
      <c r="AP970" s="1968"/>
      <c r="AQ970" s="1968"/>
      <c r="AR970" s="1968"/>
      <c r="AS970" s="1968"/>
      <c r="AT970" s="1968"/>
      <c r="AU970" s="1968"/>
      <c r="AV970" s="1968"/>
      <c r="AW970" s="1968"/>
      <c r="AX970" s="1968"/>
      <c r="AY970" s="1968"/>
      <c r="AZ970" s="1968"/>
      <c r="BA970" s="1968"/>
      <c r="BB970" s="1968"/>
      <c r="BC970" s="1968"/>
      <c r="BD970" s="1968"/>
      <c r="BE970" s="1968"/>
      <c r="BF970" s="1968"/>
      <c r="BG970" s="7235"/>
    </row>
    <row customHeight="1" ht="11.25">
      <c r="A971" s="1312" t="s">
        <v>1069</v>
      </c>
      <c r="B971" s="1312"/>
      <c r="C971" s="1312"/>
      <c r="D971" s="1306"/>
      <c r="E971" s="1316"/>
      <c r="F971" s="1974"/>
      <c r="G971" s="1975"/>
      <c r="H971" s="2674" t="s">
        <v>1220</v>
      </c>
      <c r="I971" s="2675"/>
      <c r="J971" s="8657"/>
      <c r="K971" s="2676"/>
      <c r="L971" s="2266"/>
      <c r="M971" s="2267"/>
      <c r="N971" s="2667"/>
      <c r="O971" s="2668">
        <v>1</v>
      </c>
      <c r="P971" s="2669" t="s">
        <v>63</v>
      </c>
      <c r="Q971" s="8654" t="s">
        <v>1208</v>
      </c>
      <c r="R971" s="8655" t="s">
        <v>1114</v>
      </c>
      <c r="S971" s="8655" t="s">
        <v>113</v>
      </c>
      <c r="T971" s="8655" t="s">
        <v>113</v>
      </c>
      <c r="U971" s="8655" t="s">
        <v>114</v>
      </c>
      <c r="V971" s="8655" t="s">
        <v>1115</v>
      </c>
      <c r="W971" s="8655" t="s">
        <v>1116</v>
      </c>
      <c r="X971" s="8655" t="s">
        <v>1209</v>
      </c>
      <c r="Y971" s="8655" t="s">
        <v>121</v>
      </c>
      <c r="Z971" s="1321"/>
      <c r="AA971" s="1322"/>
      <c r="AB971" s="1322"/>
      <c r="AC971" s="1326"/>
      <c r="AD971" s="1326"/>
      <c r="AE971" s="1327"/>
      <c r="AF971" s="2665"/>
      <c r="AG971" s="2666"/>
      <c r="AH971" s="2666"/>
      <c r="AI971" s="8653"/>
      <c r="AJ971" s="2666"/>
      <c r="AK971" s="2666"/>
      <c r="AL971" s="2131"/>
      <c r="AM971" s="1968"/>
      <c r="AN971" s="1968"/>
      <c r="AO971" s="1968"/>
      <c r="AP971" s="1968"/>
      <c r="AQ971" s="1968"/>
      <c r="AR971" s="1968"/>
      <c r="AS971" s="1968"/>
      <c r="AT971" s="1968"/>
      <c r="AU971" s="1968"/>
      <c r="AV971" s="1968"/>
      <c r="AW971" s="1968"/>
      <c r="AX971" s="1968"/>
      <c r="AY971" s="1968"/>
      <c r="AZ971" s="1968"/>
      <c r="BA971" s="1968"/>
      <c r="BB971" s="1968"/>
      <c r="BC971" s="1968"/>
      <c r="BD971" s="1968"/>
      <c r="BE971" s="1968"/>
      <c r="BF971" s="1968"/>
      <c r="BG971" s="7235"/>
    </row>
    <row customHeight="1" ht="11.25">
      <c r="A972" s="1312" t="s">
        <v>1069</v>
      </c>
      <c r="B972" s="1312"/>
      <c r="C972" s="1312"/>
      <c r="D972" s="1306"/>
      <c r="E972" s="1316"/>
      <c r="F972" s="1974"/>
      <c r="G972" s="1975"/>
      <c r="H972" s="2674" t="s">
        <v>1220</v>
      </c>
      <c r="I972" s="2675"/>
      <c r="J972" s="8657"/>
      <c r="K972" s="2676"/>
      <c r="L972" s="2266"/>
      <c r="M972" s="2267"/>
      <c r="N972" s="2667"/>
      <c r="O972" s="2668"/>
      <c r="P972" s="2670"/>
      <c r="Q972" s="8654"/>
      <c r="R972" s="2672"/>
      <c r="S972" s="2673"/>
      <c r="T972" s="2672"/>
      <c r="U972" s="2672"/>
      <c r="V972" s="2672"/>
      <c r="W972" s="2672"/>
      <c r="X972" s="2672"/>
      <c r="Y972" s="2672"/>
      <c r="Z972" s="1973"/>
      <c r="AA972" s="1939">
        <v>1</v>
      </c>
      <c r="AB972" s="1325" t="s">
        <v>1131</v>
      </c>
      <c r="AC972" s="1315">
        <v>45130</v>
      </c>
      <c r="AD972" s="1325" t="str">
        <f>AB972</f>
        <v>      Прочие амортизационные отчисления</v>
      </c>
      <c r="AE972" s="1315">
        <v>0</v>
      </c>
      <c r="AF972" s="2665"/>
      <c r="AG972" s="2666"/>
      <c r="AH972" s="2666"/>
      <c r="AI972" s="8653"/>
      <c r="AJ972" s="2666"/>
      <c r="AK972" s="2666"/>
      <c r="AL972" s="2131"/>
      <c r="AM972" s="1968"/>
      <c r="AN972" s="1968"/>
      <c r="AO972" s="1968"/>
      <c r="AP972" s="1968"/>
      <c r="AQ972" s="1968"/>
      <c r="AR972" s="1968"/>
      <c r="AS972" s="1968"/>
      <c r="AT972" s="1968"/>
      <c r="AU972" s="1968"/>
      <c r="AV972" s="1968"/>
      <c r="AW972" s="1968"/>
      <c r="AX972" s="1968"/>
      <c r="AY972" s="1968"/>
      <c r="AZ972" s="1968"/>
      <c r="BA972" s="1968"/>
      <c r="BB972" s="1968"/>
      <c r="BC972" s="1968"/>
      <c r="BD972" s="1968"/>
      <c r="BE972" s="1968"/>
      <c r="BF972" s="1968"/>
      <c r="BG972" s="7235"/>
    </row>
    <row customHeight="1" ht="11.25">
      <c r="A973" s="1312" t="s">
        <v>1069</v>
      </c>
      <c r="B973" s="1312"/>
      <c r="C973" s="1312"/>
      <c r="D973" s="1306"/>
      <c r="E973" s="1316"/>
      <c r="F973" s="1974"/>
      <c r="G973" s="1975"/>
      <c r="H973" s="2674" t="s">
        <v>1220</v>
      </c>
      <c r="I973" s="2675"/>
      <c r="J973" s="8657"/>
      <c r="K973" s="2676"/>
      <c r="L973" s="2266"/>
      <c r="M973" s="2267"/>
      <c r="N973" s="2667"/>
      <c r="O973" s="2668"/>
      <c r="P973" s="2671"/>
      <c r="Q973" s="8654"/>
      <c r="R973" s="2672"/>
      <c r="S973" s="2673"/>
      <c r="T973" s="2672"/>
      <c r="U973" s="2672"/>
      <c r="V973" s="2672"/>
      <c r="W973" s="2672"/>
      <c r="X973" s="2672"/>
      <c r="Y973" s="2672"/>
      <c r="Z973" s="1321"/>
      <c r="AA973" s="1322"/>
      <c r="AB973" s="1387" t="s">
        <v>1107</v>
      </c>
      <c r="AC973" s="1326"/>
      <c r="AD973" s="1326"/>
      <c r="AE973" s="1328"/>
      <c r="AF973" s="2665"/>
      <c r="AG973" s="2666"/>
      <c r="AH973" s="2666"/>
      <c r="AI973" s="8653"/>
      <c r="AJ973" s="2666"/>
      <c r="AK973" s="2666"/>
      <c r="AL973" s="2131"/>
      <c r="AM973" s="1968"/>
      <c r="AN973" s="1968"/>
      <c r="AO973" s="1968"/>
      <c r="AP973" s="1968"/>
      <c r="AQ973" s="1968"/>
      <c r="AR973" s="1968"/>
      <c r="AS973" s="1968"/>
      <c r="AT973" s="1968"/>
      <c r="AU973" s="1968"/>
      <c r="AV973" s="1968"/>
      <c r="AW973" s="1968"/>
      <c r="AX973" s="1968"/>
      <c r="AY973" s="1968"/>
      <c r="AZ973" s="1968"/>
      <c r="BA973" s="1968"/>
      <c r="BB973" s="1968"/>
      <c r="BC973" s="1968"/>
      <c r="BD973" s="1968"/>
      <c r="BE973" s="1968"/>
      <c r="BF973" s="1968"/>
      <c r="BG973" s="7235"/>
    </row>
    <row customHeight="1" ht="11.25">
      <c r="A974" s="1312" t="s">
        <v>1069</v>
      </c>
      <c r="B974" s="1312"/>
      <c r="C974" s="1312"/>
      <c r="D974" s="1306"/>
      <c r="E974" s="1316"/>
      <c r="F974" s="1974"/>
      <c r="G974" s="1975"/>
      <c r="H974" s="2674" t="s">
        <v>1220</v>
      </c>
      <c r="I974" s="2675"/>
      <c r="J974" s="8657"/>
      <c r="K974" s="2676"/>
      <c r="L974" s="2266"/>
      <c r="M974" s="2267"/>
      <c r="N974" s="1321"/>
      <c r="O974" s="1322"/>
      <c r="P974" s="1314" t="s">
        <v>1108</v>
      </c>
      <c r="Q974" s="1322"/>
      <c r="R974" s="1322"/>
      <c r="S974" s="1322"/>
      <c r="T974" s="1322"/>
      <c r="U974" s="1322"/>
      <c r="V974" s="1322"/>
      <c r="W974" s="1322"/>
      <c r="X974" s="1322"/>
      <c r="Y974" s="1322"/>
      <c r="Z974" s="1322"/>
      <c r="AA974" s="1322"/>
      <c r="AB974" s="1322"/>
      <c r="AC974" s="1322"/>
      <c r="AD974" s="1322"/>
      <c r="AE974" s="1329"/>
      <c r="AF974" s="2665"/>
      <c r="AG974" s="2666"/>
      <c r="AH974" s="2666"/>
      <c r="AI974" s="8653"/>
      <c r="AJ974" s="2666"/>
      <c r="AK974" s="2666"/>
      <c r="AL974" s="2131"/>
      <c r="AM974" s="1968"/>
      <c r="AN974" s="1968"/>
      <c r="AO974" s="1968"/>
      <c r="AP974" s="1968"/>
      <c r="AQ974" s="1968"/>
      <c r="AR974" s="1968"/>
      <c r="AS974" s="1968"/>
      <c r="AT974" s="1968"/>
      <c r="AU974" s="1968"/>
      <c r="AV974" s="1968"/>
      <c r="AW974" s="1968"/>
      <c r="AX974" s="1968"/>
      <c r="AY974" s="1968"/>
      <c r="AZ974" s="1968"/>
      <c r="BA974" s="1968"/>
      <c r="BB974" s="1968"/>
      <c r="BC974" s="1968"/>
      <c r="BD974" s="1968"/>
      <c r="BE974" s="1968"/>
      <c r="BF974" s="1968"/>
      <c r="BG974" s="7235"/>
    </row>
    <row customHeight="1" ht="11.25">
      <c r="A975" s="1312" t="s">
        <v>1069</v>
      </c>
      <c r="B975" s="1312" t="s">
        <v>22</v>
      </c>
      <c r="C975" s="1312"/>
      <c r="D975" s="1306"/>
      <c r="E975" s="1316"/>
      <c r="F975" s="1974"/>
      <c r="G975" s="7143" t="s">
        <v>106</v>
      </c>
      <c r="H975" s="2674" t="s">
        <v>1222</v>
      </c>
      <c r="I975" s="2675" t="s">
        <v>1109</v>
      </c>
      <c r="J975" s="8675" t="s">
        <v>22</v>
      </c>
      <c r="K975" s="2676" t="s">
        <v>1306</v>
      </c>
      <c r="L975" s="2266" t="s">
        <v>19</v>
      </c>
      <c r="M975" s="2267"/>
      <c r="N975" s="2129"/>
      <c r="O975" s="1323" t="s">
        <v>398</v>
      </c>
      <c r="P975" s="1324"/>
      <c r="Q975" s="1324"/>
      <c r="R975" s="1324"/>
      <c r="S975" s="1324"/>
      <c r="T975" s="1324"/>
      <c r="U975" s="1324"/>
      <c r="V975" s="1324"/>
      <c r="W975" s="1324"/>
      <c r="X975" s="1324"/>
      <c r="Y975" s="1324"/>
      <c r="Z975" s="1324"/>
      <c r="AA975" s="1324"/>
      <c r="AB975" s="1324"/>
      <c r="AC975" s="1324"/>
      <c r="AD975" s="1324"/>
      <c r="AE975" s="1324"/>
      <c r="AF975" s="2665">
        <v>2027</v>
      </c>
      <c r="AG975" s="2666" t="s">
        <v>1103</v>
      </c>
      <c r="AH975" s="2666" t="s">
        <v>1164</v>
      </c>
      <c r="AI975" s="8678"/>
      <c r="AJ975" s="2666" t="s">
        <v>1105</v>
      </c>
      <c r="AK975" s="2666" t="s">
        <v>1105</v>
      </c>
      <c r="AL975" s="2131"/>
      <c r="AM975" s="1968"/>
      <c r="AN975" s="1968"/>
      <c r="AO975" s="1968"/>
      <c r="AP975" s="1968"/>
      <c r="AQ975" s="1968"/>
      <c r="AR975" s="1968"/>
      <c r="AS975" s="1968"/>
      <c r="AT975" s="1968"/>
      <c r="AU975" s="1968"/>
      <c r="AV975" s="1968"/>
      <c r="AW975" s="1968"/>
      <c r="AX975" s="1968"/>
      <c r="AY975" s="1968"/>
      <c r="AZ975" s="1968"/>
      <c r="BA975" s="1968"/>
      <c r="BB975" s="1968"/>
      <c r="BC975" s="1968"/>
      <c r="BD975" s="1968"/>
      <c r="BE975" s="1968"/>
      <c r="BF975" s="1968"/>
      <c r="BG975" s="7235"/>
    </row>
    <row customHeight="1" ht="11.25">
      <c r="A976" s="1312" t="s">
        <v>1069</v>
      </c>
      <c r="B976" s="1312"/>
      <c r="C976" s="1312"/>
      <c r="D976" s="1306"/>
      <c r="E976" s="1316"/>
      <c r="F976" s="1974"/>
      <c r="G976" s="1975"/>
      <c r="H976" s="2674" t="s">
        <v>1220</v>
      </c>
      <c r="I976" s="2675"/>
      <c r="J976" s="8675"/>
      <c r="K976" s="2676"/>
      <c r="L976" s="2266"/>
      <c r="M976" s="2267"/>
      <c r="N976" s="2667"/>
      <c r="O976" s="2668">
        <v>1</v>
      </c>
      <c r="P976" s="2669" t="s">
        <v>63</v>
      </c>
      <c r="Q976" s="8679" t="s">
        <v>1208</v>
      </c>
      <c r="R976" s="8680" t="s">
        <v>1114</v>
      </c>
      <c r="S976" s="8680" t="s">
        <v>113</v>
      </c>
      <c r="T976" s="8680" t="s">
        <v>113</v>
      </c>
      <c r="U976" s="8680" t="s">
        <v>114</v>
      </c>
      <c r="V976" s="8680" t="s">
        <v>1115</v>
      </c>
      <c r="W976" s="8680" t="s">
        <v>1116</v>
      </c>
      <c r="X976" s="8680" t="s">
        <v>1209</v>
      </c>
      <c r="Y976" s="8680" t="s">
        <v>121</v>
      </c>
      <c r="Z976" s="1321"/>
      <c r="AA976" s="1322"/>
      <c r="AB976" s="1322"/>
      <c r="AC976" s="1326"/>
      <c r="AD976" s="1326"/>
      <c r="AE976" s="1327"/>
      <c r="AF976" s="2665"/>
      <c r="AG976" s="2666"/>
      <c r="AH976" s="2666"/>
      <c r="AI976" s="8678"/>
      <c r="AJ976" s="2666"/>
      <c r="AK976" s="2666"/>
      <c r="AL976" s="2131"/>
      <c r="AM976" s="1968"/>
      <c r="AN976" s="1968"/>
      <c r="AO976" s="1968"/>
      <c r="AP976" s="1968"/>
      <c r="AQ976" s="1968"/>
      <c r="AR976" s="1968"/>
      <c r="AS976" s="1968"/>
      <c r="AT976" s="1968"/>
      <c r="AU976" s="1968"/>
      <c r="AV976" s="1968"/>
      <c r="AW976" s="1968"/>
      <c r="AX976" s="1968"/>
      <c r="AY976" s="1968"/>
      <c r="AZ976" s="1968"/>
      <c r="BA976" s="1968"/>
      <c r="BB976" s="1968"/>
      <c r="BC976" s="1968"/>
      <c r="BD976" s="1968"/>
      <c r="BE976" s="1968"/>
      <c r="BF976" s="1968"/>
      <c r="BG976" s="7235"/>
    </row>
    <row customHeight="1" ht="11.25">
      <c r="A977" s="1312" t="s">
        <v>1069</v>
      </c>
      <c r="B977" s="1312"/>
      <c r="C977" s="1312"/>
      <c r="D977" s="1306"/>
      <c r="E977" s="1316"/>
      <c r="F977" s="1974"/>
      <c r="G977" s="1975"/>
      <c r="H977" s="2674" t="s">
        <v>1220</v>
      </c>
      <c r="I977" s="2675"/>
      <c r="J977" s="8675"/>
      <c r="K977" s="2676"/>
      <c r="L977" s="2266"/>
      <c r="M977" s="2267"/>
      <c r="N977" s="2667"/>
      <c r="O977" s="2668"/>
      <c r="P977" s="2670"/>
      <c r="Q977" s="8679"/>
      <c r="R977" s="2672"/>
      <c r="S977" s="2673"/>
      <c r="T977" s="2672"/>
      <c r="U977" s="2672"/>
      <c r="V977" s="2672"/>
      <c r="W977" s="2672"/>
      <c r="X977" s="2672"/>
      <c r="Y977" s="2672"/>
      <c r="Z977" s="1973"/>
      <c r="AA977" s="1939">
        <v>1</v>
      </c>
      <c r="AB977" s="1325" t="s">
        <v>1131</v>
      </c>
      <c r="AC977" s="1315">
        <v>53563</v>
      </c>
      <c r="AD977" s="1325" t="str">
        <f>AB977</f>
        <v>      Прочие амортизационные отчисления</v>
      </c>
      <c r="AE977" s="1315">
        <v>0</v>
      </c>
      <c r="AF977" s="2665"/>
      <c r="AG977" s="2666"/>
      <c r="AH977" s="2666"/>
      <c r="AI977" s="8678"/>
      <c r="AJ977" s="2666"/>
      <c r="AK977" s="2666"/>
      <c r="AL977" s="2131"/>
      <c r="AM977" s="1968"/>
      <c r="AN977" s="1968"/>
      <c r="AO977" s="1968"/>
      <c r="AP977" s="1968"/>
      <c r="AQ977" s="1968"/>
      <c r="AR977" s="1968"/>
      <c r="AS977" s="1968"/>
      <c r="AT977" s="1968"/>
      <c r="AU977" s="1968"/>
      <c r="AV977" s="1968"/>
      <c r="AW977" s="1968"/>
      <c r="AX977" s="1968"/>
      <c r="AY977" s="1968"/>
      <c r="AZ977" s="1968"/>
      <c r="BA977" s="1968"/>
      <c r="BB977" s="1968"/>
      <c r="BC977" s="1968"/>
      <c r="BD977" s="1968"/>
      <c r="BE977" s="1968"/>
      <c r="BF977" s="1968"/>
      <c r="BG977" s="7235"/>
    </row>
    <row customHeight="1" ht="11.25">
      <c r="A978" s="1312" t="s">
        <v>1069</v>
      </c>
      <c r="B978" s="1312"/>
      <c r="C978" s="1312"/>
      <c r="D978" s="1306"/>
      <c r="E978" s="1316"/>
      <c r="F978" s="1974"/>
      <c r="G978" s="1975"/>
      <c r="H978" s="2674" t="s">
        <v>1220</v>
      </c>
      <c r="I978" s="2675"/>
      <c r="J978" s="8675"/>
      <c r="K978" s="2676"/>
      <c r="L978" s="2266"/>
      <c r="M978" s="2267"/>
      <c r="N978" s="2667"/>
      <c r="O978" s="2668"/>
      <c r="P978" s="2671"/>
      <c r="Q978" s="8679"/>
      <c r="R978" s="2672"/>
      <c r="S978" s="2673"/>
      <c r="T978" s="2672"/>
      <c r="U978" s="2672"/>
      <c r="V978" s="2672"/>
      <c r="W978" s="2672"/>
      <c r="X978" s="2672"/>
      <c r="Y978" s="2672"/>
      <c r="Z978" s="1321"/>
      <c r="AA978" s="1322"/>
      <c r="AB978" s="1387" t="s">
        <v>1107</v>
      </c>
      <c r="AC978" s="1326"/>
      <c r="AD978" s="1326"/>
      <c r="AE978" s="1328"/>
      <c r="AF978" s="2665"/>
      <c r="AG978" s="2666"/>
      <c r="AH978" s="2666"/>
      <c r="AI978" s="8678"/>
      <c r="AJ978" s="2666"/>
      <c r="AK978" s="2666"/>
      <c r="AL978" s="2131"/>
      <c r="AM978" s="1968"/>
      <c r="AN978" s="1968"/>
      <c r="AO978" s="1968"/>
      <c r="AP978" s="1968"/>
      <c r="AQ978" s="1968"/>
      <c r="AR978" s="1968"/>
      <c r="AS978" s="1968"/>
      <c r="AT978" s="1968"/>
      <c r="AU978" s="1968"/>
      <c r="AV978" s="1968"/>
      <c r="AW978" s="1968"/>
      <c r="AX978" s="1968"/>
      <c r="AY978" s="1968"/>
      <c r="AZ978" s="1968"/>
      <c r="BA978" s="1968"/>
      <c r="BB978" s="1968"/>
      <c r="BC978" s="1968"/>
      <c r="BD978" s="1968"/>
      <c r="BE978" s="1968"/>
      <c r="BF978" s="1968"/>
      <c r="BG978" s="7235"/>
    </row>
    <row customHeight="1" ht="11.25">
      <c r="A979" s="1312" t="s">
        <v>1069</v>
      </c>
      <c r="B979" s="1312"/>
      <c r="C979" s="1312"/>
      <c r="D979" s="1306"/>
      <c r="E979" s="1316"/>
      <c r="F979" s="1974"/>
      <c r="G979" s="1975"/>
      <c r="H979" s="2674" t="s">
        <v>1220</v>
      </c>
      <c r="I979" s="2675"/>
      <c r="J979" s="8675"/>
      <c r="K979" s="2676"/>
      <c r="L979" s="2266"/>
      <c r="M979" s="2267"/>
      <c r="N979" s="1321"/>
      <c r="O979" s="1322"/>
      <c r="P979" s="1314" t="s">
        <v>1108</v>
      </c>
      <c r="Q979" s="1322"/>
      <c r="R979" s="1322"/>
      <c r="S979" s="1322"/>
      <c r="T979" s="1322"/>
      <c r="U979" s="1322"/>
      <c r="V979" s="1322"/>
      <c r="W979" s="1322"/>
      <c r="X979" s="1322"/>
      <c r="Y979" s="1322"/>
      <c r="Z979" s="1322"/>
      <c r="AA979" s="1322"/>
      <c r="AB979" s="1322"/>
      <c r="AC979" s="1322"/>
      <c r="AD979" s="1322"/>
      <c r="AE979" s="1329"/>
      <c r="AF979" s="2665"/>
      <c r="AG979" s="2666"/>
      <c r="AH979" s="2666"/>
      <c r="AI979" s="8678"/>
      <c r="AJ979" s="2666"/>
      <c r="AK979" s="2666"/>
      <c r="AL979" s="2131"/>
      <c r="AM979" s="1968"/>
      <c r="AN979" s="1968"/>
      <c r="AO979" s="1968"/>
      <c r="AP979" s="1968"/>
      <c r="AQ979" s="1968"/>
      <c r="AR979" s="1968"/>
      <c r="AS979" s="1968"/>
      <c r="AT979" s="1968"/>
      <c r="AU979" s="1968"/>
      <c r="AV979" s="1968"/>
      <c r="AW979" s="1968"/>
      <c r="AX979" s="1968"/>
      <c r="AY979" s="1968"/>
      <c r="AZ979" s="1968"/>
      <c r="BA979" s="1968"/>
      <c r="BB979" s="1968"/>
      <c r="BC979" s="1968"/>
      <c r="BD979" s="1968"/>
      <c r="BE979" s="1968"/>
      <c r="BF979" s="1968"/>
      <c r="BG979" s="7235"/>
    </row>
    <row customHeight="1" ht="12">
      <c r="A980" s="1312" t="s">
        <v>1069</v>
      </c>
      <c r="B980" s="1312"/>
      <c r="C980" s="1312"/>
      <c r="D980" s="1306"/>
      <c r="E980" s="1316"/>
      <c r="F980" s="2696"/>
      <c r="G980" s="1336"/>
      <c r="H980" s="1336"/>
      <c r="I980" s="2694" t="s">
        <v>1100</v>
      </c>
      <c r="J980" s="2694"/>
      <c r="K980" s="2694"/>
      <c r="L980" s="1319"/>
      <c r="M980" s="1319"/>
      <c r="N980" s="1320"/>
      <c r="O980" s="1320"/>
      <c r="P980" s="1320"/>
      <c r="Q980" s="1320"/>
      <c r="R980" s="1320"/>
      <c r="S980" s="1320"/>
      <c r="T980" s="1320"/>
      <c r="U980" s="1320"/>
      <c r="V980" s="1320"/>
      <c r="W980" s="1320"/>
      <c r="X980" s="1320"/>
      <c r="Y980" s="1320"/>
      <c r="Z980" s="1320"/>
      <c r="AA980" s="1320"/>
      <c r="AB980" s="1320"/>
      <c r="AC980" s="1320"/>
      <c r="AD980" s="1320"/>
      <c r="AE980" s="1320"/>
      <c r="AF980" s="1320"/>
      <c r="AG980" s="1319"/>
      <c r="AH980" s="1319"/>
      <c r="AI980" s="1320"/>
      <c r="AJ980" s="1319"/>
      <c r="AK980" s="1320"/>
      <c r="AL980" s="2131"/>
      <c r="AM980" s="1968"/>
      <c r="AN980" s="1968"/>
      <c r="AO980" s="1968"/>
      <c r="AP980" s="1968"/>
      <c r="AQ980" s="1968"/>
      <c r="AR980" s="1968"/>
      <c r="AS980" s="1968"/>
      <c r="AT980" s="1968"/>
      <c r="AU980" s="1968"/>
      <c r="AV980" s="1968"/>
      <c r="AW980" s="1968"/>
      <c r="AX980" s="1968"/>
      <c r="AY980" s="1968"/>
      <c r="AZ980" s="1968"/>
      <c r="BA980" s="1968"/>
      <c r="BB980" s="1968"/>
      <c r="BC980" s="1968"/>
      <c r="BD980" s="1968"/>
      <c r="BE980" s="1968"/>
      <c r="BF980" s="1968"/>
      <c r="BG980" s="7235"/>
    </row>
    <row customHeight="1" ht="0.75">
      <c r="A981" s="1312" t="s">
        <v>1069</v>
      </c>
      <c r="B981" s="1312"/>
      <c r="C981" s="1312"/>
      <c r="D981" s="1306"/>
      <c r="E981" s="1316"/>
      <c r="F981" s="2695">
        <v>2028</v>
      </c>
      <c r="G981" s="2674"/>
      <c r="H981" s="2699" t="s">
        <v>398</v>
      </c>
      <c r="I981" s="2700"/>
      <c r="J981" s="2701"/>
      <c r="K981" s="2701"/>
      <c r="L981" s="2693"/>
      <c r="M981" s="2427"/>
      <c r="N981" s="2179"/>
      <c r="O981" s="2178"/>
      <c r="P981" s="2179"/>
      <c r="Q981" s="2179"/>
      <c r="R981" s="2179"/>
      <c r="S981" s="2179"/>
      <c r="T981" s="2179"/>
      <c r="U981" s="2179"/>
      <c r="V981" s="2179"/>
      <c r="W981" s="2179"/>
      <c r="X981" s="2179"/>
      <c r="Y981" s="2179"/>
      <c r="Z981" s="2179"/>
      <c r="AA981" s="2179"/>
      <c r="AB981" s="2179"/>
      <c r="AC981" s="2179"/>
      <c r="AD981" s="2179"/>
      <c r="AE981" s="2179"/>
      <c r="AF981" s="2697"/>
      <c r="AG981" s="2693"/>
      <c r="AH981" s="2693"/>
      <c r="AI981" s="2697"/>
      <c r="AJ981" s="2693"/>
      <c r="AK981" s="2693"/>
      <c r="AL981" s="2131"/>
      <c r="AM981" s="1968"/>
      <c r="AN981" s="1968"/>
      <c r="AO981" s="1968"/>
      <c r="AP981" s="1968"/>
      <c r="AQ981" s="1968"/>
      <c r="AR981" s="1968"/>
      <c r="AS981" s="1968"/>
      <c r="AT981" s="1968"/>
      <c r="AU981" s="1968"/>
      <c r="AV981" s="1968"/>
      <c r="AW981" s="1968"/>
      <c r="AX981" s="1968"/>
      <c r="AY981" s="1968"/>
      <c r="AZ981" s="1968"/>
      <c r="BA981" s="1968"/>
      <c r="BB981" s="1968"/>
      <c r="BC981" s="1968"/>
      <c r="BD981" s="1968"/>
      <c r="BE981" s="1968"/>
      <c r="BF981" s="1968"/>
      <c r="BG981" s="7235"/>
    </row>
    <row customHeight="1" ht="0.75">
      <c r="A982" s="1312" t="s">
        <v>1069</v>
      </c>
      <c r="B982" s="1312"/>
      <c r="C982" s="1312"/>
      <c r="D982" s="1306"/>
      <c r="E982" s="1316"/>
      <c r="F982" s="2695"/>
      <c r="G982" s="2674"/>
      <c r="H982" s="2699"/>
      <c r="I982" s="2700"/>
      <c r="J982" s="2701"/>
      <c r="K982" s="2701"/>
      <c r="L982" s="2693"/>
      <c r="M982" s="2427"/>
      <c r="N982" s="2702"/>
      <c r="O982" s="2703"/>
      <c r="P982" s="2747"/>
      <c r="Q982" s="2698"/>
      <c r="R982" s="2698"/>
      <c r="S982" s="2698"/>
      <c r="T982" s="2698"/>
      <c r="U982" s="2698"/>
      <c r="V982" s="2698"/>
      <c r="W982" s="2698"/>
      <c r="X982" s="2698"/>
      <c r="Y982" s="2698"/>
      <c r="Z982" s="2180"/>
      <c r="AA982" s="2181"/>
      <c r="AB982" s="2181"/>
      <c r="AC982" s="2182"/>
      <c r="AD982" s="2182"/>
      <c r="AE982" s="2183"/>
      <c r="AF982" s="2697"/>
      <c r="AG982" s="2693"/>
      <c r="AH982" s="2693"/>
      <c r="AI982" s="2697"/>
      <c r="AJ982" s="2693"/>
      <c r="AK982" s="2693"/>
      <c r="AL982" s="2131"/>
      <c r="AM982" s="1968"/>
      <c r="AN982" s="1968"/>
      <c r="AO982" s="1968"/>
      <c r="AP982" s="1968"/>
      <c r="AQ982" s="1968"/>
      <c r="AR982" s="1968"/>
      <c r="AS982" s="1968"/>
      <c r="AT982" s="1968"/>
      <c r="AU982" s="1968"/>
      <c r="AV982" s="1968"/>
      <c r="AW982" s="1968"/>
      <c r="AX982" s="1968"/>
      <c r="AY982" s="1968"/>
      <c r="AZ982" s="1968"/>
      <c r="BA982" s="1968"/>
      <c r="BB982" s="1968"/>
      <c r="BC982" s="1968"/>
      <c r="BD982" s="1968"/>
      <c r="BE982" s="1968"/>
      <c r="BF982" s="1968"/>
      <c r="BG982" s="7235"/>
    </row>
    <row customHeight="1" ht="0.75">
      <c r="A983" s="1312" t="s">
        <v>1069</v>
      </c>
      <c r="B983" s="1312"/>
      <c r="C983" s="1312"/>
      <c r="D983" s="1306"/>
      <c r="E983" s="1316"/>
      <c r="F983" s="2695"/>
      <c r="G983" s="2674"/>
      <c r="H983" s="2699"/>
      <c r="I983" s="2700"/>
      <c r="J983" s="2701"/>
      <c r="K983" s="2701"/>
      <c r="L983" s="2693"/>
      <c r="M983" s="2427"/>
      <c r="N983" s="2702"/>
      <c r="O983" s="2703"/>
      <c r="P983" s="2748"/>
      <c r="Q983" s="2698"/>
      <c r="R983" s="2698"/>
      <c r="S983" s="2698"/>
      <c r="T983" s="2698"/>
      <c r="U983" s="2698"/>
      <c r="V983" s="2698"/>
      <c r="W983" s="2698"/>
      <c r="X983" s="2698"/>
      <c r="Y983" s="2698"/>
      <c r="Z983" s="2184"/>
      <c r="AA983" s="2185"/>
      <c r="AB983" s="2186"/>
      <c r="AC983" s="2187"/>
      <c r="AD983" s="2186"/>
      <c r="AE983" s="2187"/>
      <c r="AF983" s="2697"/>
      <c r="AG983" s="2693"/>
      <c r="AH983" s="2693"/>
      <c r="AI983" s="2697"/>
      <c r="AJ983" s="2693"/>
      <c r="AK983" s="2693"/>
      <c r="AL983" s="2131"/>
      <c r="AM983" s="1968"/>
      <c r="AN983" s="1968"/>
      <c r="AO983" s="1968"/>
      <c r="AP983" s="1968"/>
      <c r="AQ983" s="1968"/>
      <c r="AR983" s="1968"/>
      <c r="AS983" s="1968"/>
      <c r="AT983" s="1968"/>
      <c r="AU983" s="1968"/>
      <c r="AV983" s="1968"/>
      <c r="AW983" s="1968"/>
      <c r="AX983" s="1968"/>
      <c r="AY983" s="1968"/>
      <c r="AZ983" s="1968"/>
      <c r="BA983" s="1968"/>
      <c r="BB983" s="1968"/>
      <c r="BC983" s="1968"/>
      <c r="BD983" s="1968"/>
      <c r="BE983" s="1968"/>
      <c r="BF983" s="1968"/>
      <c r="BG983" s="7235"/>
    </row>
    <row customHeight="1" ht="0.75">
      <c r="A984" s="1312" t="s">
        <v>1069</v>
      </c>
      <c r="B984" s="1312"/>
      <c r="C984" s="1312"/>
      <c r="D984" s="1306"/>
      <c r="E984" s="1316"/>
      <c r="F984" s="2695"/>
      <c r="G984" s="2674"/>
      <c r="H984" s="2699"/>
      <c r="I984" s="2700"/>
      <c r="J984" s="2701"/>
      <c r="K984" s="2701"/>
      <c r="L984" s="2693"/>
      <c r="M984" s="2427"/>
      <c r="N984" s="2702"/>
      <c r="O984" s="2703"/>
      <c r="P984" s="2749"/>
      <c r="Q984" s="2698"/>
      <c r="R984" s="2698"/>
      <c r="S984" s="2698"/>
      <c r="T984" s="2698"/>
      <c r="U984" s="2698"/>
      <c r="V984" s="2698"/>
      <c r="W984" s="2698"/>
      <c r="X984" s="2698"/>
      <c r="Y984" s="2698"/>
      <c r="Z984" s="2180"/>
      <c r="AA984" s="2181"/>
      <c r="AB984" s="2188"/>
      <c r="AC984" s="2182"/>
      <c r="AD984" s="2182"/>
      <c r="AE984" s="2189"/>
      <c r="AF984" s="2697"/>
      <c r="AG984" s="2693"/>
      <c r="AH984" s="2693"/>
      <c r="AI984" s="2697"/>
      <c r="AJ984" s="2693"/>
      <c r="AK984" s="2693"/>
      <c r="AL984" s="2131"/>
      <c r="AM984" s="1968"/>
      <c r="AN984" s="1968"/>
      <c r="AO984" s="1968"/>
      <c r="AP984" s="1968"/>
      <c r="AQ984" s="1968"/>
      <c r="AR984" s="1968"/>
      <c r="AS984" s="1968"/>
      <c r="AT984" s="1968"/>
      <c r="AU984" s="1968"/>
      <c r="AV984" s="1968"/>
      <c r="AW984" s="1968"/>
      <c r="AX984" s="1968"/>
      <c r="AY984" s="1968"/>
      <c r="AZ984" s="1968"/>
      <c r="BA984" s="1968"/>
      <c r="BB984" s="1968"/>
      <c r="BC984" s="1968"/>
      <c r="BD984" s="1968"/>
      <c r="BE984" s="1968"/>
      <c r="BF984" s="1968"/>
      <c r="BG984" s="7235"/>
    </row>
    <row customHeight="1" ht="0.75">
      <c r="A985" s="1312" t="s">
        <v>1069</v>
      </c>
      <c r="B985" s="1312"/>
      <c r="C985" s="1312"/>
      <c r="D985" s="1306"/>
      <c r="E985" s="1316"/>
      <c r="F985" s="2695"/>
      <c r="G985" s="2674"/>
      <c r="H985" s="2699"/>
      <c r="I985" s="2700"/>
      <c r="J985" s="2701"/>
      <c r="K985" s="2701"/>
      <c r="L985" s="2693"/>
      <c r="M985" s="2427"/>
      <c r="N985" s="2181"/>
      <c r="O985" s="2181"/>
      <c r="P985" s="2188"/>
      <c r="Q985" s="2181"/>
      <c r="R985" s="2181"/>
      <c r="S985" s="2181"/>
      <c r="T985" s="2181"/>
      <c r="U985" s="2181"/>
      <c r="V985" s="2181"/>
      <c r="W985" s="2181"/>
      <c r="X985" s="2181"/>
      <c r="Y985" s="2181"/>
      <c r="Z985" s="2181"/>
      <c r="AA985" s="2181"/>
      <c r="AB985" s="2181"/>
      <c r="AC985" s="2181"/>
      <c r="AD985" s="2181"/>
      <c r="AE985" s="2190"/>
      <c r="AF985" s="2697"/>
      <c r="AG985" s="2693"/>
      <c r="AH985" s="2693"/>
      <c r="AI985" s="2697"/>
      <c r="AJ985" s="2693"/>
      <c r="AK985" s="2693"/>
      <c r="AL985" s="2131"/>
      <c r="AM985" s="1968"/>
      <c r="AN985" s="1968"/>
      <c r="AO985" s="1968"/>
      <c r="AP985" s="1968"/>
      <c r="AQ985" s="1968"/>
      <c r="AR985" s="1968"/>
      <c r="AS985" s="1968"/>
      <c r="AT985" s="1968"/>
      <c r="AU985" s="1968"/>
      <c r="AV985" s="1968"/>
      <c r="AW985" s="1968"/>
      <c r="AX985" s="1968"/>
      <c r="AY985" s="1968"/>
      <c r="AZ985" s="1968"/>
      <c r="BA985" s="1968"/>
      <c r="BB985" s="1968"/>
      <c r="BC985" s="1968"/>
      <c r="BD985" s="1968"/>
      <c r="BE985" s="1968"/>
      <c r="BF985" s="1968"/>
      <c r="BG985" s="7235"/>
    </row>
    <row customHeight="1" ht="11.25">
      <c r="A986" s="1312" t="s">
        <v>1069</v>
      </c>
      <c r="B986" s="1312" t="s">
        <v>1198</v>
      </c>
      <c r="C986" s="1312"/>
      <c r="D986" s="1306"/>
      <c r="E986" s="1316"/>
      <c r="F986" s="1974"/>
      <c r="G986" s="7143" t="s">
        <v>106</v>
      </c>
      <c r="H986" s="2674" t="s">
        <v>121</v>
      </c>
      <c r="I986" s="2675" t="s">
        <v>1200</v>
      </c>
      <c r="J986" s="2644" t="s">
        <v>1201</v>
      </c>
      <c r="K986" s="2676" t="s">
        <v>1349</v>
      </c>
      <c r="L986" s="2266" t="s">
        <v>19</v>
      </c>
      <c r="M986" s="2267"/>
      <c r="N986" s="2129"/>
      <c r="O986" s="1323" t="s">
        <v>398</v>
      </c>
      <c r="P986" s="1324"/>
      <c r="Q986" s="1324"/>
      <c r="R986" s="1324"/>
      <c r="S986" s="1324"/>
      <c r="T986" s="1324"/>
      <c r="U986" s="1324"/>
      <c r="V986" s="1324"/>
      <c r="W986" s="1324"/>
      <c r="X986" s="1324"/>
      <c r="Y986" s="1324"/>
      <c r="Z986" s="1324"/>
      <c r="AA986" s="1324"/>
      <c r="AB986" s="1324"/>
      <c r="AC986" s="1324"/>
      <c r="AD986" s="1324"/>
      <c r="AE986" s="1324"/>
      <c r="AF986" s="2665">
        <v>2028</v>
      </c>
      <c r="AG986" s="2666" t="s">
        <v>1103</v>
      </c>
      <c r="AH986" s="2666" t="s">
        <v>1228</v>
      </c>
      <c r="AI986" s="8653"/>
      <c r="AJ986" s="2666" t="s">
        <v>1105</v>
      </c>
      <c r="AK986" s="2666" t="s">
        <v>1105</v>
      </c>
      <c r="AL986" s="2131"/>
      <c r="AM986" s="1968"/>
      <c r="AN986" s="1968"/>
      <c r="AO986" s="1968"/>
      <c r="AP986" s="1968"/>
      <c r="AQ986" s="1968"/>
      <c r="AR986" s="1968"/>
      <c r="AS986" s="1968"/>
      <c r="AT986" s="1968"/>
      <c r="AU986" s="1968"/>
      <c r="AV986" s="1968"/>
      <c r="AW986" s="1968"/>
      <c r="AX986" s="1968"/>
      <c r="AY986" s="1968"/>
      <c r="AZ986" s="1968"/>
      <c r="BA986" s="1968"/>
      <c r="BB986" s="1968"/>
      <c r="BC986" s="1968"/>
      <c r="BD986" s="1968"/>
      <c r="BE986" s="1968"/>
      <c r="BF986" s="1968"/>
      <c r="BG986" s="7235"/>
    </row>
    <row customHeight="1" ht="11.25">
      <c r="A987" s="1312" t="s">
        <v>1069</v>
      </c>
      <c r="B987" s="1312"/>
      <c r="C987" s="1312"/>
      <c r="D987" s="1306"/>
      <c r="E987" s="1316"/>
      <c r="F987" s="1974"/>
      <c r="G987" s="1975"/>
      <c r="H987" s="2674" t="s">
        <v>398</v>
      </c>
      <c r="I987" s="2675"/>
      <c r="J987" s="2644"/>
      <c r="K987" s="2676"/>
      <c r="L987" s="2266"/>
      <c r="M987" s="2267"/>
      <c r="N987" s="2667"/>
      <c r="O987" s="2668">
        <v>1</v>
      </c>
      <c r="P987" s="2669" t="s">
        <v>63</v>
      </c>
      <c r="Q987" s="8679" t="s">
        <v>128</v>
      </c>
      <c r="R987" s="8680" t="s">
        <v>1114</v>
      </c>
      <c r="S987" s="8680" t="s">
        <v>101</v>
      </c>
      <c r="T987" s="8680" t="s">
        <v>102</v>
      </c>
      <c r="U987" s="8680" t="s">
        <v>103</v>
      </c>
      <c r="V987" s="8680" t="s">
        <v>1238</v>
      </c>
      <c r="W987" s="8680" t="s">
        <v>1239</v>
      </c>
      <c r="X987" s="8680" t="s">
        <v>1240</v>
      </c>
      <c r="Y987" s="8680" t="s">
        <v>1190</v>
      </c>
      <c r="Z987" s="1321"/>
      <c r="AA987" s="1322"/>
      <c r="AB987" s="1322"/>
      <c r="AC987" s="1326"/>
      <c r="AD987" s="1326"/>
      <c r="AE987" s="1327"/>
      <c r="AF987" s="2665"/>
      <c r="AG987" s="2666"/>
      <c r="AH987" s="2666"/>
      <c r="AI987" s="8653"/>
      <c r="AJ987" s="2666"/>
      <c r="AK987" s="2666"/>
      <c r="AL987" s="2131"/>
      <c r="AM987" s="1968"/>
      <c r="AN987" s="1968"/>
      <c r="AO987" s="1968"/>
      <c r="AP987" s="1968"/>
      <c r="AQ987" s="1968"/>
      <c r="AR987" s="1968"/>
      <c r="AS987" s="1968"/>
      <c r="AT987" s="1968"/>
      <c r="AU987" s="1968"/>
      <c r="AV987" s="1968"/>
      <c r="AW987" s="1968"/>
      <c r="AX987" s="1968"/>
      <c r="AY987" s="1968"/>
      <c r="AZ987" s="1968"/>
      <c r="BA987" s="1968"/>
      <c r="BB987" s="1968"/>
      <c r="BC987" s="1968"/>
      <c r="BD987" s="1968"/>
      <c r="BE987" s="1968"/>
      <c r="BF987" s="1968"/>
      <c r="BG987" s="7235"/>
    </row>
    <row customHeight="1" ht="11.25">
      <c r="A988" s="1312" t="s">
        <v>1069</v>
      </c>
      <c r="B988" s="1312"/>
      <c r="C988" s="1312"/>
      <c r="D988" s="1306"/>
      <c r="E988" s="1316"/>
      <c r="F988" s="1974"/>
      <c r="G988" s="1975"/>
      <c r="H988" s="2674" t="s">
        <v>398</v>
      </c>
      <c r="I988" s="2675"/>
      <c r="J988" s="2644"/>
      <c r="K988" s="2676"/>
      <c r="L988" s="2266"/>
      <c r="M988" s="2267"/>
      <c r="N988" s="2667"/>
      <c r="O988" s="2668"/>
      <c r="P988" s="2670"/>
      <c r="Q988" s="8679"/>
      <c r="R988" s="2672"/>
      <c r="S988" s="2673"/>
      <c r="T988" s="2672"/>
      <c r="U988" s="2672"/>
      <c r="V988" s="2672"/>
      <c r="W988" s="2672"/>
      <c r="X988" s="2672"/>
      <c r="Y988" s="2672"/>
      <c r="Z988" s="1973"/>
      <c r="AA988" s="1939">
        <v>1</v>
      </c>
      <c r="AB988" s="1325" t="s">
        <v>1131</v>
      </c>
      <c r="AC988" s="1315">
        <v>6907</v>
      </c>
      <c r="AD988" s="1325" t="str">
        <f>AB988</f>
        <v>      Прочие амортизационные отчисления</v>
      </c>
      <c r="AE988" s="1315">
        <v>0</v>
      </c>
      <c r="AF988" s="2665"/>
      <c r="AG988" s="2666"/>
      <c r="AH988" s="2666"/>
      <c r="AI988" s="8653"/>
      <c r="AJ988" s="2666"/>
      <c r="AK988" s="2666"/>
      <c r="AL988" s="2131"/>
      <c r="AM988" s="1968"/>
      <c r="AN988" s="1968"/>
      <c r="AO988" s="1968"/>
      <c r="AP988" s="1968"/>
      <c r="AQ988" s="1968"/>
      <c r="AR988" s="1968"/>
      <c r="AS988" s="1968"/>
      <c r="AT988" s="1968"/>
      <c r="AU988" s="1968"/>
      <c r="AV988" s="1968"/>
      <c r="AW988" s="1968"/>
      <c r="AX988" s="1968"/>
      <c r="AY988" s="1968"/>
      <c r="AZ988" s="1968"/>
      <c r="BA988" s="1968"/>
      <c r="BB988" s="1968"/>
      <c r="BC988" s="1968"/>
      <c r="BD988" s="1968"/>
      <c r="BE988" s="1968"/>
      <c r="BF988" s="1968"/>
      <c r="BG988" s="7235"/>
    </row>
    <row customHeight="1" ht="11.25">
      <c r="A989" s="1312" t="s">
        <v>1069</v>
      </c>
      <c r="B989" s="1312"/>
      <c r="C989" s="1312"/>
      <c r="D989" s="1306"/>
      <c r="E989" s="1316"/>
      <c r="F989" s="1974"/>
      <c r="G989" s="1975"/>
      <c r="H989" s="2674" t="s">
        <v>398</v>
      </c>
      <c r="I989" s="2675"/>
      <c r="J989" s="2644"/>
      <c r="K989" s="2676"/>
      <c r="L989" s="2266"/>
      <c r="M989" s="2267"/>
      <c r="N989" s="2667"/>
      <c r="O989" s="2668"/>
      <c r="P989" s="2671"/>
      <c r="Q989" s="8679"/>
      <c r="R989" s="2672"/>
      <c r="S989" s="2673"/>
      <c r="T989" s="2672"/>
      <c r="U989" s="2672"/>
      <c r="V989" s="2672"/>
      <c r="W989" s="2672"/>
      <c r="X989" s="2672"/>
      <c r="Y989" s="2672"/>
      <c r="Z989" s="1321"/>
      <c r="AA989" s="1322"/>
      <c r="AB989" s="1387" t="s">
        <v>1107</v>
      </c>
      <c r="AC989" s="1326"/>
      <c r="AD989" s="1326"/>
      <c r="AE989" s="1328"/>
      <c r="AF989" s="2665"/>
      <c r="AG989" s="2666"/>
      <c r="AH989" s="2666"/>
      <c r="AI989" s="8653"/>
      <c r="AJ989" s="2666"/>
      <c r="AK989" s="2666"/>
      <c r="AL989" s="2131"/>
      <c r="AM989" s="1968"/>
      <c r="AN989" s="1968"/>
      <c r="AO989" s="1968"/>
      <c r="AP989" s="1968"/>
      <c r="AQ989" s="1968"/>
      <c r="AR989" s="1968"/>
      <c r="AS989" s="1968"/>
      <c r="AT989" s="1968"/>
      <c r="AU989" s="1968"/>
      <c r="AV989" s="1968"/>
      <c r="AW989" s="1968"/>
      <c r="AX989" s="1968"/>
      <c r="AY989" s="1968"/>
      <c r="AZ989" s="1968"/>
      <c r="BA989" s="1968"/>
      <c r="BB989" s="1968"/>
      <c r="BC989" s="1968"/>
      <c r="BD989" s="1968"/>
      <c r="BE989" s="1968"/>
      <c r="BF989" s="1968"/>
      <c r="BG989" s="7235"/>
    </row>
    <row customHeight="1" ht="11.25">
      <c r="A990" s="1312" t="s">
        <v>1069</v>
      </c>
      <c r="B990" s="1312"/>
      <c r="C990" s="1312"/>
      <c r="D990" s="1306"/>
      <c r="E990" s="1316"/>
      <c r="F990" s="1974"/>
      <c r="G990" s="1975"/>
      <c r="H990" s="2674" t="s">
        <v>398</v>
      </c>
      <c r="I990" s="2675"/>
      <c r="J990" s="2644"/>
      <c r="K990" s="2676"/>
      <c r="L990" s="2266"/>
      <c r="M990" s="2267"/>
      <c r="N990" s="1321"/>
      <c r="O990" s="1322"/>
      <c r="P990" s="1314" t="s">
        <v>1108</v>
      </c>
      <c r="Q990" s="1322"/>
      <c r="R990" s="1322"/>
      <c r="S990" s="1322"/>
      <c r="T990" s="1322"/>
      <c r="U990" s="1322"/>
      <c r="V990" s="1322"/>
      <c r="W990" s="1322"/>
      <c r="X990" s="1322"/>
      <c r="Y990" s="1322"/>
      <c r="Z990" s="1322"/>
      <c r="AA990" s="1322"/>
      <c r="AB990" s="1322"/>
      <c r="AC990" s="1322"/>
      <c r="AD990" s="1322"/>
      <c r="AE990" s="1329"/>
      <c r="AF990" s="2665"/>
      <c r="AG990" s="2666"/>
      <c r="AH990" s="2666"/>
      <c r="AI990" s="8653"/>
      <c r="AJ990" s="2666"/>
      <c r="AK990" s="2666"/>
      <c r="AL990" s="2131"/>
      <c r="AM990" s="1968"/>
      <c r="AN990" s="1968"/>
      <c r="AO990" s="1968"/>
      <c r="AP990" s="1968"/>
      <c r="AQ990" s="1968"/>
      <c r="AR990" s="1968"/>
      <c r="AS990" s="1968"/>
      <c r="AT990" s="1968"/>
      <c r="AU990" s="1968"/>
      <c r="AV990" s="1968"/>
      <c r="AW990" s="1968"/>
      <c r="AX990" s="1968"/>
      <c r="AY990" s="1968"/>
      <c r="AZ990" s="1968"/>
      <c r="BA990" s="1968"/>
      <c r="BB990" s="1968"/>
      <c r="BC990" s="1968"/>
      <c r="BD990" s="1968"/>
      <c r="BE990" s="1968"/>
      <c r="BF990" s="1968"/>
      <c r="BG990" s="7235"/>
    </row>
    <row customHeight="1" ht="11.25">
      <c r="A991" s="1312" t="s">
        <v>1069</v>
      </c>
      <c r="B991" s="1312" t="s">
        <v>1198</v>
      </c>
      <c r="C991" s="1312"/>
      <c r="D991" s="1306"/>
      <c r="E991" s="1316"/>
      <c r="F991" s="1974"/>
      <c r="G991" s="7143" t="s">
        <v>106</v>
      </c>
      <c r="H991" s="2674" t="s">
        <v>105</v>
      </c>
      <c r="I991" s="2675" t="s">
        <v>1200</v>
      </c>
      <c r="J991" s="2644" t="s">
        <v>1201</v>
      </c>
      <c r="K991" s="2676" t="s">
        <v>1350</v>
      </c>
      <c r="L991" s="2266" t="s">
        <v>19</v>
      </c>
      <c r="M991" s="2267"/>
      <c r="N991" s="2129"/>
      <c r="O991" s="1323" t="s">
        <v>398</v>
      </c>
      <c r="P991" s="1324"/>
      <c r="Q991" s="1324"/>
      <c r="R991" s="1324"/>
      <c r="S991" s="1324"/>
      <c r="T991" s="1324"/>
      <c r="U991" s="1324"/>
      <c r="V991" s="1324"/>
      <c r="W991" s="1324"/>
      <c r="X991" s="1324"/>
      <c r="Y991" s="1324"/>
      <c r="Z991" s="1324"/>
      <c r="AA991" s="1324"/>
      <c r="AB991" s="1324"/>
      <c r="AC991" s="1324"/>
      <c r="AD991" s="1324"/>
      <c r="AE991" s="1324"/>
      <c r="AF991" s="2665">
        <v>2028</v>
      </c>
      <c r="AG991" s="2666" t="s">
        <v>1103</v>
      </c>
      <c r="AH991" s="2666" t="s">
        <v>1228</v>
      </c>
      <c r="AI991" s="8653"/>
      <c r="AJ991" s="2666" t="s">
        <v>1105</v>
      </c>
      <c r="AK991" s="2666" t="s">
        <v>1105</v>
      </c>
      <c r="AL991" s="2131"/>
      <c r="AM991" s="1968"/>
      <c r="AN991" s="1968"/>
      <c r="AO991" s="1968"/>
      <c r="AP991" s="1968"/>
      <c r="AQ991" s="1968"/>
      <c r="AR991" s="1968"/>
      <c r="AS991" s="1968"/>
      <c r="AT991" s="1968"/>
      <c r="AU991" s="1968"/>
      <c r="AV991" s="1968"/>
      <c r="AW991" s="1968"/>
      <c r="AX991" s="1968"/>
      <c r="AY991" s="1968"/>
      <c r="AZ991" s="1968"/>
      <c r="BA991" s="1968"/>
      <c r="BB991" s="1968"/>
      <c r="BC991" s="1968"/>
      <c r="BD991" s="1968"/>
      <c r="BE991" s="1968"/>
      <c r="BF991" s="1968"/>
      <c r="BG991" s="7235"/>
    </row>
    <row customHeight="1" ht="11.25">
      <c r="A992" s="1312" t="s">
        <v>1069</v>
      </c>
      <c r="B992" s="1312"/>
      <c r="C992" s="1312"/>
      <c r="D992" s="1306"/>
      <c r="E992" s="1316"/>
      <c r="F992" s="1974"/>
      <c r="G992" s="1975"/>
      <c r="H992" s="2674" t="s">
        <v>105</v>
      </c>
      <c r="I992" s="2675"/>
      <c r="J992" s="2644"/>
      <c r="K992" s="2676"/>
      <c r="L992" s="2266"/>
      <c r="M992" s="2267"/>
      <c r="N992" s="2667"/>
      <c r="O992" s="2668">
        <v>1</v>
      </c>
      <c r="P992" s="2669" t="s">
        <v>63</v>
      </c>
      <c r="Q992" s="8654" t="s">
        <v>133</v>
      </c>
      <c r="R992" s="8655" t="s">
        <v>1114</v>
      </c>
      <c r="S992" s="8655" t="s">
        <v>109</v>
      </c>
      <c r="T992" s="8655" t="s">
        <v>109</v>
      </c>
      <c r="U992" s="8655" t="s">
        <v>110</v>
      </c>
      <c r="V992" s="8655" t="s">
        <v>1192</v>
      </c>
      <c r="W992" s="8655" t="s">
        <v>1193</v>
      </c>
      <c r="X992" s="8655" t="s">
        <v>1194</v>
      </c>
      <c r="Y992" s="8655" t="s">
        <v>1195</v>
      </c>
      <c r="Z992" s="1321"/>
      <c r="AA992" s="1322"/>
      <c r="AB992" s="1322"/>
      <c r="AC992" s="1326"/>
      <c r="AD992" s="1326"/>
      <c r="AE992" s="1327"/>
      <c r="AF992" s="2665"/>
      <c r="AG992" s="2666"/>
      <c r="AH992" s="2666"/>
      <c r="AI992" s="8653"/>
      <c r="AJ992" s="2666"/>
      <c r="AK992" s="2666"/>
      <c r="AL992" s="2131"/>
      <c r="AM992" s="1968"/>
      <c r="AN992" s="1968"/>
      <c r="AO992" s="1968"/>
      <c r="AP992" s="1968"/>
      <c r="AQ992" s="1968"/>
      <c r="AR992" s="1968"/>
      <c r="AS992" s="1968"/>
      <c r="AT992" s="1968"/>
      <c r="AU992" s="1968"/>
      <c r="AV992" s="1968"/>
      <c r="AW992" s="1968"/>
      <c r="AX992" s="1968"/>
      <c r="AY992" s="1968"/>
      <c r="AZ992" s="1968"/>
      <c r="BA992" s="1968"/>
      <c r="BB992" s="1968"/>
      <c r="BC992" s="1968"/>
      <c r="BD992" s="1968"/>
      <c r="BE992" s="1968"/>
      <c r="BF992" s="1968"/>
      <c r="BG992" s="7235"/>
    </row>
    <row customHeight="1" ht="11.25">
      <c r="A993" s="1312" t="s">
        <v>1069</v>
      </c>
      <c r="B993" s="1312"/>
      <c r="C993" s="1312"/>
      <c r="D993" s="1306"/>
      <c r="E993" s="1316"/>
      <c r="F993" s="1974"/>
      <c r="G993" s="1975"/>
      <c r="H993" s="2674" t="s">
        <v>105</v>
      </c>
      <c r="I993" s="2675"/>
      <c r="J993" s="2644"/>
      <c r="K993" s="2676"/>
      <c r="L993" s="2266"/>
      <c r="M993" s="2267"/>
      <c r="N993" s="2667"/>
      <c r="O993" s="2668"/>
      <c r="P993" s="2670"/>
      <c r="Q993" s="8654"/>
      <c r="R993" s="2672"/>
      <c r="S993" s="2673"/>
      <c r="T993" s="2672"/>
      <c r="U993" s="2672"/>
      <c r="V993" s="2672"/>
      <c r="W993" s="2672"/>
      <c r="X993" s="2672"/>
      <c r="Y993" s="2672"/>
      <c r="Z993" s="1973"/>
      <c r="AA993" s="1939">
        <v>1</v>
      </c>
      <c r="AB993" s="1325" t="s">
        <v>1131</v>
      </c>
      <c r="AC993" s="1315">
        <v>11027</v>
      </c>
      <c r="AD993" s="1325" t="str">
        <f>AB993</f>
        <v>      Прочие амортизационные отчисления</v>
      </c>
      <c r="AE993" s="1315">
        <v>0</v>
      </c>
      <c r="AF993" s="2665"/>
      <c r="AG993" s="2666"/>
      <c r="AH993" s="2666"/>
      <c r="AI993" s="8653"/>
      <c r="AJ993" s="2666"/>
      <c r="AK993" s="2666"/>
      <c r="AL993" s="2131"/>
      <c r="AM993" s="1968"/>
      <c r="AN993" s="1968"/>
      <c r="AO993" s="1968"/>
      <c r="AP993" s="1968"/>
      <c r="AQ993" s="1968"/>
      <c r="AR993" s="1968"/>
      <c r="AS993" s="1968"/>
      <c r="AT993" s="1968"/>
      <c r="AU993" s="1968"/>
      <c r="AV993" s="1968"/>
      <c r="AW993" s="1968"/>
      <c r="AX993" s="1968"/>
      <c r="AY993" s="1968"/>
      <c r="AZ993" s="1968"/>
      <c r="BA993" s="1968"/>
      <c r="BB993" s="1968"/>
      <c r="BC993" s="1968"/>
      <c r="BD993" s="1968"/>
      <c r="BE993" s="1968"/>
      <c r="BF993" s="1968"/>
      <c r="BG993" s="7235"/>
    </row>
    <row customHeight="1" ht="11.25">
      <c r="A994" s="1312" t="s">
        <v>1069</v>
      </c>
      <c r="B994" s="1312"/>
      <c r="C994" s="1312"/>
      <c r="D994" s="1306"/>
      <c r="E994" s="1316"/>
      <c r="F994" s="1974"/>
      <c r="G994" s="1975"/>
      <c r="H994" s="2674" t="s">
        <v>105</v>
      </c>
      <c r="I994" s="2675"/>
      <c r="J994" s="2644"/>
      <c r="K994" s="2676"/>
      <c r="L994" s="2266"/>
      <c r="M994" s="2267"/>
      <c r="N994" s="2667"/>
      <c r="O994" s="2668"/>
      <c r="P994" s="2671"/>
      <c r="Q994" s="8654"/>
      <c r="R994" s="2672"/>
      <c r="S994" s="2673"/>
      <c r="T994" s="2672"/>
      <c r="U994" s="2672"/>
      <c r="V994" s="2672"/>
      <c r="W994" s="2672"/>
      <c r="X994" s="2672"/>
      <c r="Y994" s="2672"/>
      <c r="Z994" s="1321"/>
      <c r="AA994" s="1322"/>
      <c r="AB994" s="1387" t="s">
        <v>1107</v>
      </c>
      <c r="AC994" s="1326"/>
      <c r="AD994" s="1326"/>
      <c r="AE994" s="1328"/>
      <c r="AF994" s="2665"/>
      <c r="AG994" s="2666"/>
      <c r="AH994" s="2666"/>
      <c r="AI994" s="8653"/>
      <c r="AJ994" s="2666"/>
      <c r="AK994" s="2666"/>
      <c r="AL994" s="2131"/>
      <c r="AM994" s="1968"/>
      <c r="AN994" s="1968"/>
      <c r="AO994" s="1968"/>
      <c r="AP994" s="1968"/>
      <c r="AQ994" s="1968"/>
      <c r="AR994" s="1968"/>
      <c r="AS994" s="1968"/>
      <c r="AT994" s="1968"/>
      <c r="AU994" s="1968"/>
      <c r="AV994" s="1968"/>
      <c r="AW994" s="1968"/>
      <c r="AX994" s="1968"/>
      <c r="AY994" s="1968"/>
      <c r="AZ994" s="1968"/>
      <c r="BA994" s="1968"/>
      <c r="BB994" s="1968"/>
      <c r="BC994" s="1968"/>
      <c r="BD994" s="1968"/>
      <c r="BE994" s="1968"/>
      <c r="BF994" s="1968"/>
      <c r="BG994" s="7235"/>
    </row>
    <row customHeight="1" ht="11.25">
      <c r="A995" s="1312" t="s">
        <v>1069</v>
      </c>
      <c r="B995" s="1312"/>
      <c r="C995" s="1312"/>
      <c r="D995" s="1306"/>
      <c r="E995" s="1316"/>
      <c r="F995" s="1974"/>
      <c r="G995" s="1975"/>
      <c r="H995" s="2674" t="s">
        <v>105</v>
      </c>
      <c r="I995" s="2675"/>
      <c r="J995" s="2644"/>
      <c r="K995" s="2676"/>
      <c r="L995" s="2266"/>
      <c r="M995" s="2267"/>
      <c r="N995" s="1321"/>
      <c r="O995" s="1322"/>
      <c r="P995" s="1314" t="s">
        <v>1108</v>
      </c>
      <c r="Q995" s="1322"/>
      <c r="R995" s="1322"/>
      <c r="S995" s="1322"/>
      <c r="T995" s="1322"/>
      <c r="U995" s="1322"/>
      <c r="V995" s="1322"/>
      <c r="W995" s="1322"/>
      <c r="X995" s="1322"/>
      <c r="Y995" s="1322"/>
      <c r="Z995" s="1322"/>
      <c r="AA995" s="1322"/>
      <c r="AB995" s="1322"/>
      <c r="AC995" s="1322"/>
      <c r="AD995" s="1322"/>
      <c r="AE995" s="1329"/>
      <c r="AF995" s="2665"/>
      <c r="AG995" s="2666"/>
      <c r="AH995" s="2666"/>
      <c r="AI995" s="8653"/>
      <c r="AJ995" s="2666"/>
      <c r="AK995" s="2666"/>
      <c r="AL995" s="2131"/>
      <c r="AM995" s="1968"/>
      <c r="AN995" s="1968"/>
      <c r="AO995" s="1968"/>
      <c r="AP995" s="1968"/>
      <c r="AQ995" s="1968"/>
      <c r="AR995" s="1968"/>
      <c r="AS995" s="1968"/>
      <c r="AT995" s="1968"/>
      <c r="AU995" s="1968"/>
      <c r="AV995" s="1968"/>
      <c r="AW995" s="1968"/>
      <c r="AX995" s="1968"/>
      <c r="AY995" s="1968"/>
      <c r="AZ995" s="1968"/>
      <c r="BA995" s="1968"/>
      <c r="BB995" s="1968"/>
      <c r="BC995" s="1968"/>
      <c r="BD995" s="1968"/>
      <c r="BE995" s="1968"/>
      <c r="BF995" s="1968"/>
      <c r="BG995" s="7235"/>
    </row>
    <row customHeight="1" ht="11.25">
      <c r="A996" s="1312" t="s">
        <v>1069</v>
      </c>
      <c r="B996" s="1312" t="s">
        <v>1198</v>
      </c>
      <c r="C996" s="1312"/>
      <c r="D996" s="1306"/>
      <c r="E996" s="1316"/>
      <c r="F996" s="1974"/>
      <c r="G996" s="7143" t="s">
        <v>106</v>
      </c>
      <c r="H996" s="2674" t="s">
        <v>91</v>
      </c>
      <c r="I996" s="2675" t="s">
        <v>1200</v>
      </c>
      <c r="J996" s="2644" t="s">
        <v>1201</v>
      </c>
      <c r="K996" s="2676" t="s">
        <v>1351</v>
      </c>
      <c r="L996" s="2266" t="s">
        <v>19</v>
      </c>
      <c r="M996" s="2267"/>
      <c r="N996" s="2129"/>
      <c r="O996" s="1323" t="s">
        <v>398</v>
      </c>
      <c r="P996" s="1324"/>
      <c r="Q996" s="1324"/>
      <c r="R996" s="1324"/>
      <c r="S996" s="1324"/>
      <c r="T996" s="1324"/>
      <c r="U996" s="1324"/>
      <c r="V996" s="1324"/>
      <c r="W996" s="1324"/>
      <c r="X996" s="1324"/>
      <c r="Y996" s="1324"/>
      <c r="Z996" s="1324"/>
      <c r="AA996" s="1324"/>
      <c r="AB996" s="1324"/>
      <c r="AC996" s="1324"/>
      <c r="AD996" s="1324"/>
      <c r="AE996" s="1324"/>
      <c r="AF996" s="2665">
        <v>2032</v>
      </c>
      <c r="AG996" s="2666" t="s">
        <v>1103</v>
      </c>
      <c r="AH996" s="2666" t="s">
        <v>1337</v>
      </c>
      <c r="AI996" s="8653"/>
      <c r="AJ996" s="2666" t="s">
        <v>1105</v>
      </c>
      <c r="AK996" s="2666" t="s">
        <v>1105</v>
      </c>
      <c r="AL996" s="2131"/>
      <c r="AM996" s="1968"/>
      <c r="AN996" s="1968"/>
      <c r="AO996" s="1968"/>
      <c r="AP996" s="1968"/>
      <c r="AQ996" s="1968"/>
      <c r="AR996" s="1968"/>
      <c r="AS996" s="1968"/>
      <c r="AT996" s="1968"/>
      <c r="AU996" s="1968"/>
      <c r="AV996" s="1968"/>
      <c r="AW996" s="1968"/>
      <c r="AX996" s="1968"/>
      <c r="AY996" s="1968"/>
      <c r="AZ996" s="1968"/>
      <c r="BA996" s="1968"/>
      <c r="BB996" s="1968"/>
      <c r="BC996" s="1968"/>
      <c r="BD996" s="1968"/>
      <c r="BE996" s="1968"/>
      <c r="BF996" s="1968"/>
      <c r="BG996" s="7235"/>
    </row>
    <row customHeight="1" ht="11.25">
      <c r="A997" s="1312" t="s">
        <v>1069</v>
      </c>
      <c r="B997" s="1312"/>
      <c r="C997" s="1312"/>
      <c r="D997" s="1306"/>
      <c r="E997" s="1316"/>
      <c r="F997" s="1974"/>
      <c r="G997" s="1975"/>
      <c r="H997" s="2674" t="s">
        <v>91</v>
      </c>
      <c r="I997" s="2675"/>
      <c r="J997" s="2644"/>
      <c r="K997" s="2676"/>
      <c r="L997" s="2266"/>
      <c r="M997" s="2267"/>
      <c r="N997" s="2667"/>
      <c r="O997" s="2668">
        <v>1</v>
      </c>
      <c r="P997" s="2669" t="s">
        <v>63</v>
      </c>
      <c r="Q997" s="8654" t="s">
        <v>1176</v>
      </c>
      <c r="R997" s="8655" t="s">
        <v>1177</v>
      </c>
      <c r="S997" s="8655" t="s">
        <v>113</v>
      </c>
      <c r="T997" s="8655" t="s">
        <v>113</v>
      </c>
      <c r="U997" s="8655" t="s">
        <v>114</v>
      </c>
      <c r="V997" s="8655" t="s">
        <v>1115</v>
      </c>
      <c r="W997" s="8655" t="s">
        <v>1116</v>
      </c>
      <c r="X997" s="8655" t="s">
        <v>1178</v>
      </c>
      <c r="Y997" s="8655" t="s">
        <v>1178</v>
      </c>
      <c r="Z997" s="1321"/>
      <c r="AA997" s="1322"/>
      <c r="AB997" s="1322"/>
      <c r="AC997" s="1326"/>
      <c r="AD997" s="1326"/>
      <c r="AE997" s="1327"/>
      <c r="AF997" s="2665"/>
      <c r="AG997" s="2666"/>
      <c r="AH997" s="2666"/>
      <c r="AI997" s="8653"/>
      <c r="AJ997" s="2666"/>
      <c r="AK997" s="2666"/>
      <c r="AL997" s="2131"/>
      <c r="AM997" s="1968"/>
      <c r="AN997" s="1968"/>
      <c r="AO997" s="1968"/>
      <c r="AP997" s="1968"/>
      <c r="AQ997" s="1968"/>
      <c r="AR997" s="1968"/>
      <c r="AS997" s="1968"/>
      <c r="AT997" s="1968"/>
      <c r="AU997" s="1968"/>
      <c r="AV997" s="1968"/>
      <c r="AW997" s="1968"/>
      <c r="AX997" s="1968"/>
      <c r="AY997" s="1968"/>
      <c r="AZ997" s="1968"/>
      <c r="BA997" s="1968"/>
      <c r="BB997" s="1968"/>
      <c r="BC997" s="1968"/>
      <c r="BD997" s="1968"/>
      <c r="BE997" s="1968"/>
      <c r="BF997" s="1968"/>
      <c r="BG997" s="7235"/>
    </row>
    <row customHeight="1" ht="11.25">
      <c r="A998" s="1312" t="s">
        <v>1069</v>
      </c>
      <c r="B998" s="1312"/>
      <c r="C998" s="1312"/>
      <c r="D998" s="1306"/>
      <c r="E998" s="1316"/>
      <c r="F998" s="1974"/>
      <c r="G998" s="1975"/>
      <c r="H998" s="2674" t="s">
        <v>91</v>
      </c>
      <c r="I998" s="2675"/>
      <c r="J998" s="2644"/>
      <c r="K998" s="2676"/>
      <c r="L998" s="2266"/>
      <c r="M998" s="2267"/>
      <c r="N998" s="2667"/>
      <c r="O998" s="2668"/>
      <c r="P998" s="2670"/>
      <c r="Q998" s="8654"/>
      <c r="R998" s="2672"/>
      <c r="S998" s="2673"/>
      <c r="T998" s="2672"/>
      <c r="U998" s="2672"/>
      <c r="V998" s="2672"/>
      <c r="W998" s="2672"/>
      <c r="X998" s="2672"/>
      <c r="Y998" s="2672"/>
      <c r="Z998" s="1973"/>
      <c r="AA998" s="1939">
        <v>1</v>
      </c>
      <c r="AB998" s="1325" t="s">
        <v>1106</v>
      </c>
      <c r="AC998" s="1315">
        <v>145132</v>
      </c>
      <c r="AD998" s="1325" t="str">
        <f>AB998</f>
        <v>  Прибыль направляемая на инвестиции</v>
      </c>
      <c r="AE998" s="1315">
        <v>0</v>
      </c>
      <c r="AF998" s="2665"/>
      <c r="AG998" s="2666"/>
      <c r="AH998" s="2666"/>
      <c r="AI998" s="8653"/>
      <c r="AJ998" s="2666"/>
      <c r="AK998" s="2666"/>
      <c r="AL998" s="2131"/>
      <c r="AM998" s="1968"/>
      <c r="AN998" s="1968"/>
      <c r="AO998" s="1968"/>
      <c r="AP998" s="1968"/>
      <c r="AQ998" s="1968"/>
      <c r="AR998" s="1968"/>
      <c r="AS998" s="1968"/>
      <c r="AT998" s="1968"/>
      <c r="AU998" s="1968"/>
      <c r="AV998" s="1968"/>
      <c r="AW998" s="1968"/>
      <c r="AX998" s="1968"/>
      <c r="AY998" s="1968"/>
      <c r="AZ998" s="1968"/>
      <c r="BA998" s="1968"/>
      <c r="BB998" s="1968"/>
      <c r="BC998" s="1968"/>
      <c r="BD998" s="1968"/>
      <c r="BE998" s="1968"/>
      <c r="BF998" s="1968"/>
      <c r="BG998" s="7235"/>
    </row>
    <row customHeight="1" ht="11.25">
      <c r="A999" s="1312" t="s">
        <v>1069</v>
      </c>
      <c r="B999" s="1312"/>
      <c r="C999" s="1312"/>
      <c r="D999" s="1306"/>
      <c r="E999" s="1316"/>
      <c r="F999" s="1974"/>
      <c r="G999" s="1975"/>
      <c r="H999" s="2674" t="s">
        <v>91</v>
      </c>
      <c r="I999" s="2675"/>
      <c r="J999" s="2644"/>
      <c r="K999" s="2676"/>
      <c r="L999" s="2266"/>
      <c r="M999" s="2267"/>
      <c r="N999" s="2667"/>
      <c r="O999" s="2668"/>
      <c r="P999" s="2671"/>
      <c r="Q999" s="8654"/>
      <c r="R999" s="2672"/>
      <c r="S999" s="2673"/>
      <c r="T999" s="2672"/>
      <c r="U999" s="2672"/>
      <c r="V999" s="2672"/>
      <c r="W999" s="2672"/>
      <c r="X999" s="2672"/>
      <c r="Y999" s="2672"/>
      <c r="Z999" s="1321"/>
      <c r="AA999" s="1322"/>
      <c r="AB999" s="1387" t="s">
        <v>1107</v>
      </c>
      <c r="AC999" s="1326"/>
      <c r="AD999" s="1326"/>
      <c r="AE999" s="1328"/>
      <c r="AF999" s="2665"/>
      <c r="AG999" s="2666"/>
      <c r="AH999" s="2666"/>
      <c r="AI999" s="8653"/>
      <c r="AJ999" s="2666"/>
      <c r="AK999" s="2666"/>
      <c r="AL999" s="2131"/>
      <c r="AM999" s="1968"/>
      <c r="AN999" s="1968"/>
      <c r="AO999" s="1968"/>
      <c r="AP999" s="1968"/>
      <c r="AQ999" s="1968"/>
      <c r="AR999" s="1968"/>
      <c r="AS999" s="1968"/>
      <c r="AT999" s="1968"/>
      <c r="AU999" s="1968"/>
      <c r="AV999" s="1968"/>
      <c r="AW999" s="1968"/>
      <c r="AX999" s="1968"/>
      <c r="AY999" s="1968"/>
      <c r="AZ999" s="1968"/>
      <c r="BA999" s="1968"/>
      <c r="BB999" s="1968"/>
      <c r="BC999" s="1968"/>
      <c r="BD999" s="1968"/>
      <c r="BE999" s="1968"/>
      <c r="BF999" s="1968"/>
      <c r="BG999" s="7235"/>
    </row>
    <row customHeight="1" ht="11.25">
      <c r="A1000" s="1312" t="s">
        <v>1069</v>
      </c>
      <c r="B1000" s="1312"/>
      <c r="C1000" s="1312"/>
      <c r="D1000" s="1306"/>
      <c r="E1000" s="1316"/>
      <c r="F1000" s="1974"/>
      <c r="G1000" s="1975"/>
      <c r="H1000" s="2674" t="s">
        <v>91</v>
      </c>
      <c r="I1000" s="2675"/>
      <c r="J1000" s="2644"/>
      <c r="K1000" s="2676"/>
      <c r="L1000" s="2266"/>
      <c r="M1000" s="2267"/>
      <c r="N1000" s="1321"/>
      <c r="O1000" s="1322"/>
      <c r="P1000" s="1314" t="s">
        <v>1108</v>
      </c>
      <c r="Q1000" s="1322"/>
      <c r="R1000" s="1322"/>
      <c r="S1000" s="1322"/>
      <c r="T1000" s="1322"/>
      <c r="U1000" s="1322"/>
      <c r="V1000" s="1322"/>
      <c r="W1000" s="1322"/>
      <c r="X1000" s="1322"/>
      <c r="Y1000" s="1322"/>
      <c r="Z1000" s="1322"/>
      <c r="AA1000" s="1322"/>
      <c r="AB1000" s="1322"/>
      <c r="AC1000" s="1322"/>
      <c r="AD1000" s="1322"/>
      <c r="AE1000" s="1329"/>
      <c r="AF1000" s="2665"/>
      <c r="AG1000" s="2666"/>
      <c r="AH1000" s="2666"/>
      <c r="AI1000" s="8653"/>
      <c r="AJ1000" s="2666"/>
      <c r="AK1000" s="2666"/>
      <c r="AL1000" s="2131"/>
      <c r="AM1000" s="1968"/>
      <c r="AN1000" s="1968"/>
      <c r="AO1000" s="1968"/>
      <c r="AP1000" s="1968"/>
      <c r="AQ1000" s="1968"/>
      <c r="AR1000" s="1968"/>
      <c r="AS1000" s="1968"/>
      <c r="AT1000" s="1968"/>
      <c r="AU1000" s="1968"/>
      <c r="AV1000" s="1968"/>
      <c r="AW1000" s="1968"/>
      <c r="AX1000" s="1968"/>
      <c r="AY1000" s="1968"/>
      <c r="AZ1000" s="1968"/>
      <c r="BA1000" s="1968"/>
      <c r="BB1000" s="1968"/>
      <c r="BC1000" s="1968"/>
      <c r="BD1000" s="1968"/>
      <c r="BE1000" s="1968"/>
      <c r="BF1000" s="1968"/>
      <c r="BG1000" s="7235"/>
    </row>
    <row customHeight="1" ht="11.25">
      <c r="A1001" s="1312" t="s">
        <v>1069</v>
      </c>
      <c r="B1001" s="1312" t="s">
        <v>1198</v>
      </c>
      <c r="C1001" s="1312"/>
      <c r="D1001" s="1306"/>
      <c r="E1001" s="1316"/>
      <c r="F1001" s="1974"/>
      <c r="G1001" s="7143" t="s">
        <v>106</v>
      </c>
      <c r="H1001" s="2674" t="s">
        <v>92</v>
      </c>
      <c r="I1001" s="2675" t="s">
        <v>1200</v>
      </c>
      <c r="J1001" s="2644" t="s">
        <v>1201</v>
      </c>
      <c r="K1001" s="2676" t="s">
        <v>1352</v>
      </c>
      <c r="L1001" s="2266" t="s">
        <v>19</v>
      </c>
      <c r="M1001" s="2267"/>
      <c r="N1001" s="2129"/>
      <c r="O1001" s="1323" t="s">
        <v>398</v>
      </c>
      <c r="P1001" s="1324"/>
      <c r="Q1001" s="1324"/>
      <c r="R1001" s="1324"/>
      <c r="S1001" s="1324"/>
      <c r="T1001" s="1324"/>
      <c r="U1001" s="1324"/>
      <c r="V1001" s="1324"/>
      <c r="W1001" s="1324"/>
      <c r="X1001" s="1324"/>
      <c r="Y1001" s="1324"/>
      <c r="Z1001" s="1324"/>
      <c r="AA1001" s="1324"/>
      <c r="AB1001" s="1324"/>
      <c r="AC1001" s="1324"/>
      <c r="AD1001" s="1324"/>
      <c r="AE1001" s="1324"/>
      <c r="AF1001" s="2665">
        <v>2032</v>
      </c>
      <c r="AG1001" s="2666" t="s">
        <v>1103</v>
      </c>
      <c r="AH1001" s="2666" t="s">
        <v>1337</v>
      </c>
      <c r="AI1001" s="8653"/>
      <c r="AJ1001" s="2666" t="s">
        <v>1105</v>
      </c>
      <c r="AK1001" s="2666" t="s">
        <v>1105</v>
      </c>
      <c r="AL1001" s="2131"/>
      <c r="AM1001" s="1968"/>
      <c r="AN1001" s="1968"/>
      <c r="AO1001" s="1968"/>
      <c r="AP1001" s="1968"/>
      <c r="AQ1001" s="1968"/>
      <c r="AR1001" s="1968"/>
      <c r="AS1001" s="1968"/>
      <c r="AT1001" s="1968"/>
      <c r="AU1001" s="1968"/>
      <c r="AV1001" s="1968"/>
      <c r="AW1001" s="1968"/>
      <c r="AX1001" s="1968"/>
      <c r="AY1001" s="1968"/>
      <c r="AZ1001" s="1968"/>
      <c r="BA1001" s="1968"/>
      <c r="BB1001" s="1968"/>
      <c r="BC1001" s="1968"/>
      <c r="BD1001" s="1968"/>
      <c r="BE1001" s="1968"/>
      <c r="BF1001" s="1968"/>
      <c r="BG1001" s="7235"/>
    </row>
    <row customHeight="1" ht="11.25">
      <c r="A1002" s="1312" t="s">
        <v>1069</v>
      </c>
      <c r="B1002" s="1312"/>
      <c r="C1002" s="1312"/>
      <c r="D1002" s="1306"/>
      <c r="E1002" s="1316"/>
      <c r="F1002" s="1974"/>
      <c r="G1002" s="1975"/>
      <c r="H1002" s="2674" t="s">
        <v>92</v>
      </c>
      <c r="I1002" s="2675"/>
      <c r="J1002" s="2644"/>
      <c r="K1002" s="2676"/>
      <c r="L1002" s="2266"/>
      <c r="M1002" s="2267"/>
      <c r="N1002" s="2667"/>
      <c r="O1002" s="2668">
        <v>1</v>
      </c>
      <c r="P1002" s="2669" t="s">
        <v>63</v>
      </c>
      <c r="Q1002" s="8654" t="s">
        <v>1176</v>
      </c>
      <c r="R1002" s="8655" t="s">
        <v>1177</v>
      </c>
      <c r="S1002" s="8655" t="s">
        <v>113</v>
      </c>
      <c r="T1002" s="8655" t="s">
        <v>113</v>
      </c>
      <c r="U1002" s="8655" t="s">
        <v>114</v>
      </c>
      <c r="V1002" s="8655" t="s">
        <v>1115</v>
      </c>
      <c r="W1002" s="8655" t="s">
        <v>1116</v>
      </c>
      <c r="X1002" s="8655" t="s">
        <v>1178</v>
      </c>
      <c r="Y1002" s="8655" t="s">
        <v>1178</v>
      </c>
      <c r="Z1002" s="1321"/>
      <c r="AA1002" s="1322"/>
      <c r="AB1002" s="1322"/>
      <c r="AC1002" s="1326"/>
      <c r="AD1002" s="1326"/>
      <c r="AE1002" s="1327"/>
      <c r="AF1002" s="2665"/>
      <c r="AG1002" s="2666"/>
      <c r="AH1002" s="2666"/>
      <c r="AI1002" s="8653"/>
      <c r="AJ1002" s="2666"/>
      <c r="AK1002" s="2666"/>
      <c r="AL1002" s="2131"/>
      <c r="AM1002" s="1968"/>
      <c r="AN1002" s="1968"/>
      <c r="AO1002" s="1968"/>
      <c r="AP1002" s="1968"/>
      <c r="AQ1002" s="1968"/>
      <c r="AR1002" s="1968"/>
      <c r="AS1002" s="1968"/>
      <c r="AT1002" s="1968"/>
      <c r="AU1002" s="1968"/>
      <c r="AV1002" s="1968"/>
      <c r="AW1002" s="1968"/>
      <c r="AX1002" s="1968"/>
      <c r="AY1002" s="1968"/>
      <c r="AZ1002" s="1968"/>
      <c r="BA1002" s="1968"/>
      <c r="BB1002" s="1968"/>
      <c r="BC1002" s="1968"/>
      <c r="BD1002" s="1968"/>
      <c r="BE1002" s="1968"/>
      <c r="BF1002" s="1968"/>
      <c r="BG1002" s="7235"/>
    </row>
    <row customHeight="1" ht="11.25">
      <c r="A1003" s="1312" t="s">
        <v>1069</v>
      </c>
      <c r="B1003" s="1312"/>
      <c r="C1003" s="1312"/>
      <c r="D1003" s="1306"/>
      <c r="E1003" s="1316"/>
      <c r="F1003" s="1974"/>
      <c r="G1003" s="1975"/>
      <c r="H1003" s="2674" t="s">
        <v>92</v>
      </c>
      <c r="I1003" s="2675"/>
      <c r="J1003" s="2644"/>
      <c r="K1003" s="2676"/>
      <c r="L1003" s="2266"/>
      <c r="M1003" s="2267"/>
      <c r="N1003" s="2667"/>
      <c r="O1003" s="2668"/>
      <c r="P1003" s="2670"/>
      <c r="Q1003" s="8654"/>
      <c r="R1003" s="2672"/>
      <c r="S1003" s="2673"/>
      <c r="T1003" s="2672"/>
      <c r="U1003" s="2672"/>
      <c r="V1003" s="2672"/>
      <c r="W1003" s="2672"/>
      <c r="X1003" s="2672"/>
      <c r="Y1003" s="2672"/>
      <c r="Z1003" s="1973"/>
      <c r="AA1003" s="1939">
        <v>1</v>
      </c>
      <c r="AB1003" s="1325" t="s">
        <v>1106</v>
      </c>
      <c r="AC1003" s="1315">
        <v>38429</v>
      </c>
      <c r="AD1003" s="1325" t="str">
        <f>AB1003</f>
        <v>  Прибыль направляемая на инвестиции</v>
      </c>
      <c r="AE1003" s="1315">
        <v>0</v>
      </c>
      <c r="AF1003" s="2665"/>
      <c r="AG1003" s="2666"/>
      <c r="AH1003" s="2666"/>
      <c r="AI1003" s="8653"/>
      <c r="AJ1003" s="2666"/>
      <c r="AK1003" s="2666"/>
      <c r="AL1003" s="2131"/>
      <c r="AM1003" s="1968"/>
      <c r="AN1003" s="1968"/>
      <c r="AO1003" s="1968"/>
      <c r="AP1003" s="1968"/>
      <c r="AQ1003" s="1968"/>
      <c r="AR1003" s="1968"/>
      <c r="AS1003" s="1968"/>
      <c r="AT1003" s="1968"/>
      <c r="AU1003" s="1968"/>
      <c r="AV1003" s="1968"/>
      <c r="AW1003" s="1968"/>
      <c r="AX1003" s="1968"/>
      <c r="AY1003" s="1968"/>
      <c r="AZ1003" s="1968"/>
      <c r="BA1003" s="1968"/>
      <c r="BB1003" s="1968"/>
      <c r="BC1003" s="1968"/>
      <c r="BD1003" s="1968"/>
      <c r="BE1003" s="1968"/>
      <c r="BF1003" s="1968"/>
      <c r="BG1003" s="7235"/>
    </row>
    <row customHeight="1" ht="11.25">
      <c r="A1004" s="1312" t="s">
        <v>1069</v>
      </c>
      <c r="B1004" s="1312"/>
      <c r="C1004" s="1312"/>
      <c r="D1004" s="1306"/>
      <c r="E1004" s="1316"/>
      <c r="F1004" s="1974"/>
      <c r="G1004" s="1975"/>
      <c r="H1004" s="2674" t="s">
        <v>92</v>
      </c>
      <c r="I1004" s="2675"/>
      <c r="J1004" s="2644"/>
      <c r="K1004" s="2676"/>
      <c r="L1004" s="2266"/>
      <c r="M1004" s="2267"/>
      <c r="N1004" s="2667"/>
      <c r="O1004" s="2668"/>
      <c r="P1004" s="2671"/>
      <c r="Q1004" s="8654"/>
      <c r="R1004" s="2672"/>
      <c r="S1004" s="2673"/>
      <c r="T1004" s="2672"/>
      <c r="U1004" s="2672"/>
      <c r="V1004" s="2672"/>
      <c r="W1004" s="2672"/>
      <c r="X1004" s="2672"/>
      <c r="Y1004" s="2672"/>
      <c r="Z1004" s="1321"/>
      <c r="AA1004" s="1322"/>
      <c r="AB1004" s="1387" t="s">
        <v>1107</v>
      </c>
      <c r="AC1004" s="1326"/>
      <c r="AD1004" s="1326"/>
      <c r="AE1004" s="1328"/>
      <c r="AF1004" s="2665"/>
      <c r="AG1004" s="2666"/>
      <c r="AH1004" s="2666"/>
      <c r="AI1004" s="8653"/>
      <c r="AJ1004" s="2666"/>
      <c r="AK1004" s="2666"/>
      <c r="AL1004" s="2131"/>
      <c r="AM1004" s="1968"/>
      <c r="AN1004" s="1968"/>
      <c r="AO1004" s="1968"/>
      <c r="AP1004" s="1968"/>
      <c r="AQ1004" s="1968"/>
      <c r="AR1004" s="1968"/>
      <c r="AS1004" s="1968"/>
      <c r="AT1004" s="1968"/>
      <c r="AU1004" s="1968"/>
      <c r="AV1004" s="1968"/>
      <c r="AW1004" s="1968"/>
      <c r="AX1004" s="1968"/>
      <c r="AY1004" s="1968"/>
      <c r="AZ1004" s="1968"/>
      <c r="BA1004" s="1968"/>
      <c r="BB1004" s="1968"/>
      <c r="BC1004" s="1968"/>
      <c r="BD1004" s="1968"/>
      <c r="BE1004" s="1968"/>
      <c r="BF1004" s="1968"/>
      <c r="BG1004" s="7235"/>
    </row>
    <row customHeight="1" ht="11.25">
      <c r="A1005" s="1312" t="s">
        <v>1069</v>
      </c>
      <c r="B1005" s="1312"/>
      <c r="C1005" s="1312"/>
      <c r="D1005" s="1306"/>
      <c r="E1005" s="1316"/>
      <c r="F1005" s="1974"/>
      <c r="G1005" s="1975"/>
      <c r="H1005" s="2674" t="s">
        <v>92</v>
      </c>
      <c r="I1005" s="2675"/>
      <c r="J1005" s="2644"/>
      <c r="K1005" s="2676"/>
      <c r="L1005" s="2266"/>
      <c r="M1005" s="2267"/>
      <c r="N1005" s="1321"/>
      <c r="O1005" s="1322"/>
      <c r="P1005" s="1314" t="s">
        <v>1108</v>
      </c>
      <c r="Q1005" s="1322"/>
      <c r="R1005" s="1322"/>
      <c r="S1005" s="1322"/>
      <c r="T1005" s="1322"/>
      <c r="U1005" s="1322"/>
      <c r="V1005" s="1322"/>
      <c r="W1005" s="1322"/>
      <c r="X1005" s="1322"/>
      <c r="Y1005" s="1322"/>
      <c r="Z1005" s="1322"/>
      <c r="AA1005" s="1322"/>
      <c r="AB1005" s="1322"/>
      <c r="AC1005" s="1322"/>
      <c r="AD1005" s="1322"/>
      <c r="AE1005" s="1329"/>
      <c r="AF1005" s="2665"/>
      <c r="AG1005" s="2666"/>
      <c r="AH1005" s="2666"/>
      <c r="AI1005" s="8653"/>
      <c r="AJ1005" s="2666"/>
      <c r="AK1005" s="2666"/>
      <c r="AL1005" s="2131"/>
      <c r="AM1005" s="1968"/>
      <c r="AN1005" s="1968"/>
      <c r="AO1005" s="1968"/>
      <c r="AP1005" s="1968"/>
      <c r="AQ1005" s="1968"/>
      <c r="AR1005" s="1968"/>
      <c r="AS1005" s="1968"/>
      <c r="AT1005" s="1968"/>
      <c r="AU1005" s="1968"/>
      <c r="AV1005" s="1968"/>
      <c r="AW1005" s="1968"/>
      <c r="AX1005" s="1968"/>
      <c r="AY1005" s="1968"/>
      <c r="AZ1005" s="1968"/>
      <c r="BA1005" s="1968"/>
      <c r="BB1005" s="1968"/>
      <c r="BC1005" s="1968"/>
      <c r="BD1005" s="1968"/>
      <c r="BE1005" s="1968"/>
      <c r="BF1005" s="1968"/>
      <c r="BG1005" s="7235"/>
    </row>
    <row customHeight="1" ht="11.25">
      <c r="A1006" s="1312" t="s">
        <v>1069</v>
      </c>
      <c r="B1006" s="1312" t="s">
        <v>1198</v>
      </c>
      <c r="C1006" s="1312"/>
      <c r="D1006" s="1306"/>
      <c r="E1006" s="1316"/>
      <c r="F1006" s="1974"/>
      <c r="G1006" s="7143" t="s">
        <v>106</v>
      </c>
      <c r="H1006" s="2674" t="s">
        <v>122</v>
      </c>
      <c r="I1006" s="2675" t="s">
        <v>1200</v>
      </c>
      <c r="J1006" s="2644" t="s">
        <v>1201</v>
      </c>
      <c r="K1006" s="2676" t="s">
        <v>1353</v>
      </c>
      <c r="L1006" s="2266" t="s">
        <v>19</v>
      </c>
      <c r="M1006" s="2267"/>
      <c r="N1006" s="2129"/>
      <c r="O1006" s="1323" t="s">
        <v>398</v>
      </c>
      <c r="P1006" s="1324"/>
      <c r="Q1006" s="1324"/>
      <c r="R1006" s="1324"/>
      <c r="S1006" s="1324"/>
      <c r="T1006" s="1324"/>
      <c r="U1006" s="1324"/>
      <c r="V1006" s="1324"/>
      <c r="W1006" s="1324"/>
      <c r="X1006" s="1324"/>
      <c r="Y1006" s="1324"/>
      <c r="Z1006" s="1324"/>
      <c r="AA1006" s="1324"/>
      <c r="AB1006" s="1324"/>
      <c r="AC1006" s="1324"/>
      <c r="AD1006" s="1324"/>
      <c r="AE1006" s="1324"/>
      <c r="AF1006" s="2665">
        <v>2029</v>
      </c>
      <c r="AG1006" s="2666" t="s">
        <v>1103</v>
      </c>
      <c r="AH1006" s="2666" t="s">
        <v>1215</v>
      </c>
      <c r="AI1006" s="8653"/>
      <c r="AJ1006" s="2666" t="s">
        <v>1105</v>
      </c>
      <c r="AK1006" s="2666" t="s">
        <v>1105</v>
      </c>
      <c r="AL1006" s="2131"/>
      <c r="AM1006" s="1968"/>
      <c r="AN1006" s="1968"/>
      <c r="AO1006" s="1968"/>
      <c r="AP1006" s="1968"/>
      <c r="AQ1006" s="1968"/>
      <c r="AR1006" s="1968"/>
      <c r="AS1006" s="1968"/>
      <c r="AT1006" s="1968"/>
      <c r="AU1006" s="1968"/>
      <c r="AV1006" s="1968"/>
      <c r="AW1006" s="1968"/>
      <c r="AX1006" s="1968"/>
      <c r="AY1006" s="1968"/>
      <c r="AZ1006" s="1968"/>
      <c r="BA1006" s="1968"/>
      <c r="BB1006" s="1968"/>
      <c r="BC1006" s="1968"/>
      <c r="BD1006" s="1968"/>
      <c r="BE1006" s="1968"/>
      <c r="BF1006" s="1968"/>
      <c r="BG1006" s="7235"/>
    </row>
    <row customHeight="1" ht="11.25">
      <c r="A1007" s="1312" t="s">
        <v>1069</v>
      </c>
      <c r="B1007" s="1312"/>
      <c r="C1007" s="1312"/>
      <c r="D1007" s="1306"/>
      <c r="E1007" s="1316"/>
      <c r="F1007" s="1974"/>
      <c r="G1007" s="1975"/>
      <c r="H1007" s="2674" t="s">
        <v>122</v>
      </c>
      <c r="I1007" s="2675"/>
      <c r="J1007" s="2644"/>
      <c r="K1007" s="2676"/>
      <c r="L1007" s="2266"/>
      <c r="M1007" s="2267"/>
      <c r="N1007" s="2667"/>
      <c r="O1007" s="2668">
        <v>1</v>
      </c>
      <c r="P1007" s="2669" t="s">
        <v>63</v>
      </c>
      <c r="Q1007" s="8654" t="s">
        <v>1176</v>
      </c>
      <c r="R1007" s="8655" t="s">
        <v>1177</v>
      </c>
      <c r="S1007" s="8655" t="s">
        <v>113</v>
      </c>
      <c r="T1007" s="8655" t="s">
        <v>113</v>
      </c>
      <c r="U1007" s="8655" t="s">
        <v>114</v>
      </c>
      <c r="V1007" s="8655" t="s">
        <v>1115</v>
      </c>
      <c r="W1007" s="8655" t="s">
        <v>1116</v>
      </c>
      <c r="X1007" s="8655" t="s">
        <v>1178</v>
      </c>
      <c r="Y1007" s="8655" t="s">
        <v>1178</v>
      </c>
      <c r="Z1007" s="1321"/>
      <c r="AA1007" s="1322"/>
      <c r="AB1007" s="1322"/>
      <c r="AC1007" s="1326"/>
      <c r="AD1007" s="1326"/>
      <c r="AE1007" s="1327"/>
      <c r="AF1007" s="2665"/>
      <c r="AG1007" s="2666"/>
      <c r="AH1007" s="2666"/>
      <c r="AI1007" s="8653"/>
      <c r="AJ1007" s="2666"/>
      <c r="AK1007" s="2666"/>
      <c r="AL1007" s="2131"/>
      <c r="AM1007" s="1968"/>
      <c r="AN1007" s="1968"/>
      <c r="AO1007" s="1968"/>
      <c r="AP1007" s="1968"/>
      <c r="AQ1007" s="1968"/>
      <c r="AR1007" s="1968"/>
      <c r="AS1007" s="1968"/>
      <c r="AT1007" s="1968"/>
      <c r="AU1007" s="1968"/>
      <c r="AV1007" s="1968"/>
      <c r="AW1007" s="1968"/>
      <c r="AX1007" s="1968"/>
      <c r="AY1007" s="1968"/>
      <c r="AZ1007" s="1968"/>
      <c r="BA1007" s="1968"/>
      <c r="BB1007" s="1968"/>
      <c r="BC1007" s="1968"/>
      <c r="BD1007" s="1968"/>
      <c r="BE1007" s="1968"/>
      <c r="BF1007" s="1968"/>
      <c r="BG1007" s="7235"/>
    </row>
    <row customHeight="1" ht="11.25">
      <c r="A1008" s="1312" t="s">
        <v>1069</v>
      </c>
      <c r="B1008" s="1312"/>
      <c r="C1008" s="1312"/>
      <c r="D1008" s="1306"/>
      <c r="E1008" s="1316"/>
      <c r="F1008" s="1974"/>
      <c r="G1008" s="1975"/>
      <c r="H1008" s="2674" t="s">
        <v>122</v>
      </c>
      <c r="I1008" s="2675"/>
      <c r="J1008" s="2644"/>
      <c r="K1008" s="2676"/>
      <c r="L1008" s="2266"/>
      <c r="M1008" s="2267"/>
      <c r="N1008" s="2667"/>
      <c r="O1008" s="2668"/>
      <c r="P1008" s="2670"/>
      <c r="Q1008" s="8654"/>
      <c r="R1008" s="2672"/>
      <c r="S1008" s="2673"/>
      <c r="T1008" s="2672"/>
      <c r="U1008" s="2672"/>
      <c r="V1008" s="2672"/>
      <c r="W1008" s="2672"/>
      <c r="X1008" s="2672"/>
      <c r="Y1008" s="2672"/>
      <c r="Z1008" s="1973"/>
      <c r="AA1008" s="1939">
        <v>1</v>
      </c>
      <c r="AB1008" s="1325" t="s">
        <v>1106</v>
      </c>
      <c r="AC1008" s="1315">
        <v>87227</v>
      </c>
      <c r="AD1008" s="1325" t="str">
        <f>AB1008</f>
        <v>  Прибыль направляемая на инвестиции</v>
      </c>
      <c r="AE1008" s="1315">
        <v>0</v>
      </c>
      <c r="AF1008" s="2665"/>
      <c r="AG1008" s="2666"/>
      <c r="AH1008" s="2666"/>
      <c r="AI1008" s="8653"/>
      <c r="AJ1008" s="2666"/>
      <c r="AK1008" s="2666"/>
      <c r="AL1008" s="2131"/>
      <c r="AM1008" s="1968"/>
      <c r="AN1008" s="1968"/>
      <c r="AO1008" s="1968"/>
      <c r="AP1008" s="1968"/>
      <c r="AQ1008" s="1968"/>
      <c r="AR1008" s="1968"/>
      <c r="AS1008" s="1968"/>
      <c r="AT1008" s="1968"/>
      <c r="AU1008" s="1968"/>
      <c r="AV1008" s="1968"/>
      <c r="AW1008" s="1968"/>
      <c r="AX1008" s="1968"/>
      <c r="AY1008" s="1968"/>
      <c r="AZ1008" s="1968"/>
      <c r="BA1008" s="1968"/>
      <c r="BB1008" s="1968"/>
      <c r="BC1008" s="1968"/>
      <c r="BD1008" s="1968"/>
      <c r="BE1008" s="1968"/>
      <c r="BF1008" s="1968"/>
      <c r="BG1008" s="7235"/>
    </row>
    <row customHeight="1" ht="11.25">
      <c r="A1009" s="1312" t="s">
        <v>1069</v>
      </c>
      <c r="B1009" s="1312"/>
      <c r="C1009" s="1312"/>
      <c r="D1009" s="1306"/>
      <c r="E1009" s="1316"/>
      <c r="F1009" s="1974"/>
      <c r="G1009" s="1975"/>
      <c r="H1009" s="2674" t="s">
        <v>122</v>
      </c>
      <c r="I1009" s="2675"/>
      <c r="J1009" s="2644"/>
      <c r="K1009" s="2676"/>
      <c r="L1009" s="2266"/>
      <c r="M1009" s="2267"/>
      <c r="N1009" s="2667"/>
      <c r="O1009" s="2668"/>
      <c r="P1009" s="2671"/>
      <c r="Q1009" s="8654"/>
      <c r="R1009" s="2672"/>
      <c r="S1009" s="2673"/>
      <c r="T1009" s="2672"/>
      <c r="U1009" s="2672"/>
      <c r="V1009" s="2672"/>
      <c r="W1009" s="2672"/>
      <c r="X1009" s="2672"/>
      <c r="Y1009" s="2672"/>
      <c r="Z1009" s="1321"/>
      <c r="AA1009" s="1322"/>
      <c r="AB1009" s="1387" t="s">
        <v>1107</v>
      </c>
      <c r="AC1009" s="1326"/>
      <c r="AD1009" s="1326"/>
      <c r="AE1009" s="1328"/>
      <c r="AF1009" s="2665"/>
      <c r="AG1009" s="2666"/>
      <c r="AH1009" s="2666"/>
      <c r="AI1009" s="8653"/>
      <c r="AJ1009" s="2666"/>
      <c r="AK1009" s="2666"/>
      <c r="AL1009" s="2131"/>
      <c r="AM1009" s="1968"/>
      <c r="AN1009" s="1968"/>
      <c r="AO1009" s="1968"/>
      <c r="AP1009" s="1968"/>
      <c r="AQ1009" s="1968"/>
      <c r="AR1009" s="1968"/>
      <c r="AS1009" s="1968"/>
      <c r="AT1009" s="1968"/>
      <c r="AU1009" s="1968"/>
      <c r="AV1009" s="1968"/>
      <c r="AW1009" s="1968"/>
      <c r="AX1009" s="1968"/>
      <c r="AY1009" s="1968"/>
      <c r="AZ1009" s="1968"/>
      <c r="BA1009" s="1968"/>
      <c r="BB1009" s="1968"/>
      <c r="BC1009" s="1968"/>
      <c r="BD1009" s="1968"/>
      <c r="BE1009" s="1968"/>
      <c r="BF1009" s="1968"/>
      <c r="BG1009" s="7235"/>
    </row>
    <row customHeight="1" ht="11.25">
      <c r="A1010" s="1312" t="s">
        <v>1069</v>
      </c>
      <c r="B1010" s="1312"/>
      <c r="C1010" s="1312"/>
      <c r="D1010" s="1306"/>
      <c r="E1010" s="1316"/>
      <c r="F1010" s="1974"/>
      <c r="G1010" s="1975"/>
      <c r="H1010" s="2674" t="s">
        <v>122</v>
      </c>
      <c r="I1010" s="2675"/>
      <c r="J1010" s="2644"/>
      <c r="K1010" s="2676"/>
      <c r="L1010" s="2266"/>
      <c r="M1010" s="2267"/>
      <c r="N1010" s="1321"/>
      <c r="O1010" s="1322"/>
      <c r="P1010" s="1314" t="s">
        <v>1108</v>
      </c>
      <c r="Q1010" s="1322"/>
      <c r="R1010" s="1322"/>
      <c r="S1010" s="1322"/>
      <c r="T1010" s="1322"/>
      <c r="U1010" s="1322"/>
      <c r="V1010" s="1322"/>
      <c r="W1010" s="1322"/>
      <c r="X1010" s="1322"/>
      <c r="Y1010" s="1322"/>
      <c r="Z1010" s="1322"/>
      <c r="AA1010" s="1322"/>
      <c r="AB1010" s="1322"/>
      <c r="AC1010" s="1322"/>
      <c r="AD1010" s="1322"/>
      <c r="AE1010" s="1329"/>
      <c r="AF1010" s="2665"/>
      <c r="AG1010" s="2666"/>
      <c r="AH1010" s="2666"/>
      <c r="AI1010" s="8653"/>
      <c r="AJ1010" s="2666"/>
      <c r="AK1010" s="2666"/>
      <c r="AL1010" s="2131"/>
      <c r="AM1010" s="1968"/>
      <c r="AN1010" s="1968"/>
      <c r="AO1010" s="1968"/>
      <c r="AP1010" s="1968"/>
      <c r="AQ1010" s="1968"/>
      <c r="AR1010" s="1968"/>
      <c r="AS1010" s="1968"/>
      <c r="AT1010" s="1968"/>
      <c r="AU1010" s="1968"/>
      <c r="AV1010" s="1968"/>
      <c r="AW1010" s="1968"/>
      <c r="AX1010" s="1968"/>
      <c r="AY1010" s="1968"/>
      <c r="AZ1010" s="1968"/>
      <c r="BA1010" s="1968"/>
      <c r="BB1010" s="1968"/>
      <c r="BC1010" s="1968"/>
      <c r="BD1010" s="1968"/>
      <c r="BE1010" s="1968"/>
      <c r="BF1010" s="1968"/>
      <c r="BG1010" s="7235"/>
    </row>
    <row customHeight="1" ht="11.25">
      <c r="A1011" s="1312" t="s">
        <v>1069</v>
      </c>
      <c r="B1011" s="1312" t="s">
        <v>1198</v>
      </c>
      <c r="C1011" s="1312"/>
      <c r="D1011" s="1306"/>
      <c r="E1011" s="1316"/>
      <c r="F1011" s="1974"/>
      <c r="G1011" s="7143" t="s">
        <v>106</v>
      </c>
      <c r="H1011" s="2674" t="s">
        <v>93</v>
      </c>
      <c r="I1011" s="2675" t="s">
        <v>1200</v>
      </c>
      <c r="J1011" s="2644" t="s">
        <v>1201</v>
      </c>
      <c r="K1011" s="2676" t="s">
        <v>1354</v>
      </c>
      <c r="L1011" s="2266" t="s">
        <v>19</v>
      </c>
      <c r="M1011" s="2267"/>
      <c r="N1011" s="2129"/>
      <c r="O1011" s="1323" t="s">
        <v>398</v>
      </c>
      <c r="P1011" s="1324"/>
      <c r="Q1011" s="1324"/>
      <c r="R1011" s="1324"/>
      <c r="S1011" s="1324"/>
      <c r="T1011" s="1324"/>
      <c r="U1011" s="1324"/>
      <c r="V1011" s="1324"/>
      <c r="W1011" s="1324"/>
      <c r="X1011" s="1324"/>
      <c r="Y1011" s="1324"/>
      <c r="Z1011" s="1324"/>
      <c r="AA1011" s="1324"/>
      <c r="AB1011" s="1324"/>
      <c r="AC1011" s="1324"/>
      <c r="AD1011" s="1324"/>
      <c r="AE1011" s="1324"/>
      <c r="AF1011" s="2665">
        <v>2029</v>
      </c>
      <c r="AG1011" s="2666" t="s">
        <v>1103</v>
      </c>
      <c r="AH1011" s="2666" t="s">
        <v>1215</v>
      </c>
      <c r="AI1011" s="8653"/>
      <c r="AJ1011" s="2666" t="s">
        <v>1105</v>
      </c>
      <c r="AK1011" s="2666" t="s">
        <v>1105</v>
      </c>
      <c r="AL1011" s="2131"/>
      <c r="AM1011" s="1968"/>
      <c r="AN1011" s="1968"/>
      <c r="AO1011" s="1968"/>
      <c r="AP1011" s="1968"/>
      <c r="AQ1011" s="1968"/>
      <c r="AR1011" s="1968"/>
      <c r="AS1011" s="1968"/>
      <c r="AT1011" s="1968"/>
      <c r="AU1011" s="1968"/>
      <c r="AV1011" s="1968"/>
      <c r="AW1011" s="1968"/>
      <c r="AX1011" s="1968"/>
      <c r="AY1011" s="1968"/>
      <c r="AZ1011" s="1968"/>
      <c r="BA1011" s="1968"/>
      <c r="BB1011" s="1968"/>
      <c r="BC1011" s="1968"/>
      <c r="BD1011" s="1968"/>
      <c r="BE1011" s="1968"/>
      <c r="BF1011" s="1968"/>
      <c r="BG1011" s="7235"/>
    </row>
    <row customHeight="1" ht="11.25">
      <c r="A1012" s="1312" t="s">
        <v>1069</v>
      </c>
      <c r="B1012" s="1312"/>
      <c r="C1012" s="1312"/>
      <c r="D1012" s="1306"/>
      <c r="E1012" s="1316"/>
      <c r="F1012" s="1974"/>
      <c r="G1012" s="1975"/>
      <c r="H1012" s="2674" t="s">
        <v>93</v>
      </c>
      <c r="I1012" s="2675"/>
      <c r="J1012" s="2644"/>
      <c r="K1012" s="2676"/>
      <c r="L1012" s="2266"/>
      <c r="M1012" s="2267"/>
      <c r="N1012" s="2667"/>
      <c r="O1012" s="2668">
        <v>1</v>
      </c>
      <c r="P1012" s="2669" t="s">
        <v>63</v>
      </c>
      <c r="Q1012" s="8654" t="s">
        <v>1176</v>
      </c>
      <c r="R1012" s="8655" t="s">
        <v>1177</v>
      </c>
      <c r="S1012" s="8655" t="s">
        <v>113</v>
      </c>
      <c r="T1012" s="8655" t="s">
        <v>113</v>
      </c>
      <c r="U1012" s="8655" t="s">
        <v>114</v>
      </c>
      <c r="V1012" s="8655" t="s">
        <v>1115</v>
      </c>
      <c r="W1012" s="8655" t="s">
        <v>1116</v>
      </c>
      <c r="X1012" s="8655" t="s">
        <v>1178</v>
      </c>
      <c r="Y1012" s="8655" t="s">
        <v>1178</v>
      </c>
      <c r="Z1012" s="1321"/>
      <c r="AA1012" s="1322"/>
      <c r="AB1012" s="1322"/>
      <c r="AC1012" s="1326"/>
      <c r="AD1012" s="1326"/>
      <c r="AE1012" s="1327"/>
      <c r="AF1012" s="2665"/>
      <c r="AG1012" s="2666"/>
      <c r="AH1012" s="2666"/>
      <c r="AI1012" s="8653"/>
      <c r="AJ1012" s="2666"/>
      <c r="AK1012" s="2666"/>
      <c r="AL1012" s="2131"/>
      <c r="AM1012" s="1968"/>
      <c r="AN1012" s="1968"/>
      <c r="AO1012" s="1968"/>
      <c r="AP1012" s="1968"/>
      <c r="AQ1012" s="1968"/>
      <c r="AR1012" s="1968"/>
      <c r="AS1012" s="1968"/>
      <c r="AT1012" s="1968"/>
      <c r="AU1012" s="1968"/>
      <c r="AV1012" s="1968"/>
      <c r="AW1012" s="1968"/>
      <c r="AX1012" s="1968"/>
      <c r="AY1012" s="1968"/>
      <c r="AZ1012" s="1968"/>
      <c r="BA1012" s="1968"/>
      <c r="BB1012" s="1968"/>
      <c r="BC1012" s="1968"/>
      <c r="BD1012" s="1968"/>
      <c r="BE1012" s="1968"/>
      <c r="BF1012" s="1968"/>
      <c r="BG1012" s="7235"/>
    </row>
    <row customHeight="1" ht="11.25">
      <c r="A1013" s="1312" t="s">
        <v>1069</v>
      </c>
      <c r="B1013" s="1312"/>
      <c r="C1013" s="1312"/>
      <c r="D1013" s="1306"/>
      <c r="E1013" s="1316"/>
      <c r="F1013" s="1974"/>
      <c r="G1013" s="1975"/>
      <c r="H1013" s="2674" t="s">
        <v>93</v>
      </c>
      <c r="I1013" s="2675"/>
      <c r="J1013" s="2644"/>
      <c r="K1013" s="2676"/>
      <c r="L1013" s="2266"/>
      <c r="M1013" s="2267"/>
      <c r="N1013" s="2667"/>
      <c r="O1013" s="2668"/>
      <c r="P1013" s="2670"/>
      <c r="Q1013" s="8654"/>
      <c r="R1013" s="2672"/>
      <c r="S1013" s="2673"/>
      <c r="T1013" s="2672"/>
      <c r="U1013" s="2672"/>
      <c r="V1013" s="2672"/>
      <c r="W1013" s="2672"/>
      <c r="X1013" s="2672"/>
      <c r="Y1013" s="2672"/>
      <c r="Z1013" s="1973"/>
      <c r="AA1013" s="1939">
        <v>1</v>
      </c>
      <c r="AB1013" s="1325" t="s">
        <v>1106</v>
      </c>
      <c r="AC1013" s="1315">
        <v>66699</v>
      </c>
      <c r="AD1013" s="1325" t="str">
        <f>AB1013</f>
        <v>  Прибыль направляемая на инвестиции</v>
      </c>
      <c r="AE1013" s="1315">
        <v>0</v>
      </c>
      <c r="AF1013" s="2665"/>
      <c r="AG1013" s="2666"/>
      <c r="AH1013" s="2666"/>
      <c r="AI1013" s="8653"/>
      <c r="AJ1013" s="2666"/>
      <c r="AK1013" s="2666"/>
      <c r="AL1013" s="2131"/>
      <c r="AM1013" s="1968"/>
      <c r="AN1013" s="1968"/>
      <c r="AO1013" s="1968"/>
      <c r="AP1013" s="1968"/>
      <c r="AQ1013" s="1968"/>
      <c r="AR1013" s="1968"/>
      <c r="AS1013" s="1968"/>
      <c r="AT1013" s="1968"/>
      <c r="AU1013" s="1968"/>
      <c r="AV1013" s="1968"/>
      <c r="AW1013" s="1968"/>
      <c r="AX1013" s="1968"/>
      <c r="AY1013" s="1968"/>
      <c r="AZ1013" s="1968"/>
      <c r="BA1013" s="1968"/>
      <c r="BB1013" s="1968"/>
      <c r="BC1013" s="1968"/>
      <c r="BD1013" s="1968"/>
      <c r="BE1013" s="1968"/>
      <c r="BF1013" s="1968"/>
      <c r="BG1013" s="7235"/>
    </row>
    <row customHeight="1" ht="11.25">
      <c r="A1014" s="1312" t="s">
        <v>1069</v>
      </c>
      <c r="B1014" s="1312"/>
      <c r="C1014" s="1312"/>
      <c r="D1014" s="1306"/>
      <c r="E1014" s="1316"/>
      <c r="F1014" s="1974"/>
      <c r="G1014" s="1975"/>
      <c r="H1014" s="2674" t="s">
        <v>93</v>
      </c>
      <c r="I1014" s="2675"/>
      <c r="J1014" s="2644"/>
      <c r="K1014" s="2676"/>
      <c r="L1014" s="2266"/>
      <c r="M1014" s="2267"/>
      <c r="N1014" s="2667"/>
      <c r="O1014" s="2668"/>
      <c r="P1014" s="2671"/>
      <c r="Q1014" s="8654"/>
      <c r="R1014" s="2672"/>
      <c r="S1014" s="2673"/>
      <c r="T1014" s="2672"/>
      <c r="U1014" s="2672"/>
      <c r="V1014" s="2672"/>
      <c r="W1014" s="2672"/>
      <c r="X1014" s="2672"/>
      <c r="Y1014" s="2672"/>
      <c r="Z1014" s="1321"/>
      <c r="AA1014" s="1322"/>
      <c r="AB1014" s="1387" t="s">
        <v>1107</v>
      </c>
      <c r="AC1014" s="1326"/>
      <c r="AD1014" s="1326"/>
      <c r="AE1014" s="1328"/>
      <c r="AF1014" s="2665"/>
      <c r="AG1014" s="2666"/>
      <c r="AH1014" s="2666"/>
      <c r="AI1014" s="8653"/>
      <c r="AJ1014" s="2666"/>
      <c r="AK1014" s="2666"/>
      <c r="AL1014" s="2131"/>
      <c r="AM1014" s="1968"/>
      <c r="AN1014" s="1968"/>
      <c r="AO1014" s="1968"/>
      <c r="AP1014" s="1968"/>
      <c r="AQ1014" s="1968"/>
      <c r="AR1014" s="1968"/>
      <c r="AS1014" s="1968"/>
      <c r="AT1014" s="1968"/>
      <c r="AU1014" s="1968"/>
      <c r="AV1014" s="1968"/>
      <c r="AW1014" s="1968"/>
      <c r="AX1014" s="1968"/>
      <c r="AY1014" s="1968"/>
      <c r="AZ1014" s="1968"/>
      <c r="BA1014" s="1968"/>
      <c r="BB1014" s="1968"/>
      <c r="BC1014" s="1968"/>
      <c r="BD1014" s="1968"/>
      <c r="BE1014" s="1968"/>
      <c r="BF1014" s="1968"/>
      <c r="BG1014" s="7235"/>
    </row>
    <row customHeight="1" ht="11.25">
      <c r="A1015" s="1312" t="s">
        <v>1069</v>
      </c>
      <c r="B1015" s="1312"/>
      <c r="C1015" s="1312"/>
      <c r="D1015" s="1306"/>
      <c r="E1015" s="1316"/>
      <c r="F1015" s="1974"/>
      <c r="G1015" s="1975"/>
      <c r="H1015" s="2674" t="s">
        <v>93</v>
      </c>
      <c r="I1015" s="2675"/>
      <c r="J1015" s="2644"/>
      <c r="K1015" s="2676"/>
      <c r="L1015" s="2266"/>
      <c r="M1015" s="2267"/>
      <c r="N1015" s="1321"/>
      <c r="O1015" s="1322"/>
      <c r="P1015" s="1314" t="s">
        <v>1108</v>
      </c>
      <c r="Q1015" s="1322"/>
      <c r="R1015" s="1322"/>
      <c r="S1015" s="1322"/>
      <c r="T1015" s="1322"/>
      <c r="U1015" s="1322"/>
      <c r="V1015" s="1322"/>
      <c r="W1015" s="1322"/>
      <c r="X1015" s="1322"/>
      <c r="Y1015" s="1322"/>
      <c r="Z1015" s="1322"/>
      <c r="AA1015" s="1322"/>
      <c r="AB1015" s="1322"/>
      <c r="AC1015" s="1322"/>
      <c r="AD1015" s="1322"/>
      <c r="AE1015" s="1329"/>
      <c r="AF1015" s="2665"/>
      <c r="AG1015" s="2666"/>
      <c r="AH1015" s="2666"/>
      <c r="AI1015" s="8653"/>
      <c r="AJ1015" s="2666"/>
      <c r="AK1015" s="2666"/>
      <c r="AL1015" s="2131"/>
      <c r="AM1015" s="1968"/>
      <c r="AN1015" s="1968"/>
      <c r="AO1015" s="1968"/>
      <c r="AP1015" s="1968"/>
      <c r="AQ1015" s="1968"/>
      <c r="AR1015" s="1968"/>
      <c r="AS1015" s="1968"/>
      <c r="AT1015" s="1968"/>
      <c r="AU1015" s="1968"/>
      <c r="AV1015" s="1968"/>
      <c r="AW1015" s="1968"/>
      <c r="AX1015" s="1968"/>
      <c r="AY1015" s="1968"/>
      <c r="AZ1015" s="1968"/>
      <c r="BA1015" s="1968"/>
      <c r="BB1015" s="1968"/>
      <c r="BC1015" s="1968"/>
      <c r="BD1015" s="1968"/>
      <c r="BE1015" s="1968"/>
      <c r="BF1015" s="1968"/>
      <c r="BG1015" s="7235"/>
    </row>
    <row customHeight="1" ht="11.25">
      <c r="A1016" s="1312" t="s">
        <v>1069</v>
      </c>
      <c r="B1016" s="1312" t="s">
        <v>1198</v>
      </c>
      <c r="C1016" s="1312"/>
      <c r="D1016" s="1306"/>
      <c r="E1016" s="1316"/>
      <c r="F1016" s="1974"/>
      <c r="G1016" s="7143" t="s">
        <v>106</v>
      </c>
      <c r="H1016" s="2674" t="s">
        <v>94</v>
      </c>
      <c r="I1016" s="2675" t="s">
        <v>1200</v>
      </c>
      <c r="J1016" s="2644" t="s">
        <v>1206</v>
      </c>
      <c r="K1016" s="2676" t="s">
        <v>1214</v>
      </c>
      <c r="L1016" s="2266" t="s">
        <v>19</v>
      </c>
      <c r="M1016" s="2267"/>
      <c r="N1016" s="2129"/>
      <c r="O1016" s="1323" t="s">
        <v>398</v>
      </c>
      <c r="P1016" s="1324"/>
      <c r="Q1016" s="1324"/>
      <c r="R1016" s="1324"/>
      <c r="S1016" s="1324"/>
      <c r="T1016" s="1324"/>
      <c r="U1016" s="1324"/>
      <c r="V1016" s="1324"/>
      <c r="W1016" s="1324"/>
      <c r="X1016" s="1324"/>
      <c r="Y1016" s="1324"/>
      <c r="Z1016" s="1324"/>
      <c r="AA1016" s="1324"/>
      <c r="AB1016" s="1324"/>
      <c r="AC1016" s="1324"/>
      <c r="AD1016" s="1324"/>
      <c r="AE1016" s="1324"/>
      <c r="AF1016" s="2665">
        <v>2029</v>
      </c>
      <c r="AG1016" s="2666" t="s">
        <v>1103</v>
      </c>
      <c r="AH1016" s="2666" t="s">
        <v>1215</v>
      </c>
      <c r="AI1016" s="8653"/>
      <c r="AJ1016" s="2666" t="s">
        <v>1105</v>
      </c>
      <c r="AK1016" s="2666" t="s">
        <v>1105</v>
      </c>
      <c r="AL1016" s="2131"/>
      <c r="AM1016" s="1968"/>
      <c r="AN1016" s="1968"/>
      <c r="AO1016" s="1968"/>
      <c r="AP1016" s="1968"/>
      <c r="AQ1016" s="1968"/>
      <c r="AR1016" s="1968"/>
      <c r="AS1016" s="1968"/>
      <c r="AT1016" s="1968"/>
      <c r="AU1016" s="1968"/>
      <c r="AV1016" s="1968"/>
      <c r="AW1016" s="1968"/>
      <c r="AX1016" s="1968"/>
      <c r="AY1016" s="1968"/>
      <c r="AZ1016" s="1968"/>
      <c r="BA1016" s="1968"/>
      <c r="BB1016" s="1968"/>
      <c r="BC1016" s="1968"/>
      <c r="BD1016" s="1968"/>
      <c r="BE1016" s="1968"/>
      <c r="BF1016" s="1968"/>
      <c r="BG1016" s="7235"/>
    </row>
    <row customHeight="1" ht="11.25">
      <c r="A1017" s="1312" t="s">
        <v>1069</v>
      </c>
      <c r="B1017" s="1312"/>
      <c r="C1017" s="1312"/>
      <c r="D1017" s="1306"/>
      <c r="E1017" s="1316"/>
      <c r="F1017" s="1974"/>
      <c r="G1017" s="1975"/>
      <c r="H1017" s="2674" t="s">
        <v>94</v>
      </c>
      <c r="I1017" s="2675"/>
      <c r="J1017" s="2644"/>
      <c r="K1017" s="2676"/>
      <c r="L1017" s="2266"/>
      <c r="M1017" s="2267"/>
      <c r="N1017" s="2667"/>
      <c r="O1017" s="2668">
        <v>1</v>
      </c>
      <c r="P1017" s="2669" t="s">
        <v>63</v>
      </c>
      <c r="Q1017" s="8654" t="s">
        <v>1208</v>
      </c>
      <c r="R1017" s="8655" t="s">
        <v>1114</v>
      </c>
      <c r="S1017" s="8655" t="s">
        <v>113</v>
      </c>
      <c r="T1017" s="8655" t="s">
        <v>113</v>
      </c>
      <c r="U1017" s="8655" t="s">
        <v>114</v>
      </c>
      <c r="V1017" s="8655" t="s">
        <v>1115</v>
      </c>
      <c r="W1017" s="8655" t="s">
        <v>1116</v>
      </c>
      <c r="X1017" s="8655" t="s">
        <v>1209</v>
      </c>
      <c r="Y1017" s="8655" t="s">
        <v>121</v>
      </c>
      <c r="Z1017" s="1321"/>
      <c r="AA1017" s="1322"/>
      <c r="AB1017" s="1322"/>
      <c r="AC1017" s="1326"/>
      <c r="AD1017" s="1326"/>
      <c r="AE1017" s="1327"/>
      <c r="AF1017" s="2665"/>
      <c r="AG1017" s="2666"/>
      <c r="AH1017" s="2666"/>
      <c r="AI1017" s="8653"/>
      <c r="AJ1017" s="2666"/>
      <c r="AK1017" s="2666"/>
      <c r="AL1017" s="2131"/>
      <c r="AM1017" s="1968"/>
      <c r="AN1017" s="1968"/>
      <c r="AO1017" s="1968"/>
      <c r="AP1017" s="1968"/>
      <c r="AQ1017" s="1968"/>
      <c r="AR1017" s="1968"/>
      <c r="AS1017" s="1968"/>
      <c r="AT1017" s="1968"/>
      <c r="AU1017" s="1968"/>
      <c r="AV1017" s="1968"/>
      <c r="AW1017" s="1968"/>
      <c r="AX1017" s="1968"/>
      <c r="AY1017" s="1968"/>
      <c r="AZ1017" s="1968"/>
      <c r="BA1017" s="1968"/>
      <c r="BB1017" s="1968"/>
      <c r="BC1017" s="1968"/>
      <c r="BD1017" s="1968"/>
      <c r="BE1017" s="1968"/>
      <c r="BF1017" s="1968"/>
      <c r="BG1017" s="7235"/>
    </row>
    <row customHeight="1" ht="11.25">
      <c r="A1018" s="1312" t="s">
        <v>1069</v>
      </c>
      <c r="B1018" s="1312"/>
      <c r="C1018" s="1312"/>
      <c r="D1018" s="1306"/>
      <c r="E1018" s="1316"/>
      <c r="F1018" s="1974"/>
      <c r="G1018" s="1975"/>
      <c r="H1018" s="2674" t="s">
        <v>94</v>
      </c>
      <c r="I1018" s="2675"/>
      <c r="J1018" s="2644"/>
      <c r="K1018" s="2676"/>
      <c r="L1018" s="2266"/>
      <c r="M1018" s="2267"/>
      <c r="N1018" s="2667"/>
      <c r="O1018" s="2668"/>
      <c r="P1018" s="2670"/>
      <c r="Q1018" s="8654"/>
      <c r="R1018" s="2672"/>
      <c r="S1018" s="2673"/>
      <c r="T1018" s="2672"/>
      <c r="U1018" s="2672"/>
      <c r="V1018" s="2672"/>
      <c r="W1018" s="2672"/>
      <c r="X1018" s="2672"/>
      <c r="Y1018" s="2672"/>
      <c r="Z1018" s="1973"/>
      <c r="AA1018" s="1939">
        <v>1</v>
      </c>
      <c r="AB1018" s="1325" t="s">
        <v>1131</v>
      </c>
      <c r="AC1018" s="1315">
        <v>9521</v>
      </c>
      <c r="AD1018" s="1325" t="str">
        <f>AB1018</f>
        <v>      Прочие амортизационные отчисления</v>
      </c>
      <c r="AE1018" s="1315">
        <v>0</v>
      </c>
      <c r="AF1018" s="2665"/>
      <c r="AG1018" s="2666"/>
      <c r="AH1018" s="2666"/>
      <c r="AI1018" s="8653"/>
      <c r="AJ1018" s="2666"/>
      <c r="AK1018" s="2666"/>
      <c r="AL1018" s="2131"/>
      <c r="AM1018" s="1968"/>
      <c r="AN1018" s="1968"/>
      <c r="AO1018" s="1968"/>
      <c r="AP1018" s="1968"/>
      <c r="AQ1018" s="1968"/>
      <c r="AR1018" s="1968"/>
      <c r="AS1018" s="1968"/>
      <c r="AT1018" s="1968"/>
      <c r="AU1018" s="1968"/>
      <c r="AV1018" s="1968"/>
      <c r="AW1018" s="1968"/>
      <c r="AX1018" s="1968"/>
      <c r="AY1018" s="1968"/>
      <c r="AZ1018" s="1968"/>
      <c r="BA1018" s="1968"/>
      <c r="BB1018" s="1968"/>
      <c r="BC1018" s="1968"/>
      <c r="BD1018" s="1968"/>
      <c r="BE1018" s="1968"/>
      <c r="BF1018" s="1968"/>
      <c r="BG1018" s="7235"/>
    </row>
    <row customHeight="1" ht="11.25">
      <c r="A1019" s="1312" t="s">
        <v>1069</v>
      </c>
      <c r="B1019" s="1312"/>
      <c r="C1019" s="1312"/>
      <c r="D1019" s="1306"/>
      <c r="E1019" s="1316"/>
      <c r="F1019" s="1975"/>
      <c r="G1019" s="1975"/>
      <c r="H1019" s="1975"/>
      <c r="I1019" s="1975"/>
      <c r="J1019" s="1975"/>
      <c r="K1019" s="1975"/>
      <c r="L1019" s="1975"/>
      <c r="M1019" s="1975"/>
      <c r="N1019" s="1975"/>
      <c r="O1019" s="1975"/>
      <c r="P1019" s="1975"/>
      <c r="Q1019" s="1975"/>
      <c r="R1019" s="1975"/>
      <c r="S1019" s="1975"/>
      <c r="T1019" s="1975"/>
      <c r="U1019" s="1975"/>
      <c r="V1019" s="1975"/>
      <c r="W1019" s="1975"/>
      <c r="X1019" s="1975"/>
      <c r="Y1019" s="1975"/>
      <c r="Z1019" s="7143" t="s">
        <v>106</v>
      </c>
      <c r="AA1019" s="1959" t="s">
        <v>105</v>
      </c>
      <c r="AB1019" s="1325" t="s">
        <v>1210</v>
      </c>
      <c r="AC1019" s="1315">
        <v>506613</v>
      </c>
      <c r="AD1019" s="1325" t="str">
        <f>AB1019</f>
        <v>  Кредиты</v>
      </c>
      <c r="AE1019" s="1315">
        <v>0</v>
      </c>
      <c r="AF1019" s="2232"/>
      <c r="AG1019" s="1904"/>
      <c r="AH1019" s="1904"/>
      <c r="AI1019" s="8656"/>
      <c r="AJ1019" s="1904"/>
      <c r="AK1019" s="2130"/>
      <c r="AL1019" s="2131"/>
      <c r="AM1019" s="1968"/>
      <c r="AN1019" s="1968"/>
      <c r="AO1019" s="1968"/>
      <c r="AP1019" s="1968"/>
      <c r="AQ1019" s="1968"/>
      <c r="AR1019" s="1968"/>
      <c r="AS1019" s="1968"/>
      <c r="AT1019" s="1968"/>
      <c r="AU1019" s="1968"/>
      <c r="AV1019" s="1968"/>
      <c r="AW1019" s="1968"/>
      <c r="AX1019" s="1968"/>
      <c r="AY1019" s="1968"/>
      <c r="AZ1019" s="1968"/>
      <c r="BA1019" s="1968"/>
      <c r="BB1019" s="1968"/>
      <c r="BC1019" s="1968"/>
      <c r="BD1019" s="1968"/>
      <c r="BE1019" s="1968"/>
      <c r="BF1019" s="1968"/>
      <c r="BG1019" s="7235"/>
    </row>
    <row customHeight="1" ht="11.25">
      <c r="A1020" s="1312" t="s">
        <v>1069</v>
      </c>
      <c r="B1020" s="1312"/>
      <c r="C1020" s="1312"/>
      <c r="D1020" s="1306"/>
      <c r="E1020" s="1316"/>
      <c r="F1020" s="1974"/>
      <c r="G1020" s="1975"/>
      <c r="H1020" s="2674" t="s">
        <v>94</v>
      </c>
      <c r="I1020" s="2675"/>
      <c r="J1020" s="2644"/>
      <c r="K1020" s="2676"/>
      <c r="L1020" s="2266"/>
      <c r="M1020" s="2267"/>
      <c r="N1020" s="2667"/>
      <c r="O1020" s="2668"/>
      <c r="P1020" s="2671"/>
      <c r="Q1020" s="8654"/>
      <c r="R1020" s="2672"/>
      <c r="S1020" s="2673"/>
      <c r="T1020" s="2672"/>
      <c r="U1020" s="2672"/>
      <c r="V1020" s="2672"/>
      <c r="W1020" s="2672"/>
      <c r="X1020" s="2672"/>
      <c r="Y1020" s="2672"/>
      <c r="Z1020" s="1321"/>
      <c r="AA1020" s="1322"/>
      <c r="AB1020" s="1387" t="s">
        <v>1107</v>
      </c>
      <c r="AC1020" s="1326"/>
      <c r="AD1020" s="1326"/>
      <c r="AE1020" s="1328"/>
      <c r="AF1020" s="2665"/>
      <c r="AG1020" s="2666"/>
      <c r="AH1020" s="2666"/>
      <c r="AI1020" s="8653"/>
      <c r="AJ1020" s="2666"/>
      <c r="AK1020" s="2666"/>
      <c r="AL1020" s="2131"/>
      <c r="AM1020" s="1968"/>
      <c r="AN1020" s="1968"/>
      <c r="AO1020" s="1968"/>
      <c r="AP1020" s="1968"/>
      <c r="AQ1020" s="1968"/>
      <c r="AR1020" s="1968"/>
      <c r="AS1020" s="1968"/>
      <c r="AT1020" s="1968"/>
      <c r="AU1020" s="1968"/>
      <c r="AV1020" s="1968"/>
      <c r="AW1020" s="1968"/>
      <c r="AX1020" s="1968"/>
      <c r="AY1020" s="1968"/>
      <c r="AZ1020" s="1968"/>
      <c r="BA1020" s="1968"/>
      <c r="BB1020" s="1968"/>
      <c r="BC1020" s="1968"/>
      <c r="BD1020" s="1968"/>
      <c r="BE1020" s="1968"/>
      <c r="BF1020" s="1968"/>
      <c r="BG1020" s="7235"/>
    </row>
    <row customHeight="1" ht="11.25">
      <c r="A1021" s="1312" t="s">
        <v>1069</v>
      </c>
      <c r="B1021" s="1312"/>
      <c r="C1021" s="1312"/>
      <c r="D1021" s="1306"/>
      <c r="E1021" s="1316"/>
      <c r="F1021" s="1974"/>
      <c r="G1021" s="1975"/>
      <c r="H1021" s="2674" t="s">
        <v>94</v>
      </c>
      <c r="I1021" s="2675"/>
      <c r="J1021" s="2644"/>
      <c r="K1021" s="2676"/>
      <c r="L1021" s="2266"/>
      <c r="M1021" s="2267"/>
      <c r="N1021" s="1321"/>
      <c r="O1021" s="1322"/>
      <c r="P1021" s="1314" t="s">
        <v>1108</v>
      </c>
      <c r="Q1021" s="1322"/>
      <c r="R1021" s="1322"/>
      <c r="S1021" s="1322"/>
      <c r="T1021" s="1322"/>
      <c r="U1021" s="1322"/>
      <c r="V1021" s="1322"/>
      <c r="W1021" s="1322"/>
      <c r="X1021" s="1322"/>
      <c r="Y1021" s="1322"/>
      <c r="Z1021" s="1322"/>
      <c r="AA1021" s="1322"/>
      <c r="AB1021" s="1322"/>
      <c r="AC1021" s="1322"/>
      <c r="AD1021" s="1322"/>
      <c r="AE1021" s="1329"/>
      <c r="AF1021" s="2665"/>
      <c r="AG1021" s="2666"/>
      <c r="AH1021" s="2666"/>
      <c r="AI1021" s="8653"/>
      <c r="AJ1021" s="2666"/>
      <c r="AK1021" s="2666"/>
      <c r="AL1021" s="2131"/>
      <c r="AM1021" s="1968"/>
      <c r="AN1021" s="1968"/>
      <c r="AO1021" s="1968"/>
      <c r="AP1021" s="1968"/>
      <c r="AQ1021" s="1968"/>
      <c r="AR1021" s="1968"/>
      <c r="AS1021" s="1968"/>
      <c r="AT1021" s="1968"/>
      <c r="AU1021" s="1968"/>
      <c r="AV1021" s="1968"/>
      <c r="AW1021" s="1968"/>
      <c r="AX1021" s="1968"/>
      <c r="AY1021" s="1968"/>
      <c r="AZ1021" s="1968"/>
      <c r="BA1021" s="1968"/>
      <c r="BB1021" s="1968"/>
      <c r="BC1021" s="1968"/>
      <c r="BD1021" s="1968"/>
      <c r="BE1021" s="1968"/>
      <c r="BF1021" s="1968"/>
      <c r="BG1021" s="7235"/>
    </row>
    <row customHeight="1" ht="11.25">
      <c r="A1022" s="1312" t="s">
        <v>1069</v>
      </c>
      <c r="B1022" s="1312" t="s">
        <v>1198</v>
      </c>
      <c r="C1022" s="1312"/>
      <c r="D1022" s="1306"/>
      <c r="E1022" s="1316"/>
      <c r="F1022" s="1974"/>
      <c r="G1022" s="7143" t="s">
        <v>106</v>
      </c>
      <c r="H1022" s="2674" t="s">
        <v>123</v>
      </c>
      <c r="I1022" s="2675" t="s">
        <v>1200</v>
      </c>
      <c r="J1022" s="2644" t="s">
        <v>1206</v>
      </c>
      <c r="K1022" s="2676" t="s">
        <v>1294</v>
      </c>
      <c r="L1022" s="2266" t="s">
        <v>19</v>
      </c>
      <c r="M1022" s="2267"/>
      <c r="N1022" s="2129"/>
      <c r="O1022" s="1323" t="s">
        <v>398</v>
      </c>
      <c r="P1022" s="1324"/>
      <c r="Q1022" s="1324"/>
      <c r="R1022" s="1324"/>
      <c r="S1022" s="1324"/>
      <c r="T1022" s="1324"/>
      <c r="U1022" s="1324"/>
      <c r="V1022" s="1324"/>
      <c r="W1022" s="1324"/>
      <c r="X1022" s="1324"/>
      <c r="Y1022" s="1324"/>
      <c r="Z1022" s="1324"/>
      <c r="AA1022" s="1324"/>
      <c r="AB1022" s="1324"/>
      <c r="AC1022" s="1324"/>
      <c r="AD1022" s="1324"/>
      <c r="AE1022" s="1324"/>
      <c r="AF1022" s="2665">
        <v>2028</v>
      </c>
      <c r="AG1022" s="2666" t="s">
        <v>1103</v>
      </c>
      <c r="AH1022" s="2666" t="s">
        <v>1228</v>
      </c>
      <c r="AI1022" s="8653"/>
      <c r="AJ1022" s="2666" t="s">
        <v>1105</v>
      </c>
      <c r="AK1022" s="2666" t="s">
        <v>1105</v>
      </c>
      <c r="AL1022" s="2131"/>
      <c r="AM1022" s="1968"/>
      <c r="AN1022" s="1968"/>
      <c r="AO1022" s="1968"/>
      <c r="AP1022" s="1968"/>
      <c r="AQ1022" s="1968"/>
      <c r="AR1022" s="1968"/>
      <c r="AS1022" s="1968"/>
      <c r="AT1022" s="1968"/>
      <c r="AU1022" s="1968"/>
      <c r="AV1022" s="1968"/>
      <c r="AW1022" s="1968"/>
      <c r="AX1022" s="1968"/>
      <c r="AY1022" s="1968"/>
      <c r="AZ1022" s="1968"/>
      <c r="BA1022" s="1968"/>
      <c r="BB1022" s="1968"/>
      <c r="BC1022" s="1968"/>
      <c r="BD1022" s="1968"/>
      <c r="BE1022" s="1968"/>
      <c r="BF1022" s="1968"/>
      <c r="BG1022" s="7235"/>
    </row>
    <row customHeight="1" ht="11.25">
      <c r="A1023" s="1312" t="s">
        <v>1069</v>
      </c>
      <c r="B1023" s="1312"/>
      <c r="C1023" s="1312"/>
      <c r="D1023" s="1306"/>
      <c r="E1023" s="1316"/>
      <c r="F1023" s="1974"/>
      <c r="G1023" s="1975"/>
      <c r="H1023" s="2674" t="s">
        <v>123</v>
      </c>
      <c r="I1023" s="2675"/>
      <c r="J1023" s="2644"/>
      <c r="K1023" s="2676"/>
      <c r="L1023" s="2266"/>
      <c r="M1023" s="2267"/>
      <c r="N1023" s="2667"/>
      <c r="O1023" s="2668">
        <v>1</v>
      </c>
      <c r="P1023" s="2669" t="s">
        <v>63</v>
      </c>
      <c r="Q1023" s="8654" t="s">
        <v>1208</v>
      </c>
      <c r="R1023" s="8655" t="s">
        <v>1114</v>
      </c>
      <c r="S1023" s="8655" t="s">
        <v>113</v>
      </c>
      <c r="T1023" s="8655" t="s">
        <v>113</v>
      </c>
      <c r="U1023" s="8655" t="s">
        <v>114</v>
      </c>
      <c r="V1023" s="8655" t="s">
        <v>1115</v>
      </c>
      <c r="W1023" s="8655" t="s">
        <v>1116</v>
      </c>
      <c r="X1023" s="8655" t="s">
        <v>1209</v>
      </c>
      <c r="Y1023" s="8655" t="s">
        <v>121</v>
      </c>
      <c r="Z1023" s="1321"/>
      <c r="AA1023" s="1322"/>
      <c r="AB1023" s="1322"/>
      <c r="AC1023" s="1326"/>
      <c r="AD1023" s="1326"/>
      <c r="AE1023" s="1327"/>
      <c r="AF1023" s="2665"/>
      <c r="AG1023" s="2666"/>
      <c r="AH1023" s="2666"/>
      <c r="AI1023" s="8653"/>
      <c r="AJ1023" s="2666"/>
      <c r="AK1023" s="2666"/>
      <c r="AL1023" s="2131"/>
      <c r="AM1023" s="1968"/>
      <c r="AN1023" s="1968"/>
      <c r="AO1023" s="1968"/>
      <c r="AP1023" s="1968"/>
      <c r="AQ1023" s="1968"/>
      <c r="AR1023" s="1968"/>
      <c r="AS1023" s="1968"/>
      <c r="AT1023" s="1968"/>
      <c r="AU1023" s="1968"/>
      <c r="AV1023" s="1968"/>
      <c r="AW1023" s="1968"/>
      <c r="AX1023" s="1968"/>
      <c r="AY1023" s="1968"/>
      <c r="AZ1023" s="1968"/>
      <c r="BA1023" s="1968"/>
      <c r="BB1023" s="1968"/>
      <c r="BC1023" s="1968"/>
      <c r="BD1023" s="1968"/>
      <c r="BE1023" s="1968"/>
      <c r="BF1023" s="1968"/>
      <c r="BG1023" s="7235"/>
    </row>
    <row customHeight="1" ht="11.25">
      <c r="A1024" s="1312" t="s">
        <v>1069</v>
      </c>
      <c r="B1024" s="1312"/>
      <c r="C1024" s="1312"/>
      <c r="D1024" s="1306"/>
      <c r="E1024" s="1316"/>
      <c r="F1024" s="1974"/>
      <c r="G1024" s="1975"/>
      <c r="H1024" s="2674" t="s">
        <v>123</v>
      </c>
      <c r="I1024" s="2675"/>
      <c r="J1024" s="2644"/>
      <c r="K1024" s="2676"/>
      <c r="L1024" s="2266"/>
      <c r="M1024" s="2267"/>
      <c r="N1024" s="2667"/>
      <c r="O1024" s="2668"/>
      <c r="P1024" s="2670"/>
      <c r="Q1024" s="8654"/>
      <c r="R1024" s="2672"/>
      <c r="S1024" s="2673"/>
      <c r="T1024" s="2672"/>
      <c r="U1024" s="2672"/>
      <c r="V1024" s="2672"/>
      <c r="W1024" s="2672"/>
      <c r="X1024" s="2672"/>
      <c r="Y1024" s="2672"/>
      <c r="Z1024" s="1973"/>
      <c r="AA1024" s="1939">
        <v>1</v>
      </c>
      <c r="AB1024" s="1325" t="s">
        <v>1131</v>
      </c>
      <c r="AC1024" s="1315">
        <v>227285</v>
      </c>
      <c r="AD1024" s="1325" t="str">
        <f>AB1024</f>
        <v>      Прочие амортизационные отчисления</v>
      </c>
      <c r="AE1024" s="1315">
        <v>0</v>
      </c>
      <c r="AF1024" s="2665"/>
      <c r="AG1024" s="2666"/>
      <c r="AH1024" s="2666"/>
      <c r="AI1024" s="8653"/>
      <c r="AJ1024" s="2666"/>
      <c r="AK1024" s="2666"/>
      <c r="AL1024" s="2131"/>
      <c r="AM1024" s="1968"/>
      <c r="AN1024" s="1968"/>
      <c r="AO1024" s="1968"/>
      <c r="AP1024" s="1968"/>
      <c r="AQ1024" s="1968"/>
      <c r="AR1024" s="1968"/>
      <c r="AS1024" s="1968"/>
      <c r="AT1024" s="1968"/>
      <c r="AU1024" s="1968"/>
      <c r="AV1024" s="1968"/>
      <c r="AW1024" s="1968"/>
      <c r="AX1024" s="1968"/>
      <c r="AY1024" s="1968"/>
      <c r="AZ1024" s="1968"/>
      <c r="BA1024" s="1968"/>
      <c r="BB1024" s="1968"/>
      <c r="BC1024" s="1968"/>
      <c r="BD1024" s="1968"/>
      <c r="BE1024" s="1968"/>
      <c r="BF1024" s="1968"/>
      <c r="BG1024" s="7235"/>
    </row>
    <row customHeight="1" ht="11.25">
      <c r="A1025" s="1312" t="s">
        <v>1069</v>
      </c>
      <c r="B1025" s="1312"/>
      <c r="C1025" s="1312"/>
      <c r="D1025" s="1306"/>
      <c r="E1025" s="1316"/>
      <c r="F1025" s="1974"/>
      <c r="G1025" s="1975"/>
      <c r="H1025" s="2674" t="s">
        <v>123</v>
      </c>
      <c r="I1025" s="2675"/>
      <c r="J1025" s="2644"/>
      <c r="K1025" s="2676"/>
      <c r="L1025" s="2266"/>
      <c r="M1025" s="2267"/>
      <c r="N1025" s="2667"/>
      <c r="O1025" s="2668"/>
      <c r="P1025" s="2671"/>
      <c r="Q1025" s="8654"/>
      <c r="R1025" s="2672"/>
      <c r="S1025" s="2673"/>
      <c r="T1025" s="2672"/>
      <c r="U1025" s="2672"/>
      <c r="V1025" s="2672"/>
      <c r="W1025" s="2672"/>
      <c r="X1025" s="2672"/>
      <c r="Y1025" s="2672"/>
      <c r="Z1025" s="1321"/>
      <c r="AA1025" s="1322"/>
      <c r="AB1025" s="1387" t="s">
        <v>1107</v>
      </c>
      <c r="AC1025" s="1326"/>
      <c r="AD1025" s="1326"/>
      <c r="AE1025" s="1328"/>
      <c r="AF1025" s="2665"/>
      <c r="AG1025" s="2666"/>
      <c r="AH1025" s="2666"/>
      <c r="AI1025" s="8653"/>
      <c r="AJ1025" s="2666"/>
      <c r="AK1025" s="2666"/>
      <c r="AL1025" s="2131"/>
      <c r="AM1025" s="1968"/>
      <c r="AN1025" s="1968"/>
      <c r="AO1025" s="1968"/>
      <c r="AP1025" s="1968"/>
      <c r="AQ1025" s="1968"/>
      <c r="AR1025" s="1968"/>
      <c r="AS1025" s="1968"/>
      <c r="AT1025" s="1968"/>
      <c r="AU1025" s="1968"/>
      <c r="AV1025" s="1968"/>
      <c r="AW1025" s="1968"/>
      <c r="AX1025" s="1968"/>
      <c r="AY1025" s="1968"/>
      <c r="AZ1025" s="1968"/>
      <c r="BA1025" s="1968"/>
      <c r="BB1025" s="1968"/>
      <c r="BC1025" s="1968"/>
      <c r="BD1025" s="1968"/>
      <c r="BE1025" s="1968"/>
      <c r="BF1025" s="1968"/>
      <c r="BG1025" s="7235"/>
    </row>
    <row customHeight="1" ht="11.25">
      <c r="A1026" s="1312" t="s">
        <v>1069</v>
      </c>
      <c r="B1026" s="1312"/>
      <c r="C1026" s="1312"/>
      <c r="D1026" s="1306"/>
      <c r="E1026" s="1316"/>
      <c r="F1026" s="1974"/>
      <c r="G1026" s="1975"/>
      <c r="H1026" s="2674" t="s">
        <v>123</v>
      </c>
      <c r="I1026" s="2675"/>
      <c r="J1026" s="2644"/>
      <c r="K1026" s="2676"/>
      <c r="L1026" s="2266"/>
      <c r="M1026" s="2267"/>
      <c r="N1026" s="1321"/>
      <c r="O1026" s="1322"/>
      <c r="P1026" s="1314" t="s">
        <v>1108</v>
      </c>
      <c r="Q1026" s="1322"/>
      <c r="R1026" s="1322"/>
      <c r="S1026" s="1322"/>
      <c r="T1026" s="1322"/>
      <c r="U1026" s="1322"/>
      <c r="V1026" s="1322"/>
      <c r="W1026" s="1322"/>
      <c r="X1026" s="1322"/>
      <c r="Y1026" s="1322"/>
      <c r="Z1026" s="1322"/>
      <c r="AA1026" s="1322"/>
      <c r="AB1026" s="1322"/>
      <c r="AC1026" s="1322"/>
      <c r="AD1026" s="1322"/>
      <c r="AE1026" s="1329"/>
      <c r="AF1026" s="2665"/>
      <c r="AG1026" s="2666"/>
      <c r="AH1026" s="2666"/>
      <c r="AI1026" s="8653"/>
      <c r="AJ1026" s="2666"/>
      <c r="AK1026" s="2666"/>
      <c r="AL1026" s="2131"/>
      <c r="AM1026" s="1968"/>
      <c r="AN1026" s="1968"/>
      <c r="AO1026" s="1968"/>
      <c r="AP1026" s="1968"/>
      <c r="AQ1026" s="1968"/>
      <c r="AR1026" s="1968"/>
      <c r="AS1026" s="1968"/>
      <c r="AT1026" s="1968"/>
      <c r="AU1026" s="1968"/>
      <c r="AV1026" s="1968"/>
      <c r="AW1026" s="1968"/>
      <c r="AX1026" s="1968"/>
      <c r="AY1026" s="1968"/>
      <c r="AZ1026" s="1968"/>
      <c r="BA1026" s="1968"/>
      <c r="BB1026" s="1968"/>
      <c r="BC1026" s="1968"/>
      <c r="BD1026" s="1968"/>
      <c r="BE1026" s="1968"/>
      <c r="BF1026" s="1968"/>
      <c r="BG1026" s="7235"/>
    </row>
    <row customHeight="1" ht="11.25">
      <c r="A1027" s="1312" t="s">
        <v>1069</v>
      </c>
      <c r="B1027" s="1312" t="s">
        <v>1198</v>
      </c>
      <c r="C1027" s="1312"/>
      <c r="D1027" s="1306"/>
      <c r="E1027" s="1316"/>
      <c r="F1027" s="1974"/>
      <c r="G1027" s="7143" t="s">
        <v>106</v>
      </c>
      <c r="H1027" s="2674" t="s">
        <v>172</v>
      </c>
      <c r="I1027" s="2675" t="s">
        <v>1200</v>
      </c>
      <c r="J1027" s="2644" t="s">
        <v>1206</v>
      </c>
      <c r="K1027" s="2676" t="s">
        <v>1227</v>
      </c>
      <c r="L1027" s="2266" t="s">
        <v>19</v>
      </c>
      <c r="M1027" s="2267"/>
      <c r="N1027" s="2129"/>
      <c r="O1027" s="1323" t="s">
        <v>398</v>
      </c>
      <c r="P1027" s="1324"/>
      <c r="Q1027" s="1324"/>
      <c r="R1027" s="1324"/>
      <c r="S1027" s="1324"/>
      <c r="T1027" s="1324"/>
      <c r="U1027" s="1324"/>
      <c r="V1027" s="1324"/>
      <c r="W1027" s="1324"/>
      <c r="X1027" s="1324"/>
      <c r="Y1027" s="1324"/>
      <c r="Z1027" s="1324"/>
      <c r="AA1027" s="1324"/>
      <c r="AB1027" s="1324"/>
      <c r="AC1027" s="1324"/>
      <c r="AD1027" s="1324"/>
      <c r="AE1027" s="1324"/>
      <c r="AF1027" s="2665">
        <v>2028</v>
      </c>
      <c r="AG1027" s="2666" t="s">
        <v>1103</v>
      </c>
      <c r="AH1027" s="2666" t="s">
        <v>1228</v>
      </c>
      <c r="AI1027" s="8653"/>
      <c r="AJ1027" s="2666" t="s">
        <v>1105</v>
      </c>
      <c r="AK1027" s="2666" t="s">
        <v>1105</v>
      </c>
      <c r="AL1027" s="2131"/>
      <c r="AM1027" s="1968"/>
      <c r="AN1027" s="1968"/>
      <c r="AO1027" s="1968"/>
      <c r="AP1027" s="1968"/>
      <c r="AQ1027" s="1968"/>
      <c r="AR1027" s="1968"/>
      <c r="AS1027" s="1968"/>
      <c r="AT1027" s="1968"/>
      <c r="AU1027" s="1968"/>
      <c r="AV1027" s="1968"/>
      <c r="AW1027" s="1968"/>
      <c r="AX1027" s="1968"/>
      <c r="AY1027" s="1968"/>
      <c r="AZ1027" s="1968"/>
      <c r="BA1027" s="1968"/>
      <c r="BB1027" s="1968"/>
      <c r="BC1027" s="1968"/>
      <c r="BD1027" s="1968"/>
      <c r="BE1027" s="1968"/>
      <c r="BF1027" s="1968"/>
      <c r="BG1027" s="7235"/>
    </row>
    <row customHeight="1" ht="11.25">
      <c r="A1028" s="1312" t="s">
        <v>1069</v>
      </c>
      <c r="B1028" s="1312"/>
      <c r="C1028" s="1312"/>
      <c r="D1028" s="1306"/>
      <c r="E1028" s="1316"/>
      <c r="F1028" s="1974"/>
      <c r="G1028" s="1975"/>
      <c r="H1028" s="2674" t="s">
        <v>172</v>
      </c>
      <c r="I1028" s="2675"/>
      <c r="J1028" s="2644"/>
      <c r="K1028" s="2676"/>
      <c r="L1028" s="2266"/>
      <c r="M1028" s="2267"/>
      <c r="N1028" s="2667"/>
      <c r="O1028" s="2668">
        <v>1</v>
      </c>
      <c r="P1028" s="2669" t="s">
        <v>63</v>
      </c>
      <c r="Q1028" s="8654" t="s">
        <v>1208</v>
      </c>
      <c r="R1028" s="8655" t="s">
        <v>1114</v>
      </c>
      <c r="S1028" s="8655" t="s">
        <v>113</v>
      </c>
      <c r="T1028" s="8655" t="s">
        <v>113</v>
      </c>
      <c r="U1028" s="8655" t="s">
        <v>114</v>
      </c>
      <c r="V1028" s="8655" t="s">
        <v>1115</v>
      </c>
      <c r="W1028" s="8655" t="s">
        <v>1116</v>
      </c>
      <c r="X1028" s="8655" t="s">
        <v>1209</v>
      </c>
      <c r="Y1028" s="8655" t="s">
        <v>121</v>
      </c>
      <c r="Z1028" s="1321"/>
      <c r="AA1028" s="1322"/>
      <c r="AB1028" s="1322"/>
      <c r="AC1028" s="1326"/>
      <c r="AD1028" s="1326"/>
      <c r="AE1028" s="1327"/>
      <c r="AF1028" s="2665"/>
      <c r="AG1028" s="2666"/>
      <c r="AH1028" s="2666"/>
      <c r="AI1028" s="8653"/>
      <c r="AJ1028" s="2666"/>
      <c r="AK1028" s="2666"/>
      <c r="AL1028" s="2131"/>
      <c r="AM1028" s="1968"/>
      <c r="AN1028" s="1968"/>
      <c r="AO1028" s="1968"/>
      <c r="AP1028" s="1968"/>
      <c r="AQ1028" s="1968"/>
      <c r="AR1028" s="1968"/>
      <c r="AS1028" s="1968"/>
      <c r="AT1028" s="1968"/>
      <c r="AU1028" s="1968"/>
      <c r="AV1028" s="1968"/>
      <c r="AW1028" s="1968"/>
      <c r="AX1028" s="1968"/>
      <c r="AY1028" s="1968"/>
      <c r="AZ1028" s="1968"/>
      <c r="BA1028" s="1968"/>
      <c r="BB1028" s="1968"/>
      <c r="BC1028" s="1968"/>
      <c r="BD1028" s="1968"/>
      <c r="BE1028" s="1968"/>
      <c r="BF1028" s="1968"/>
      <c r="BG1028" s="7235"/>
    </row>
    <row customHeight="1" ht="11.25">
      <c r="A1029" s="1312" t="s">
        <v>1069</v>
      </c>
      <c r="B1029" s="1312"/>
      <c r="C1029" s="1312"/>
      <c r="D1029" s="1306"/>
      <c r="E1029" s="1316"/>
      <c r="F1029" s="1974"/>
      <c r="G1029" s="1975"/>
      <c r="H1029" s="2674" t="s">
        <v>172</v>
      </c>
      <c r="I1029" s="2675"/>
      <c r="J1029" s="2644"/>
      <c r="K1029" s="2676"/>
      <c r="L1029" s="2266"/>
      <c r="M1029" s="2267"/>
      <c r="N1029" s="2667"/>
      <c r="O1029" s="2668"/>
      <c r="P1029" s="2670"/>
      <c r="Q1029" s="8654"/>
      <c r="R1029" s="2672"/>
      <c r="S1029" s="2673"/>
      <c r="T1029" s="2672"/>
      <c r="U1029" s="2672"/>
      <c r="V1029" s="2672"/>
      <c r="W1029" s="2672"/>
      <c r="X1029" s="2672"/>
      <c r="Y1029" s="2672"/>
      <c r="Z1029" s="1973"/>
      <c r="AA1029" s="1939">
        <v>1</v>
      </c>
      <c r="AB1029" s="1325" t="s">
        <v>1131</v>
      </c>
      <c r="AC1029" s="1315">
        <v>9462</v>
      </c>
      <c r="AD1029" s="1325" t="str">
        <f>AB1029</f>
        <v>      Прочие амортизационные отчисления</v>
      </c>
      <c r="AE1029" s="1315">
        <v>0</v>
      </c>
      <c r="AF1029" s="2665"/>
      <c r="AG1029" s="2666"/>
      <c r="AH1029" s="2666"/>
      <c r="AI1029" s="8653"/>
      <c r="AJ1029" s="2666"/>
      <c r="AK1029" s="2666"/>
      <c r="AL1029" s="2131"/>
      <c r="AM1029" s="1968"/>
      <c r="AN1029" s="1968"/>
      <c r="AO1029" s="1968"/>
      <c r="AP1029" s="1968"/>
      <c r="AQ1029" s="1968"/>
      <c r="AR1029" s="1968"/>
      <c r="AS1029" s="1968"/>
      <c r="AT1029" s="1968"/>
      <c r="AU1029" s="1968"/>
      <c r="AV1029" s="1968"/>
      <c r="AW1029" s="1968"/>
      <c r="AX1029" s="1968"/>
      <c r="AY1029" s="1968"/>
      <c r="AZ1029" s="1968"/>
      <c r="BA1029" s="1968"/>
      <c r="BB1029" s="1968"/>
      <c r="BC1029" s="1968"/>
      <c r="BD1029" s="1968"/>
      <c r="BE1029" s="1968"/>
      <c r="BF1029" s="1968"/>
      <c r="BG1029" s="7235"/>
    </row>
    <row customHeight="1" ht="11.25">
      <c r="A1030" s="1312" t="s">
        <v>1069</v>
      </c>
      <c r="B1030" s="1312"/>
      <c r="C1030" s="1312"/>
      <c r="D1030" s="1306"/>
      <c r="E1030" s="1316"/>
      <c r="F1030" s="1974"/>
      <c r="G1030" s="1975"/>
      <c r="H1030" s="2674" t="s">
        <v>172</v>
      </c>
      <c r="I1030" s="2675"/>
      <c r="J1030" s="2644"/>
      <c r="K1030" s="2676"/>
      <c r="L1030" s="2266"/>
      <c r="M1030" s="2267"/>
      <c r="N1030" s="2667"/>
      <c r="O1030" s="2668"/>
      <c r="P1030" s="2671"/>
      <c r="Q1030" s="8654"/>
      <c r="R1030" s="2672"/>
      <c r="S1030" s="2673"/>
      <c r="T1030" s="2672"/>
      <c r="U1030" s="2672"/>
      <c r="V1030" s="2672"/>
      <c r="W1030" s="2672"/>
      <c r="X1030" s="2672"/>
      <c r="Y1030" s="2672"/>
      <c r="Z1030" s="1321"/>
      <c r="AA1030" s="1322"/>
      <c r="AB1030" s="1387" t="s">
        <v>1107</v>
      </c>
      <c r="AC1030" s="1326"/>
      <c r="AD1030" s="1326"/>
      <c r="AE1030" s="1328"/>
      <c r="AF1030" s="2665"/>
      <c r="AG1030" s="2666"/>
      <c r="AH1030" s="2666"/>
      <c r="AI1030" s="8653"/>
      <c r="AJ1030" s="2666"/>
      <c r="AK1030" s="2666"/>
      <c r="AL1030" s="2131"/>
      <c r="AM1030" s="1968"/>
      <c r="AN1030" s="1968"/>
      <c r="AO1030" s="1968"/>
      <c r="AP1030" s="1968"/>
      <c r="AQ1030" s="1968"/>
      <c r="AR1030" s="1968"/>
      <c r="AS1030" s="1968"/>
      <c r="AT1030" s="1968"/>
      <c r="AU1030" s="1968"/>
      <c r="AV1030" s="1968"/>
      <c r="AW1030" s="1968"/>
      <c r="AX1030" s="1968"/>
      <c r="AY1030" s="1968"/>
      <c r="AZ1030" s="1968"/>
      <c r="BA1030" s="1968"/>
      <c r="BB1030" s="1968"/>
      <c r="BC1030" s="1968"/>
      <c r="BD1030" s="1968"/>
      <c r="BE1030" s="1968"/>
      <c r="BF1030" s="1968"/>
      <c r="BG1030" s="7235"/>
    </row>
    <row customHeight="1" ht="11.25">
      <c r="A1031" s="1312" t="s">
        <v>1069</v>
      </c>
      <c r="B1031" s="1312"/>
      <c r="C1031" s="1312"/>
      <c r="D1031" s="1306"/>
      <c r="E1031" s="1316"/>
      <c r="F1031" s="1974"/>
      <c r="G1031" s="1975"/>
      <c r="H1031" s="2674" t="s">
        <v>172</v>
      </c>
      <c r="I1031" s="2675"/>
      <c r="J1031" s="2644"/>
      <c r="K1031" s="2676"/>
      <c r="L1031" s="2266"/>
      <c r="M1031" s="2267"/>
      <c r="N1031" s="1321"/>
      <c r="O1031" s="1322"/>
      <c r="P1031" s="1314" t="s">
        <v>1108</v>
      </c>
      <c r="Q1031" s="1322"/>
      <c r="R1031" s="1322"/>
      <c r="S1031" s="1322"/>
      <c r="T1031" s="1322"/>
      <c r="U1031" s="1322"/>
      <c r="V1031" s="1322"/>
      <c r="W1031" s="1322"/>
      <c r="X1031" s="1322"/>
      <c r="Y1031" s="1322"/>
      <c r="Z1031" s="1322"/>
      <c r="AA1031" s="1322"/>
      <c r="AB1031" s="1322"/>
      <c r="AC1031" s="1322"/>
      <c r="AD1031" s="1322"/>
      <c r="AE1031" s="1329"/>
      <c r="AF1031" s="2665"/>
      <c r="AG1031" s="2666"/>
      <c r="AH1031" s="2666"/>
      <c r="AI1031" s="8653"/>
      <c r="AJ1031" s="2666"/>
      <c r="AK1031" s="2666"/>
      <c r="AL1031" s="2131"/>
      <c r="AM1031" s="1968"/>
      <c r="AN1031" s="1968"/>
      <c r="AO1031" s="1968"/>
      <c r="AP1031" s="1968"/>
      <c r="AQ1031" s="1968"/>
      <c r="AR1031" s="1968"/>
      <c r="AS1031" s="1968"/>
      <c r="AT1031" s="1968"/>
      <c r="AU1031" s="1968"/>
      <c r="AV1031" s="1968"/>
      <c r="AW1031" s="1968"/>
      <c r="AX1031" s="1968"/>
      <c r="AY1031" s="1968"/>
      <c r="AZ1031" s="1968"/>
      <c r="BA1031" s="1968"/>
      <c r="BB1031" s="1968"/>
      <c r="BC1031" s="1968"/>
      <c r="BD1031" s="1968"/>
      <c r="BE1031" s="1968"/>
      <c r="BF1031" s="1968"/>
      <c r="BG1031" s="7235"/>
    </row>
    <row customHeight="1" ht="11.25">
      <c r="A1032" s="1312" t="s">
        <v>1069</v>
      </c>
      <c r="B1032" s="1312" t="s">
        <v>1198</v>
      </c>
      <c r="C1032" s="1312"/>
      <c r="D1032" s="1306"/>
      <c r="E1032" s="1316"/>
      <c r="F1032" s="1974"/>
      <c r="G1032" s="7143" t="s">
        <v>106</v>
      </c>
      <c r="H1032" s="2674" t="s">
        <v>173</v>
      </c>
      <c r="I1032" s="2675" t="s">
        <v>1200</v>
      </c>
      <c r="J1032" s="2644" t="s">
        <v>1206</v>
      </c>
      <c r="K1032" s="2676" t="s">
        <v>1230</v>
      </c>
      <c r="L1032" s="2266" t="s">
        <v>19</v>
      </c>
      <c r="M1032" s="2267"/>
      <c r="N1032" s="2129"/>
      <c r="O1032" s="1323" t="s">
        <v>398</v>
      </c>
      <c r="P1032" s="1324"/>
      <c r="Q1032" s="1324"/>
      <c r="R1032" s="1324"/>
      <c r="S1032" s="1324"/>
      <c r="T1032" s="1324"/>
      <c r="U1032" s="1324"/>
      <c r="V1032" s="1324"/>
      <c r="W1032" s="1324"/>
      <c r="X1032" s="1324"/>
      <c r="Y1032" s="1324"/>
      <c r="Z1032" s="1324"/>
      <c r="AA1032" s="1324"/>
      <c r="AB1032" s="1324"/>
      <c r="AC1032" s="1324"/>
      <c r="AD1032" s="1324"/>
      <c r="AE1032" s="1324"/>
      <c r="AF1032" s="2665">
        <v>2028</v>
      </c>
      <c r="AG1032" s="2666" t="s">
        <v>1103</v>
      </c>
      <c r="AH1032" s="2666" t="s">
        <v>1228</v>
      </c>
      <c r="AI1032" s="8653"/>
      <c r="AJ1032" s="2666" t="s">
        <v>1105</v>
      </c>
      <c r="AK1032" s="2666" t="s">
        <v>1105</v>
      </c>
      <c r="AL1032" s="2131"/>
      <c r="AM1032" s="1968"/>
      <c r="AN1032" s="1968"/>
      <c r="AO1032" s="1968"/>
      <c r="AP1032" s="1968"/>
      <c r="AQ1032" s="1968"/>
      <c r="AR1032" s="1968"/>
      <c r="AS1032" s="1968"/>
      <c r="AT1032" s="1968"/>
      <c r="AU1032" s="1968"/>
      <c r="AV1032" s="1968"/>
      <c r="AW1032" s="1968"/>
      <c r="AX1032" s="1968"/>
      <c r="AY1032" s="1968"/>
      <c r="AZ1032" s="1968"/>
      <c r="BA1032" s="1968"/>
      <c r="BB1032" s="1968"/>
      <c r="BC1032" s="1968"/>
      <c r="BD1032" s="1968"/>
      <c r="BE1032" s="1968"/>
      <c r="BF1032" s="1968"/>
      <c r="BG1032" s="7235"/>
    </row>
    <row customHeight="1" ht="11.25">
      <c r="A1033" s="1312" t="s">
        <v>1069</v>
      </c>
      <c r="B1033" s="1312"/>
      <c r="C1033" s="1312"/>
      <c r="D1033" s="1306"/>
      <c r="E1033" s="1316"/>
      <c r="F1033" s="1974"/>
      <c r="G1033" s="1975"/>
      <c r="H1033" s="2674" t="s">
        <v>173</v>
      </c>
      <c r="I1033" s="2675"/>
      <c r="J1033" s="2644"/>
      <c r="K1033" s="2676"/>
      <c r="L1033" s="2266"/>
      <c r="M1033" s="2267"/>
      <c r="N1033" s="2667"/>
      <c r="O1033" s="2668">
        <v>1</v>
      </c>
      <c r="P1033" s="2669" t="s">
        <v>63</v>
      </c>
      <c r="Q1033" s="8654" t="s">
        <v>1208</v>
      </c>
      <c r="R1033" s="8655" t="s">
        <v>1114</v>
      </c>
      <c r="S1033" s="8655" t="s">
        <v>113</v>
      </c>
      <c r="T1033" s="8655" t="s">
        <v>113</v>
      </c>
      <c r="U1033" s="8655" t="s">
        <v>114</v>
      </c>
      <c r="V1033" s="8655" t="s">
        <v>1115</v>
      </c>
      <c r="W1033" s="8655" t="s">
        <v>1116</v>
      </c>
      <c r="X1033" s="8655" t="s">
        <v>1209</v>
      </c>
      <c r="Y1033" s="8655" t="s">
        <v>121</v>
      </c>
      <c r="Z1033" s="1321"/>
      <c r="AA1033" s="1322"/>
      <c r="AB1033" s="1322"/>
      <c r="AC1033" s="1326"/>
      <c r="AD1033" s="1326"/>
      <c r="AE1033" s="1327"/>
      <c r="AF1033" s="2665"/>
      <c r="AG1033" s="2666"/>
      <c r="AH1033" s="2666"/>
      <c r="AI1033" s="8653"/>
      <c r="AJ1033" s="2666"/>
      <c r="AK1033" s="2666"/>
      <c r="AL1033" s="2131"/>
      <c r="AM1033" s="1968"/>
      <c r="AN1033" s="1968"/>
      <c r="AO1033" s="1968"/>
      <c r="AP1033" s="1968"/>
      <c r="AQ1033" s="1968"/>
      <c r="AR1033" s="1968"/>
      <c r="AS1033" s="1968"/>
      <c r="AT1033" s="1968"/>
      <c r="AU1033" s="1968"/>
      <c r="AV1033" s="1968"/>
      <c r="AW1033" s="1968"/>
      <c r="AX1033" s="1968"/>
      <c r="AY1033" s="1968"/>
      <c r="AZ1033" s="1968"/>
      <c r="BA1033" s="1968"/>
      <c r="BB1033" s="1968"/>
      <c r="BC1033" s="1968"/>
      <c r="BD1033" s="1968"/>
      <c r="BE1033" s="1968"/>
      <c r="BF1033" s="1968"/>
      <c r="BG1033" s="7235"/>
    </row>
    <row customHeight="1" ht="11.25">
      <c r="A1034" s="1312" t="s">
        <v>1069</v>
      </c>
      <c r="B1034" s="1312"/>
      <c r="C1034" s="1312"/>
      <c r="D1034" s="1306"/>
      <c r="E1034" s="1316"/>
      <c r="F1034" s="1974"/>
      <c r="G1034" s="1975"/>
      <c r="H1034" s="2674" t="s">
        <v>173</v>
      </c>
      <c r="I1034" s="2675"/>
      <c r="J1034" s="2644"/>
      <c r="K1034" s="2676"/>
      <c r="L1034" s="2266"/>
      <c r="M1034" s="2267"/>
      <c r="N1034" s="2667"/>
      <c r="O1034" s="2668"/>
      <c r="P1034" s="2670"/>
      <c r="Q1034" s="8654"/>
      <c r="R1034" s="2672"/>
      <c r="S1034" s="2673"/>
      <c r="T1034" s="2672"/>
      <c r="U1034" s="2672"/>
      <c r="V1034" s="2672"/>
      <c r="W1034" s="2672"/>
      <c r="X1034" s="2672"/>
      <c r="Y1034" s="2672"/>
      <c r="Z1034" s="1973"/>
      <c r="AA1034" s="1939">
        <v>1</v>
      </c>
      <c r="AB1034" s="1325" t="s">
        <v>1131</v>
      </c>
      <c r="AC1034" s="1315">
        <v>1124</v>
      </c>
      <c r="AD1034" s="1325" t="str">
        <f>AB1034</f>
        <v>      Прочие амортизационные отчисления</v>
      </c>
      <c r="AE1034" s="1315">
        <v>0</v>
      </c>
      <c r="AF1034" s="2665"/>
      <c r="AG1034" s="2666"/>
      <c r="AH1034" s="2666"/>
      <c r="AI1034" s="8653"/>
      <c r="AJ1034" s="2666"/>
      <c r="AK1034" s="2666"/>
      <c r="AL1034" s="2131"/>
      <c r="AM1034" s="1968"/>
      <c r="AN1034" s="1968"/>
      <c r="AO1034" s="1968"/>
      <c r="AP1034" s="1968"/>
      <c r="AQ1034" s="1968"/>
      <c r="AR1034" s="1968"/>
      <c r="AS1034" s="1968"/>
      <c r="AT1034" s="1968"/>
      <c r="AU1034" s="1968"/>
      <c r="AV1034" s="1968"/>
      <c r="AW1034" s="1968"/>
      <c r="AX1034" s="1968"/>
      <c r="AY1034" s="1968"/>
      <c r="AZ1034" s="1968"/>
      <c r="BA1034" s="1968"/>
      <c r="BB1034" s="1968"/>
      <c r="BC1034" s="1968"/>
      <c r="BD1034" s="1968"/>
      <c r="BE1034" s="1968"/>
      <c r="BF1034" s="1968"/>
      <c r="BG1034" s="7235"/>
    </row>
    <row customHeight="1" ht="11.25">
      <c r="A1035" s="1312" t="s">
        <v>1069</v>
      </c>
      <c r="B1035" s="1312"/>
      <c r="C1035" s="1312"/>
      <c r="D1035" s="1306"/>
      <c r="E1035" s="1316"/>
      <c r="F1035" s="1974"/>
      <c r="G1035" s="1975"/>
      <c r="H1035" s="2674" t="s">
        <v>173</v>
      </c>
      <c r="I1035" s="2675"/>
      <c r="J1035" s="2644"/>
      <c r="K1035" s="2676"/>
      <c r="L1035" s="2266"/>
      <c r="M1035" s="2267"/>
      <c r="N1035" s="2667"/>
      <c r="O1035" s="2668"/>
      <c r="P1035" s="2671"/>
      <c r="Q1035" s="8654"/>
      <c r="R1035" s="2672"/>
      <c r="S1035" s="2673"/>
      <c r="T1035" s="2672"/>
      <c r="U1035" s="2672"/>
      <c r="V1035" s="2672"/>
      <c r="W1035" s="2672"/>
      <c r="X1035" s="2672"/>
      <c r="Y1035" s="2672"/>
      <c r="Z1035" s="1321"/>
      <c r="AA1035" s="1322"/>
      <c r="AB1035" s="1387" t="s">
        <v>1107</v>
      </c>
      <c r="AC1035" s="1326"/>
      <c r="AD1035" s="1326"/>
      <c r="AE1035" s="1328"/>
      <c r="AF1035" s="2665"/>
      <c r="AG1035" s="2666"/>
      <c r="AH1035" s="2666"/>
      <c r="AI1035" s="8653"/>
      <c r="AJ1035" s="2666"/>
      <c r="AK1035" s="2666"/>
      <c r="AL1035" s="2131"/>
      <c r="AM1035" s="1968"/>
      <c r="AN1035" s="1968"/>
      <c r="AO1035" s="1968"/>
      <c r="AP1035" s="1968"/>
      <c r="AQ1035" s="1968"/>
      <c r="AR1035" s="1968"/>
      <c r="AS1035" s="1968"/>
      <c r="AT1035" s="1968"/>
      <c r="AU1035" s="1968"/>
      <c r="AV1035" s="1968"/>
      <c r="AW1035" s="1968"/>
      <c r="AX1035" s="1968"/>
      <c r="AY1035" s="1968"/>
      <c r="AZ1035" s="1968"/>
      <c r="BA1035" s="1968"/>
      <c r="BB1035" s="1968"/>
      <c r="BC1035" s="1968"/>
      <c r="BD1035" s="1968"/>
      <c r="BE1035" s="1968"/>
      <c r="BF1035" s="1968"/>
      <c r="BG1035" s="7235"/>
    </row>
    <row customHeight="1" ht="11.25">
      <c r="A1036" s="1312" t="s">
        <v>1069</v>
      </c>
      <c r="B1036" s="1312"/>
      <c r="C1036" s="1312"/>
      <c r="D1036" s="1306"/>
      <c r="E1036" s="1316"/>
      <c r="F1036" s="1974"/>
      <c r="G1036" s="1975"/>
      <c r="H1036" s="2674" t="s">
        <v>173</v>
      </c>
      <c r="I1036" s="2675"/>
      <c r="J1036" s="2644"/>
      <c r="K1036" s="2676"/>
      <c r="L1036" s="2266"/>
      <c r="M1036" s="2267"/>
      <c r="N1036" s="1321"/>
      <c r="O1036" s="1322"/>
      <c r="P1036" s="1314" t="s">
        <v>1108</v>
      </c>
      <c r="Q1036" s="1322"/>
      <c r="R1036" s="1322"/>
      <c r="S1036" s="1322"/>
      <c r="T1036" s="1322"/>
      <c r="U1036" s="1322"/>
      <c r="V1036" s="1322"/>
      <c r="W1036" s="1322"/>
      <c r="X1036" s="1322"/>
      <c r="Y1036" s="1322"/>
      <c r="Z1036" s="1322"/>
      <c r="AA1036" s="1322"/>
      <c r="AB1036" s="1322"/>
      <c r="AC1036" s="1322"/>
      <c r="AD1036" s="1322"/>
      <c r="AE1036" s="1329"/>
      <c r="AF1036" s="2665"/>
      <c r="AG1036" s="2666"/>
      <c r="AH1036" s="2666"/>
      <c r="AI1036" s="8653"/>
      <c r="AJ1036" s="2666"/>
      <c r="AK1036" s="2666"/>
      <c r="AL1036" s="2131"/>
      <c r="AM1036" s="1968"/>
      <c r="AN1036" s="1968"/>
      <c r="AO1036" s="1968"/>
      <c r="AP1036" s="1968"/>
      <c r="AQ1036" s="1968"/>
      <c r="AR1036" s="1968"/>
      <c r="AS1036" s="1968"/>
      <c r="AT1036" s="1968"/>
      <c r="AU1036" s="1968"/>
      <c r="AV1036" s="1968"/>
      <c r="AW1036" s="1968"/>
      <c r="AX1036" s="1968"/>
      <c r="AY1036" s="1968"/>
      <c r="AZ1036" s="1968"/>
      <c r="BA1036" s="1968"/>
      <c r="BB1036" s="1968"/>
      <c r="BC1036" s="1968"/>
      <c r="BD1036" s="1968"/>
      <c r="BE1036" s="1968"/>
      <c r="BF1036" s="1968"/>
      <c r="BG1036" s="7235"/>
    </row>
    <row customHeight="1" ht="11.25">
      <c r="A1037" s="1312" t="s">
        <v>1069</v>
      </c>
      <c r="B1037" s="1312" t="s">
        <v>1198</v>
      </c>
      <c r="C1037" s="1312"/>
      <c r="D1037" s="1306"/>
      <c r="E1037" s="1316"/>
      <c r="F1037" s="1974"/>
      <c r="G1037" s="7143" t="s">
        <v>106</v>
      </c>
      <c r="H1037" s="2674" t="s">
        <v>174</v>
      </c>
      <c r="I1037" s="2675" t="s">
        <v>1200</v>
      </c>
      <c r="J1037" s="2644" t="s">
        <v>1206</v>
      </c>
      <c r="K1037" s="2676" t="s">
        <v>1355</v>
      </c>
      <c r="L1037" s="2266" t="s">
        <v>19</v>
      </c>
      <c r="M1037" s="2267"/>
      <c r="N1037" s="2129"/>
      <c r="O1037" s="1323" t="s">
        <v>398</v>
      </c>
      <c r="P1037" s="1324"/>
      <c r="Q1037" s="1324"/>
      <c r="R1037" s="1324"/>
      <c r="S1037" s="1324"/>
      <c r="T1037" s="1324"/>
      <c r="U1037" s="1324"/>
      <c r="V1037" s="1324"/>
      <c r="W1037" s="1324"/>
      <c r="X1037" s="1324"/>
      <c r="Y1037" s="1324"/>
      <c r="Z1037" s="1324"/>
      <c r="AA1037" s="1324"/>
      <c r="AB1037" s="1324"/>
      <c r="AC1037" s="1324"/>
      <c r="AD1037" s="1324"/>
      <c r="AE1037" s="1324"/>
      <c r="AF1037" s="2665">
        <v>2028</v>
      </c>
      <c r="AG1037" s="2666" t="s">
        <v>1103</v>
      </c>
      <c r="AH1037" s="2666" t="s">
        <v>1228</v>
      </c>
      <c r="AI1037" s="8653"/>
      <c r="AJ1037" s="2666" t="s">
        <v>1105</v>
      </c>
      <c r="AK1037" s="2666" t="s">
        <v>1105</v>
      </c>
      <c r="AL1037" s="2131"/>
      <c r="AM1037" s="1968"/>
      <c r="AN1037" s="1968"/>
      <c r="AO1037" s="1968"/>
      <c r="AP1037" s="1968"/>
      <c r="AQ1037" s="1968"/>
      <c r="AR1037" s="1968"/>
      <c r="AS1037" s="1968"/>
      <c r="AT1037" s="1968"/>
      <c r="AU1037" s="1968"/>
      <c r="AV1037" s="1968"/>
      <c r="AW1037" s="1968"/>
      <c r="AX1037" s="1968"/>
      <c r="AY1037" s="1968"/>
      <c r="AZ1037" s="1968"/>
      <c r="BA1037" s="1968"/>
      <c r="BB1037" s="1968"/>
      <c r="BC1037" s="1968"/>
      <c r="BD1037" s="1968"/>
      <c r="BE1037" s="1968"/>
      <c r="BF1037" s="1968"/>
      <c r="BG1037" s="7235"/>
    </row>
    <row customHeight="1" ht="11.25">
      <c r="A1038" s="1312" t="s">
        <v>1069</v>
      </c>
      <c r="B1038" s="1312"/>
      <c r="C1038" s="1312"/>
      <c r="D1038" s="1306"/>
      <c r="E1038" s="1316"/>
      <c r="F1038" s="1974"/>
      <c r="G1038" s="1975"/>
      <c r="H1038" s="2674" t="s">
        <v>174</v>
      </c>
      <c r="I1038" s="2675"/>
      <c r="J1038" s="2644"/>
      <c r="K1038" s="2676"/>
      <c r="L1038" s="2266"/>
      <c r="M1038" s="2267"/>
      <c r="N1038" s="2667"/>
      <c r="O1038" s="2668">
        <v>1</v>
      </c>
      <c r="P1038" s="2669" t="s">
        <v>63</v>
      </c>
      <c r="Q1038" s="8654" t="s">
        <v>1208</v>
      </c>
      <c r="R1038" s="8655" t="s">
        <v>1114</v>
      </c>
      <c r="S1038" s="8655" t="s">
        <v>113</v>
      </c>
      <c r="T1038" s="8655" t="s">
        <v>113</v>
      </c>
      <c r="U1038" s="8655" t="s">
        <v>114</v>
      </c>
      <c r="V1038" s="8655" t="s">
        <v>1115</v>
      </c>
      <c r="W1038" s="8655" t="s">
        <v>1116</v>
      </c>
      <c r="X1038" s="8655" t="s">
        <v>1209</v>
      </c>
      <c r="Y1038" s="8655" t="s">
        <v>121</v>
      </c>
      <c r="Z1038" s="1321"/>
      <c r="AA1038" s="1322"/>
      <c r="AB1038" s="1322"/>
      <c r="AC1038" s="1326"/>
      <c r="AD1038" s="1326"/>
      <c r="AE1038" s="1327"/>
      <c r="AF1038" s="2665"/>
      <c r="AG1038" s="2666"/>
      <c r="AH1038" s="2666"/>
      <c r="AI1038" s="8653"/>
      <c r="AJ1038" s="2666"/>
      <c r="AK1038" s="2666"/>
      <c r="AL1038" s="2131"/>
      <c r="AM1038" s="1968"/>
      <c r="AN1038" s="1968"/>
      <c r="AO1038" s="1968"/>
      <c r="AP1038" s="1968"/>
      <c r="AQ1038" s="1968"/>
      <c r="AR1038" s="1968"/>
      <c r="AS1038" s="1968"/>
      <c r="AT1038" s="1968"/>
      <c r="AU1038" s="1968"/>
      <c r="AV1038" s="1968"/>
      <c r="AW1038" s="1968"/>
      <c r="AX1038" s="1968"/>
      <c r="AY1038" s="1968"/>
      <c r="AZ1038" s="1968"/>
      <c r="BA1038" s="1968"/>
      <c r="BB1038" s="1968"/>
      <c r="BC1038" s="1968"/>
      <c r="BD1038" s="1968"/>
      <c r="BE1038" s="1968"/>
      <c r="BF1038" s="1968"/>
      <c r="BG1038" s="7235"/>
    </row>
    <row customHeight="1" ht="11.25">
      <c r="A1039" s="1312" t="s">
        <v>1069</v>
      </c>
      <c r="B1039" s="1312"/>
      <c r="C1039" s="1312"/>
      <c r="D1039" s="1306"/>
      <c r="E1039" s="1316"/>
      <c r="F1039" s="1974"/>
      <c r="G1039" s="1975"/>
      <c r="H1039" s="2674" t="s">
        <v>174</v>
      </c>
      <c r="I1039" s="2675"/>
      <c r="J1039" s="2644"/>
      <c r="K1039" s="2676"/>
      <c r="L1039" s="2266"/>
      <c r="M1039" s="2267"/>
      <c r="N1039" s="2667"/>
      <c r="O1039" s="2668"/>
      <c r="P1039" s="2670"/>
      <c r="Q1039" s="8654"/>
      <c r="R1039" s="2672"/>
      <c r="S1039" s="2673"/>
      <c r="T1039" s="2672"/>
      <c r="U1039" s="2672"/>
      <c r="V1039" s="2672"/>
      <c r="W1039" s="2672"/>
      <c r="X1039" s="2672"/>
      <c r="Y1039" s="2672"/>
      <c r="Z1039" s="1973"/>
      <c r="AA1039" s="1939">
        <v>1</v>
      </c>
      <c r="AB1039" s="1325" t="s">
        <v>1131</v>
      </c>
      <c r="AC1039" s="1315">
        <v>6900</v>
      </c>
      <c r="AD1039" s="1325" t="str">
        <f>AB1039</f>
        <v>      Прочие амортизационные отчисления</v>
      </c>
      <c r="AE1039" s="1315">
        <v>0</v>
      </c>
      <c r="AF1039" s="2665"/>
      <c r="AG1039" s="2666"/>
      <c r="AH1039" s="2666"/>
      <c r="AI1039" s="8653"/>
      <c r="AJ1039" s="2666"/>
      <c r="AK1039" s="2666"/>
      <c r="AL1039" s="2131"/>
      <c r="AM1039" s="1968"/>
      <c r="AN1039" s="1968"/>
      <c r="AO1039" s="1968"/>
      <c r="AP1039" s="1968"/>
      <c r="AQ1039" s="1968"/>
      <c r="AR1039" s="1968"/>
      <c r="AS1039" s="1968"/>
      <c r="AT1039" s="1968"/>
      <c r="AU1039" s="1968"/>
      <c r="AV1039" s="1968"/>
      <c r="AW1039" s="1968"/>
      <c r="AX1039" s="1968"/>
      <c r="AY1039" s="1968"/>
      <c r="AZ1039" s="1968"/>
      <c r="BA1039" s="1968"/>
      <c r="BB1039" s="1968"/>
      <c r="BC1039" s="1968"/>
      <c r="BD1039" s="1968"/>
      <c r="BE1039" s="1968"/>
      <c r="BF1039" s="1968"/>
      <c r="BG1039" s="7235"/>
    </row>
    <row customHeight="1" ht="11.25">
      <c r="A1040" s="1312" t="s">
        <v>1069</v>
      </c>
      <c r="B1040" s="1312"/>
      <c r="C1040" s="1312"/>
      <c r="D1040" s="1306"/>
      <c r="E1040" s="1316"/>
      <c r="F1040" s="1974"/>
      <c r="G1040" s="1975"/>
      <c r="H1040" s="2674" t="s">
        <v>174</v>
      </c>
      <c r="I1040" s="2675"/>
      <c r="J1040" s="2644"/>
      <c r="K1040" s="2676"/>
      <c r="L1040" s="2266"/>
      <c r="M1040" s="2267"/>
      <c r="N1040" s="2667"/>
      <c r="O1040" s="2668"/>
      <c r="P1040" s="2671"/>
      <c r="Q1040" s="8654"/>
      <c r="R1040" s="2672"/>
      <c r="S1040" s="2673"/>
      <c r="T1040" s="2672"/>
      <c r="U1040" s="2672"/>
      <c r="V1040" s="2672"/>
      <c r="W1040" s="2672"/>
      <c r="X1040" s="2672"/>
      <c r="Y1040" s="2672"/>
      <c r="Z1040" s="1321"/>
      <c r="AA1040" s="1322"/>
      <c r="AB1040" s="1387" t="s">
        <v>1107</v>
      </c>
      <c r="AC1040" s="1326"/>
      <c r="AD1040" s="1326"/>
      <c r="AE1040" s="1328"/>
      <c r="AF1040" s="2665"/>
      <c r="AG1040" s="2666"/>
      <c r="AH1040" s="2666"/>
      <c r="AI1040" s="8653"/>
      <c r="AJ1040" s="2666"/>
      <c r="AK1040" s="2666"/>
      <c r="AL1040" s="2131"/>
      <c r="AM1040" s="1968"/>
      <c r="AN1040" s="1968"/>
      <c r="AO1040" s="1968"/>
      <c r="AP1040" s="1968"/>
      <c r="AQ1040" s="1968"/>
      <c r="AR1040" s="1968"/>
      <c r="AS1040" s="1968"/>
      <c r="AT1040" s="1968"/>
      <c r="AU1040" s="1968"/>
      <c r="AV1040" s="1968"/>
      <c r="AW1040" s="1968"/>
      <c r="AX1040" s="1968"/>
      <c r="AY1040" s="1968"/>
      <c r="AZ1040" s="1968"/>
      <c r="BA1040" s="1968"/>
      <c r="BB1040" s="1968"/>
      <c r="BC1040" s="1968"/>
      <c r="BD1040" s="1968"/>
      <c r="BE1040" s="1968"/>
      <c r="BF1040" s="1968"/>
      <c r="BG1040" s="7235"/>
    </row>
    <row customHeight="1" ht="11.25">
      <c r="A1041" s="1312" t="s">
        <v>1069</v>
      </c>
      <c r="B1041" s="1312"/>
      <c r="C1041" s="1312"/>
      <c r="D1041" s="1306"/>
      <c r="E1041" s="1316"/>
      <c r="F1041" s="1974"/>
      <c r="G1041" s="1975"/>
      <c r="H1041" s="2674" t="s">
        <v>174</v>
      </c>
      <c r="I1041" s="2675"/>
      <c r="J1041" s="2644"/>
      <c r="K1041" s="2676"/>
      <c r="L1041" s="2266"/>
      <c r="M1041" s="2267"/>
      <c r="N1041" s="1321"/>
      <c r="O1041" s="1322"/>
      <c r="P1041" s="1314" t="s">
        <v>1108</v>
      </c>
      <c r="Q1041" s="1322"/>
      <c r="R1041" s="1322"/>
      <c r="S1041" s="1322"/>
      <c r="T1041" s="1322"/>
      <c r="U1041" s="1322"/>
      <c r="V1041" s="1322"/>
      <c r="W1041" s="1322"/>
      <c r="X1041" s="1322"/>
      <c r="Y1041" s="1322"/>
      <c r="Z1041" s="1322"/>
      <c r="AA1041" s="1322"/>
      <c r="AB1041" s="1322"/>
      <c r="AC1041" s="1322"/>
      <c r="AD1041" s="1322"/>
      <c r="AE1041" s="1329"/>
      <c r="AF1041" s="2665"/>
      <c r="AG1041" s="2666"/>
      <c r="AH1041" s="2666"/>
      <c r="AI1041" s="8653"/>
      <c r="AJ1041" s="2666"/>
      <c r="AK1041" s="2666"/>
      <c r="AL1041" s="2131"/>
      <c r="AM1041" s="1968"/>
      <c r="AN1041" s="1968"/>
      <c r="AO1041" s="1968"/>
      <c r="AP1041" s="1968"/>
      <c r="AQ1041" s="1968"/>
      <c r="AR1041" s="1968"/>
      <c r="AS1041" s="1968"/>
      <c r="AT1041" s="1968"/>
      <c r="AU1041" s="1968"/>
      <c r="AV1041" s="1968"/>
      <c r="AW1041" s="1968"/>
      <c r="AX1041" s="1968"/>
      <c r="AY1041" s="1968"/>
      <c r="AZ1041" s="1968"/>
      <c r="BA1041" s="1968"/>
      <c r="BB1041" s="1968"/>
      <c r="BC1041" s="1968"/>
      <c r="BD1041" s="1968"/>
      <c r="BE1041" s="1968"/>
      <c r="BF1041" s="1968"/>
      <c r="BG1041" s="7235"/>
    </row>
    <row customHeight="1" ht="11.25">
      <c r="A1042" s="1312" t="s">
        <v>1069</v>
      </c>
      <c r="B1042" s="1312" t="s">
        <v>1198</v>
      </c>
      <c r="C1042" s="1312"/>
      <c r="D1042" s="1306"/>
      <c r="E1042" s="1316"/>
      <c r="F1042" s="1974"/>
      <c r="G1042" s="7143" t="s">
        <v>106</v>
      </c>
      <c r="H1042" s="2674" t="s">
        <v>175</v>
      </c>
      <c r="I1042" s="2675" t="s">
        <v>1200</v>
      </c>
      <c r="J1042" s="2644" t="s">
        <v>1206</v>
      </c>
      <c r="K1042" s="2676" t="s">
        <v>1356</v>
      </c>
      <c r="L1042" s="2266" t="s">
        <v>19</v>
      </c>
      <c r="M1042" s="2267"/>
      <c r="N1042" s="2129"/>
      <c r="O1042" s="1323" t="s">
        <v>398</v>
      </c>
      <c r="P1042" s="1324"/>
      <c r="Q1042" s="1324"/>
      <c r="R1042" s="1324"/>
      <c r="S1042" s="1324"/>
      <c r="T1042" s="1324"/>
      <c r="U1042" s="1324"/>
      <c r="V1042" s="1324"/>
      <c r="W1042" s="1324"/>
      <c r="X1042" s="1324"/>
      <c r="Y1042" s="1324"/>
      <c r="Z1042" s="1324"/>
      <c r="AA1042" s="1324"/>
      <c r="AB1042" s="1324"/>
      <c r="AC1042" s="1324"/>
      <c r="AD1042" s="1324"/>
      <c r="AE1042" s="1324"/>
      <c r="AF1042" s="2665">
        <v>2028</v>
      </c>
      <c r="AG1042" s="2666" t="s">
        <v>1103</v>
      </c>
      <c r="AH1042" s="2666" t="s">
        <v>1228</v>
      </c>
      <c r="AI1042" s="8653"/>
      <c r="AJ1042" s="2666" t="s">
        <v>1105</v>
      </c>
      <c r="AK1042" s="2666" t="s">
        <v>1105</v>
      </c>
      <c r="AL1042" s="2131"/>
      <c r="AM1042" s="1968"/>
      <c r="AN1042" s="1968"/>
      <c r="AO1042" s="1968"/>
      <c r="AP1042" s="1968"/>
      <c r="AQ1042" s="1968"/>
      <c r="AR1042" s="1968"/>
      <c r="AS1042" s="1968"/>
      <c r="AT1042" s="1968"/>
      <c r="AU1042" s="1968"/>
      <c r="AV1042" s="1968"/>
      <c r="AW1042" s="1968"/>
      <c r="AX1042" s="1968"/>
      <c r="AY1042" s="1968"/>
      <c r="AZ1042" s="1968"/>
      <c r="BA1042" s="1968"/>
      <c r="BB1042" s="1968"/>
      <c r="BC1042" s="1968"/>
      <c r="BD1042" s="1968"/>
      <c r="BE1042" s="1968"/>
      <c r="BF1042" s="1968"/>
      <c r="BG1042" s="7235"/>
    </row>
    <row customHeight="1" ht="11.25">
      <c r="A1043" s="1312" t="s">
        <v>1069</v>
      </c>
      <c r="B1043" s="1312"/>
      <c r="C1043" s="1312"/>
      <c r="D1043" s="1306"/>
      <c r="E1043" s="1316"/>
      <c r="F1043" s="1974"/>
      <c r="G1043" s="1975"/>
      <c r="H1043" s="2674" t="s">
        <v>175</v>
      </c>
      <c r="I1043" s="2675"/>
      <c r="J1043" s="2644"/>
      <c r="K1043" s="2676"/>
      <c r="L1043" s="2266"/>
      <c r="M1043" s="2267"/>
      <c r="N1043" s="2667"/>
      <c r="O1043" s="2668">
        <v>1</v>
      </c>
      <c r="P1043" s="2669" t="s">
        <v>63</v>
      </c>
      <c r="Q1043" s="8654" t="s">
        <v>1208</v>
      </c>
      <c r="R1043" s="8655" t="s">
        <v>1114</v>
      </c>
      <c r="S1043" s="8655" t="s">
        <v>113</v>
      </c>
      <c r="T1043" s="8655" t="s">
        <v>113</v>
      </c>
      <c r="U1043" s="8655" t="s">
        <v>114</v>
      </c>
      <c r="V1043" s="8655" t="s">
        <v>1115</v>
      </c>
      <c r="W1043" s="8655" t="s">
        <v>1116</v>
      </c>
      <c r="X1043" s="8655" t="s">
        <v>1209</v>
      </c>
      <c r="Y1043" s="8655" t="s">
        <v>121</v>
      </c>
      <c r="Z1043" s="1321"/>
      <c r="AA1043" s="1322"/>
      <c r="AB1043" s="1322"/>
      <c r="AC1043" s="1326"/>
      <c r="AD1043" s="1326"/>
      <c r="AE1043" s="1327"/>
      <c r="AF1043" s="2665"/>
      <c r="AG1043" s="2666"/>
      <c r="AH1043" s="2666"/>
      <c r="AI1043" s="8653"/>
      <c r="AJ1043" s="2666"/>
      <c r="AK1043" s="2666"/>
      <c r="AL1043" s="2131"/>
      <c r="AM1043" s="1968"/>
      <c r="AN1043" s="1968"/>
      <c r="AO1043" s="1968"/>
      <c r="AP1043" s="1968"/>
      <c r="AQ1043" s="1968"/>
      <c r="AR1043" s="1968"/>
      <c r="AS1043" s="1968"/>
      <c r="AT1043" s="1968"/>
      <c r="AU1043" s="1968"/>
      <c r="AV1043" s="1968"/>
      <c r="AW1043" s="1968"/>
      <c r="AX1043" s="1968"/>
      <c r="AY1043" s="1968"/>
      <c r="AZ1043" s="1968"/>
      <c r="BA1043" s="1968"/>
      <c r="BB1043" s="1968"/>
      <c r="BC1043" s="1968"/>
      <c r="BD1043" s="1968"/>
      <c r="BE1043" s="1968"/>
      <c r="BF1043" s="1968"/>
      <c r="BG1043" s="7235"/>
    </row>
    <row customHeight="1" ht="11.25">
      <c r="A1044" s="1312" t="s">
        <v>1069</v>
      </c>
      <c r="B1044" s="1312"/>
      <c r="C1044" s="1312"/>
      <c r="D1044" s="1306"/>
      <c r="E1044" s="1316"/>
      <c r="F1044" s="1974"/>
      <c r="G1044" s="1975"/>
      <c r="H1044" s="2674" t="s">
        <v>175</v>
      </c>
      <c r="I1044" s="2675"/>
      <c r="J1044" s="2644"/>
      <c r="K1044" s="2676"/>
      <c r="L1044" s="2266"/>
      <c r="M1044" s="2267"/>
      <c r="N1044" s="2667"/>
      <c r="O1044" s="2668"/>
      <c r="P1044" s="2670"/>
      <c r="Q1044" s="8654"/>
      <c r="R1044" s="2672"/>
      <c r="S1044" s="2673"/>
      <c r="T1044" s="2672"/>
      <c r="U1044" s="2672"/>
      <c r="V1044" s="2672"/>
      <c r="W1044" s="2672"/>
      <c r="X1044" s="2672"/>
      <c r="Y1044" s="2672"/>
      <c r="Z1044" s="1973"/>
      <c r="AA1044" s="1939">
        <v>1</v>
      </c>
      <c r="AB1044" s="1325" t="s">
        <v>1131</v>
      </c>
      <c r="AC1044" s="1315">
        <v>70967</v>
      </c>
      <c r="AD1044" s="1325" t="str">
        <f>AB1044</f>
        <v>      Прочие амортизационные отчисления</v>
      </c>
      <c r="AE1044" s="1315">
        <v>0</v>
      </c>
      <c r="AF1044" s="2665"/>
      <c r="AG1044" s="2666"/>
      <c r="AH1044" s="2666"/>
      <c r="AI1044" s="8653"/>
      <c r="AJ1044" s="2666"/>
      <c r="AK1044" s="2666"/>
      <c r="AL1044" s="2131"/>
      <c r="AM1044" s="1968"/>
      <c r="AN1044" s="1968"/>
      <c r="AO1044" s="1968"/>
      <c r="AP1044" s="1968"/>
      <c r="AQ1044" s="1968"/>
      <c r="AR1044" s="1968"/>
      <c r="AS1044" s="1968"/>
      <c r="AT1044" s="1968"/>
      <c r="AU1044" s="1968"/>
      <c r="AV1044" s="1968"/>
      <c r="AW1044" s="1968"/>
      <c r="AX1044" s="1968"/>
      <c r="AY1044" s="1968"/>
      <c r="AZ1044" s="1968"/>
      <c r="BA1044" s="1968"/>
      <c r="BB1044" s="1968"/>
      <c r="BC1044" s="1968"/>
      <c r="BD1044" s="1968"/>
      <c r="BE1044" s="1968"/>
      <c r="BF1044" s="1968"/>
      <c r="BG1044" s="7235"/>
    </row>
    <row customHeight="1" ht="11.25">
      <c r="A1045" s="1312" t="s">
        <v>1069</v>
      </c>
      <c r="B1045" s="1312"/>
      <c r="C1045" s="1312"/>
      <c r="D1045" s="1306"/>
      <c r="E1045" s="1316"/>
      <c r="F1045" s="1974"/>
      <c r="G1045" s="1975"/>
      <c r="H1045" s="2674" t="s">
        <v>175</v>
      </c>
      <c r="I1045" s="2675"/>
      <c r="J1045" s="2644"/>
      <c r="K1045" s="2676"/>
      <c r="L1045" s="2266"/>
      <c r="M1045" s="2267"/>
      <c r="N1045" s="2667"/>
      <c r="O1045" s="2668"/>
      <c r="P1045" s="2671"/>
      <c r="Q1045" s="8654"/>
      <c r="R1045" s="2672"/>
      <c r="S1045" s="2673"/>
      <c r="T1045" s="2672"/>
      <c r="U1045" s="2672"/>
      <c r="V1045" s="2672"/>
      <c r="W1045" s="2672"/>
      <c r="X1045" s="2672"/>
      <c r="Y1045" s="2672"/>
      <c r="Z1045" s="1321"/>
      <c r="AA1045" s="1322"/>
      <c r="AB1045" s="1387" t="s">
        <v>1107</v>
      </c>
      <c r="AC1045" s="1326"/>
      <c r="AD1045" s="1326"/>
      <c r="AE1045" s="1328"/>
      <c r="AF1045" s="2665"/>
      <c r="AG1045" s="2666"/>
      <c r="AH1045" s="2666"/>
      <c r="AI1045" s="8653"/>
      <c r="AJ1045" s="2666"/>
      <c r="AK1045" s="2666"/>
      <c r="AL1045" s="2131"/>
      <c r="AM1045" s="1968"/>
      <c r="AN1045" s="1968"/>
      <c r="AO1045" s="1968"/>
      <c r="AP1045" s="1968"/>
      <c r="AQ1045" s="1968"/>
      <c r="AR1045" s="1968"/>
      <c r="AS1045" s="1968"/>
      <c r="AT1045" s="1968"/>
      <c r="AU1045" s="1968"/>
      <c r="AV1045" s="1968"/>
      <c r="AW1045" s="1968"/>
      <c r="AX1045" s="1968"/>
      <c r="AY1045" s="1968"/>
      <c r="AZ1045" s="1968"/>
      <c r="BA1045" s="1968"/>
      <c r="BB1045" s="1968"/>
      <c r="BC1045" s="1968"/>
      <c r="BD1045" s="1968"/>
      <c r="BE1045" s="1968"/>
      <c r="BF1045" s="1968"/>
      <c r="BG1045" s="7235"/>
    </row>
    <row customHeight="1" ht="11.25">
      <c r="A1046" s="1312" t="s">
        <v>1069</v>
      </c>
      <c r="B1046" s="1312"/>
      <c r="C1046" s="1312"/>
      <c r="D1046" s="1306"/>
      <c r="E1046" s="1316"/>
      <c r="F1046" s="1974"/>
      <c r="G1046" s="1975"/>
      <c r="H1046" s="2674" t="s">
        <v>175</v>
      </c>
      <c r="I1046" s="2675"/>
      <c r="J1046" s="2644"/>
      <c r="K1046" s="2676"/>
      <c r="L1046" s="2266"/>
      <c r="M1046" s="2267"/>
      <c r="N1046" s="1321"/>
      <c r="O1046" s="1322"/>
      <c r="P1046" s="1314" t="s">
        <v>1108</v>
      </c>
      <c r="Q1046" s="1322"/>
      <c r="R1046" s="1322"/>
      <c r="S1046" s="1322"/>
      <c r="T1046" s="1322"/>
      <c r="U1046" s="1322"/>
      <c r="V1046" s="1322"/>
      <c r="W1046" s="1322"/>
      <c r="X1046" s="1322"/>
      <c r="Y1046" s="1322"/>
      <c r="Z1046" s="1322"/>
      <c r="AA1046" s="1322"/>
      <c r="AB1046" s="1322"/>
      <c r="AC1046" s="1322"/>
      <c r="AD1046" s="1322"/>
      <c r="AE1046" s="1329"/>
      <c r="AF1046" s="2665"/>
      <c r="AG1046" s="2666"/>
      <c r="AH1046" s="2666"/>
      <c r="AI1046" s="8653"/>
      <c r="AJ1046" s="2666"/>
      <c r="AK1046" s="2666"/>
      <c r="AL1046" s="2131"/>
      <c r="AM1046" s="1968"/>
      <c r="AN1046" s="1968"/>
      <c r="AO1046" s="1968"/>
      <c r="AP1046" s="1968"/>
      <c r="AQ1046" s="1968"/>
      <c r="AR1046" s="1968"/>
      <c r="AS1046" s="1968"/>
      <c r="AT1046" s="1968"/>
      <c r="AU1046" s="1968"/>
      <c r="AV1046" s="1968"/>
      <c r="AW1046" s="1968"/>
      <c r="AX1046" s="1968"/>
      <c r="AY1046" s="1968"/>
      <c r="AZ1046" s="1968"/>
      <c r="BA1046" s="1968"/>
      <c r="BB1046" s="1968"/>
      <c r="BC1046" s="1968"/>
      <c r="BD1046" s="1968"/>
      <c r="BE1046" s="1968"/>
      <c r="BF1046" s="1968"/>
      <c r="BG1046" s="7235"/>
    </row>
    <row customHeight="1" ht="11.25">
      <c r="A1047" s="1312" t="s">
        <v>1069</v>
      </c>
      <c r="B1047" s="1312" t="s">
        <v>1198</v>
      </c>
      <c r="C1047" s="1312"/>
      <c r="D1047" s="1306"/>
      <c r="E1047" s="1316"/>
      <c r="F1047" s="1974"/>
      <c r="G1047" s="7143" t="s">
        <v>106</v>
      </c>
      <c r="H1047" s="2674" t="s">
        <v>176</v>
      </c>
      <c r="I1047" s="2675" t="s">
        <v>1200</v>
      </c>
      <c r="J1047" s="2644" t="s">
        <v>1206</v>
      </c>
      <c r="K1047" s="2676" t="s">
        <v>1357</v>
      </c>
      <c r="L1047" s="2266" t="s">
        <v>19</v>
      </c>
      <c r="M1047" s="2267"/>
      <c r="N1047" s="2129"/>
      <c r="O1047" s="1323" t="s">
        <v>398</v>
      </c>
      <c r="P1047" s="1324"/>
      <c r="Q1047" s="1324"/>
      <c r="R1047" s="1324"/>
      <c r="S1047" s="1324"/>
      <c r="T1047" s="1324"/>
      <c r="U1047" s="1324"/>
      <c r="V1047" s="1324"/>
      <c r="W1047" s="1324"/>
      <c r="X1047" s="1324"/>
      <c r="Y1047" s="1324"/>
      <c r="Z1047" s="1324"/>
      <c r="AA1047" s="1324"/>
      <c r="AB1047" s="1324"/>
      <c r="AC1047" s="1324"/>
      <c r="AD1047" s="1324"/>
      <c r="AE1047" s="1324"/>
      <c r="AF1047" s="2665">
        <v>2028</v>
      </c>
      <c r="AG1047" s="2666" t="s">
        <v>1103</v>
      </c>
      <c r="AH1047" s="2666" t="s">
        <v>1228</v>
      </c>
      <c r="AI1047" s="8653"/>
      <c r="AJ1047" s="2666" t="s">
        <v>1105</v>
      </c>
      <c r="AK1047" s="2666" t="s">
        <v>1105</v>
      </c>
      <c r="AL1047" s="2131"/>
      <c r="AM1047" s="1968"/>
      <c r="AN1047" s="1968"/>
      <c r="AO1047" s="1968"/>
      <c r="AP1047" s="1968"/>
      <c r="AQ1047" s="1968"/>
      <c r="AR1047" s="1968"/>
      <c r="AS1047" s="1968"/>
      <c r="AT1047" s="1968"/>
      <c r="AU1047" s="1968"/>
      <c r="AV1047" s="1968"/>
      <c r="AW1047" s="1968"/>
      <c r="AX1047" s="1968"/>
      <c r="AY1047" s="1968"/>
      <c r="AZ1047" s="1968"/>
      <c r="BA1047" s="1968"/>
      <c r="BB1047" s="1968"/>
      <c r="BC1047" s="1968"/>
      <c r="BD1047" s="1968"/>
      <c r="BE1047" s="1968"/>
      <c r="BF1047" s="1968"/>
      <c r="BG1047" s="7235"/>
    </row>
    <row customHeight="1" ht="11.25">
      <c r="A1048" s="1312" t="s">
        <v>1069</v>
      </c>
      <c r="B1048" s="1312"/>
      <c r="C1048" s="1312"/>
      <c r="D1048" s="1306"/>
      <c r="E1048" s="1316"/>
      <c r="F1048" s="1974"/>
      <c r="G1048" s="1975"/>
      <c r="H1048" s="2674" t="s">
        <v>176</v>
      </c>
      <c r="I1048" s="2675"/>
      <c r="J1048" s="2644"/>
      <c r="K1048" s="2676"/>
      <c r="L1048" s="2266"/>
      <c r="M1048" s="2267"/>
      <c r="N1048" s="2667"/>
      <c r="O1048" s="2668">
        <v>1</v>
      </c>
      <c r="P1048" s="2669" t="s">
        <v>63</v>
      </c>
      <c r="Q1048" s="8654" t="s">
        <v>1208</v>
      </c>
      <c r="R1048" s="8655" t="s">
        <v>1114</v>
      </c>
      <c r="S1048" s="8655" t="s">
        <v>113</v>
      </c>
      <c r="T1048" s="8655" t="s">
        <v>113</v>
      </c>
      <c r="U1048" s="8655" t="s">
        <v>114</v>
      </c>
      <c r="V1048" s="8655" t="s">
        <v>1115</v>
      </c>
      <c r="W1048" s="8655" t="s">
        <v>1116</v>
      </c>
      <c r="X1048" s="8655" t="s">
        <v>1209</v>
      </c>
      <c r="Y1048" s="8655" t="s">
        <v>121</v>
      </c>
      <c r="Z1048" s="1321"/>
      <c r="AA1048" s="1322"/>
      <c r="AB1048" s="1322"/>
      <c r="AC1048" s="1326"/>
      <c r="AD1048" s="1326"/>
      <c r="AE1048" s="1327"/>
      <c r="AF1048" s="2665"/>
      <c r="AG1048" s="2666"/>
      <c r="AH1048" s="2666"/>
      <c r="AI1048" s="8653"/>
      <c r="AJ1048" s="2666"/>
      <c r="AK1048" s="2666"/>
      <c r="AL1048" s="2131"/>
      <c r="AM1048" s="1968"/>
      <c r="AN1048" s="1968"/>
      <c r="AO1048" s="1968"/>
      <c r="AP1048" s="1968"/>
      <c r="AQ1048" s="1968"/>
      <c r="AR1048" s="1968"/>
      <c r="AS1048" s="1968"/>
      <c r="AT1048" s="1968"/>
      <c r="AU1048" s="1968"/>
      <c r="AV1048" s="1968"/>
      <c r="AW1048" s="1968"/>
      <c r="AX1048" s="1968"/>
      <c r="AY1048" s="1968"/>
      <c r="AZ1048" s="1968"/>
      <c r="BA1048" s="1968"/>
      <c r="BB1048" s="1968"/>
      <c r="BC1048" s="1968"/>
      <c r="BD1048" s="1968"/>
      <c r="BE1048" s="1968"/>
      <c r="BF1048" s="1968"/>
      <c r="BG1048" s="7235"/>
    </row>
    <row customHeight="1" ht="11.25">
      <c r="A1049" s="1312" t="s">
        <v>1069</v>
      </c>
      <c r="B1049" s="1312"/>
      <c r="C1049" s="1312"/>
      <c r="D1049" s="1306"/>
      <c r="E1049" s="1316"/>
      <c r="F1049" s="1974"/>
      <c r="G1049" s="1975"/>
      <c r="H1049" s="2674" t="s">
        <v>176</v>
      </c>
      <c r="I1049" s="2675"/>
      <c r="J1049" s="2644"/>
      <c r="K1049" s="2676"/>
      <c r="L1049" s="2266"/>
      <c r="M1049" s="2267"/>
      <c r="N1049" s="2667"/>
      <c r="O1049" s="2668"/>
      <c r="P1049" s="2670"/>
      <c r="Q1049" s="8654"/>
      <c r="R1049" s="2672"/>
      <c r="S1049" s="2673"/>
      <c r="T1049" s="2672"/>
      <c r="U1049" s="2672"/>
      <c r="V1049" s="2672"/>
      <c r="W1049" s="2672"/>
      <c r="X1049" s="2672"/>
      <c r="Y1049" s="2672"/>
      <c r="Z1049" s="1973"/>
      <c r="AA1049" s="1939">
        <v>1</v>
      </c>
      <c r="AB1049" s="1325" t="s">
        <v>1131</v>
      </c>
      <c r="AC1049" s="1315">
        <v>19681</v>
      </c>
      <c r="AD1049" s="1325" t="str">
        <f>AB1049</f>
        <v>      Прочие амортизационные отчисления</v>
      </c>
      <c r="AE1049" s="1315">
        <v>0</v>
      </c>
      <c r="AF1049" s="2665"/>
      <c r="AG1049" s="2666"/>
      <c r="AH1049" s="2666"/>
      <c r="AI1049" s="8653"/>
      <c r="AJ1049" s="2666"/>
      <c r="AK1049" s="2666"/>
      <c r="AL1049" s="2131"/>
      <c r="AM1049" s="1968"/>
      <c r="AN1049" s="1968"/>
      <c r="AO1049" s="1968"/>
      <c r="AP1049" s="1968"/>
      <c r="AQ1049" s="1968"/>
      <c r="AR1049" s="1968"/>
      <c r="AS1049" s="1968"/>
      <c r="AT1049" s="1968"/>
      <c r="AU1049" s="1968"/>
      <c r="AV1049" s="1968"/>
      <c r="AW1049" s="1968"/>
      <c r="AX1049" s="1968"/>
      <c r="AY1049" s="1968"/>
      <c r="AZ1049" s="1968"/>
      <c r="BA1049" s="1968"/>
      <c r="BB1049" s="1968"/>
      <c r="BC1049" s="1968"/>
      <c r="BD1049" s="1968"/>
      <c r="BE1049" s="1968"/>
      <c r="BF1049" s="1968"/>
      <c r="BG1049" s="7235"/>
    </row>
    <row customHeight="1" ht="11.25">
      <c r="A1050" s="1312" t="s">
        <v>1069</v>
      </c>
      <c r="B1050" s="1312"/>
      <c r="C1050" s="1312"/>
      <c r="D1050" s="1306"/>
      <c r="E1050" s="1316"/>
      <c r="F1050" s="1974"/>
      <c r="G1050" s="1975"/>
      <c r="H1050" s="2674" t="s">
        <v>176</v>
      </c>
      <c r="I1050" s="2675"/>
      <c r="J1050" s="2644"/>
      <c r="K1050" s="2676"/>
      <c r="L1050" s="2266"/>
      <c r="M1050" s="2267"/>
      <c r="N1050" s="2667"/>
      <c r="O1050" s="2668"/>
      <c r="P1050" s="2671"/>
      <c r="Q1050" s="8654"/>
      <c r="R1050" s="2672"/>
      <c r="S1050" s="2673"/>
      <c r="T1050" s="2672"/>
      <c r="U1050" s="2672"/>
      <c r="V1050" s="2672"/>
      <c r="W1050" s="2672"/>
      <c r="X1050" s="2672"/>
      <c r="Y1050" s="2672"/>
      <c r="Z1050" s="1321"/>
      <c r="AA1050" s="1322"/>
      <c r="AB1050" s="1387" t="s">
        <v>1107</v>
      </c>
      <c r="AC1050" s="1326"/>
      <c r="AD1050" s="1326"/>
      <c r="AE1050" s="1328"/>
      <c r="AF1050" s="2665"/>
      <c r="AG1050" s="2666"/>
      <c r="AH1050" s="2666"/>
      <c r="AI1050" s="8653"/>
      <c r="AJ1050" s="2666"/>
      <c r="AK1050" s="2666"/>
      <c r="AL1050" s="2131"/>
      <c r="AM1050" s="1968"/>
      <c r="AN1050" s="1968"/>
      <c r="AO1050" s="1968"/>
      <c r="AP1050" s="1968"/>
      <c r="AQ1050" s="1968"/>
      <c r="AR1050" s="1968"/>
      <c r="AS1050" s="1968"/>
      <c r="AT1050" s="1968"/>
      <c r="AU1050" s="1968"/>
      <c r="AV1050" s="1968"/>
      <c r="AW1050" s="1968"/>
      <c r="AX1050" s="1968"/>
      <c r="AY1050" s="1968"/>
      <c r="AZ1050" s="1968"/>
      <c r="BA1050" s="1968"/>
      <c r="BB1050" s="1968"/>
      <c r="BC1050" s="1968"/>
      <c r="BD1050" s="1968"/>
      <c r="BE1050" s="1968"/>
      <c r="BF1050" s="1968"/>
      <c r="BG1050" s="7235"/>
    </row>
    <row customHeight="1" ht="11.25">
      <c r="A1051" s="1312" t="s">
        <v>1069</v>
      </c>
      <c r="B1051" s="1312"/>
      <c r="C1051" s="1312"/>
      <c r="D1051" s="1306"/>
      <c r="E1051" s="1316"/>
      <c r="F1051" s="1974"/>
      <c r="G1051" s="1975"/>
      <c r="H1051" s="2674" t="s">
        <v>176</v>
      </c>
      <c r="I1051" s="2675"/>
      <c r="J1051" s="2644"/>
      <c r="K1051" s="2676"/>
      <c r="L1051" s="2266"/>
      <c r="M1051" s="2267"/>
      <c r="N1051" s="1321"/>
      <c r="O1051" s="1322"/>
      <c r="P1051" s="1314" t="s">
        <v>1108</v>
      </c>
      <c r="Q1051" s="1322"/>
      <c r="R1051" s="1322"/>
      <c r="S1051" s="1322"/>
      <c r="T1051" s="1322"/>
      <c r="U1051" s="1322"/>
      <c r="V1051" s="1322"/>
      <c r="W1051" s="1322"/>
      <c r="X1051" s="1322"/>
      <c r="Y1051" s="1322"/>
      <c r="Z1051" s="1322"/>
      <c r="AA1051" s="1322"/>
      <c r="AB1051" s="1322"/>
      <c r="AC1051" s="1322"/>
      <c r="AD1051" s="1322"/>
      <c r="AE1051" s="1329"/>
      <c r="AF1051" s="2665"/>
      <c r="AG1051" s="2666"/>
      <c r="AH1051" s="2666"/>
      <c r="AI1051" s="8653"/>
      <c r="AJ1051" s="2666"/>
      <c r="AK1051" s="2666"/>
      <c r="AL1051" s="2131"/>
      <c r="AM1051" s="1968"/>
      <c r="AN1051" s="1968"/>
      <c r="AO1051" s="1968"/>
      <c r="AP1051" s="1968"/>
      <c r="AQ1051" s="1968"/>
      <c r="AR1051" s="1968"/>
      <c r="AS1051" s="1968"/>
      <c r="AT1051" s="1968"/>
      <c r="AU1051" s="1968"/>
      <c r="AV1051" s="1968"/>
      <c r="AW1051" s="1968"/>
      <c r="AX1051" s="1968"/>
      <c r="AY1051" s="1968"/>
      <c r="AZ1051" s="1968"/>
      <c r="BA1051" s="1968"/>
      <c r="BB1051" s="1968"/>
      <c r="BC1051" s="1968"/>
      <c r="BD1051" s="1968"/>
      <c r="BE1051" s="1968"/>
      <c r="BF1051" s="1968"/>
      <c r="BG1051" s="7235"/>
    </row>
    <row customHeight="1" ht="11.25">
      <c r="A1052" s="1312" t="s">
        <v>1069</v>
      </c>
      <c r="B1052" s="1312" t="s">
        <v>1198</v>
      </c>
      <c r="C1052" s="1312"/>
      <c r="D1052" s="1306"/>
      <c r="E1052" s="1316"/>
      <c r="F1052" s="1974"/>
      <c r="G1052" s="7143" t="s">
        <v>106</v>
      </c>
      <c r="H1052" s="2674" t="s">
        <v>177</v>
      </c>
      <c r="I1052" s="2675" t="s">
        <v>1200</v>
      </c>
      <c r="J1052" s="2644" t="s">
        <v>1206</v>
      </c>
      <c r="K1052" s="2676" t="s">
        <v>1248</v>
      </c>
      <c r="L1052" s="2266" t="s">
        <v>19</v>
      </c>
      <c r="M1052" s="2267"/>
      <c r="N1052" s="2129"/>
      <c r="O1052" s="1323" t="s">
        <v>398</v>
      </c>
      <c r="P1052" s="1324"/>
      <c r="Q1052" s="1324"/>
      <c r="R1052" s="1324"/>
      <c r="S1052" s="1324"/>
      <c r="T1052" s="1324"/>
      <c r="U1052" s="1324"/>
      <c r="V1052" s="1324"/>
      <c r="W1052" s="1324"/>
      <c r="X1052" s="1324"/>
      <c r="Y1052" s="1324"/>
      <c r="Z1052" s="1324"/>
      <c r="AA1052" s="1324"/>
      <c r="AB1052" s="1324"/>
      <c r="AC1052" s="1324"/>
      <c r="AD1052" s="1324"/>
      <c r="AE1052" s="1324"/>
      <c r="AF1052" s="2665">
        <v>2028</v>
      </c>
      <c r="AG1052" s="2666" t="s">
        <v>1103</v>
      </c>
      <c r="AH1052" s="2666" t="s">
        <v>1228</v>
      </c>
      <c r="AI1052" s="8653"/>
      <c r="AJ1052" s="2666" t="s">
        <v>1105</v>
      </c>
      <c r="AK1052" s="2666" t="s">
        <v>1105</v>
      </c>
      <c r="AL1052" s="2131"/>
      <c r="AM1052" s="1968"/>
      <c r="AN1052" s="1968"/>
      <c r="AO1052" s="1968"/>
      <c r="AP1052" s="1968"/>
      <c r="AQ1052" s="1968"/>
      <c r="AR1052" s="1968"/>
      <c r="AS1052" s="1968"/>
      <c r="AT1052" s="1968"/>
      <c r="AU1052" s="1968"/>
      <c r="AV1052" s="1968"/>
      <c r="AW1052" s="1968"/>
      <c r="AX1052" s="1968"/>
      <c r="AY1052" s="1968"/>
      <c r="AZ1052" s="1968"/>
      <c r="BA1052" s="1968"/>
      <c r="BB1052" s="1968"/>
      <c r="BC1052" s="1968"/>
      <c r="BD1052" s="1968"/>
      <c r="BE1052" s="1968"/>
      <c r="BF1052" s="1968"/>
      <c r="BG1052" s="7235"/>
    </row>
    <row customHeight="1" ht="11.25">
      <c r="A1053" s="1312" t="s">
        <v>1069</v>
      </c>
      <c r="B1053" s="1312"/>
      <c r="C1053" s="1312"/>
      <c r="D1053" s="1306"/>
      <c r="E1053" s="1316"/>
      <c r="F1053" s="1974"/>
      <c r="G1053" s="1975"/>
      <c r="H1053" s="2674" t="s">
        <v>177</v>
      </c>
      <c r="I1053" s="2675"/>
      <c r="J1053" s="2644"/>
      <c r="K1053" s="2676"/>
      <c r="L1053" s="2266"/>
      <c r="M1053" s="2267"/>
      <c r="N1053" s="2667"/>
      <c r="O1053" s="2668">
        <v>1</v>
      </c>
      <c r="P1053" s="2669" t="s">
        <v>19</v>
      </c>
      <c r="Q1053" s="2672" t="s">
        <v>22</v>
      </c>
      <c r="R1053" s="2672" t="s">
        <v>22</v>
      </c>
      <c r="S1053" s="2672" t="s">
        <v>22</v>
      </c>
      <c r="T1053" s="2672" t="s">
        <v>22</v>
      </c>
      <c r="U1053" s="2672" t="s">
        <v>22</v>
      </c>
      <c r="V1053" s="2672" t="s">
        <v>22</v>
      </c>
      <c r="W1053" s="2672" t="s">
        <v>22</v>
      </c>
      <c r="X1053" s="2672" t="s">
        <v>22</v>
      </c>
      <c r="Y1053" s="2672"/>
      <c r="Z1053" s="1321"/>
      <c r="AA1053" s="1322"/>
      <c r="AB1053" s="1322"/>
      <c r="AC1053" s="1326"/>
      <c r="AD1053" s="1326"/>
      <c r="AE1053" s="1327"/>
      <c r="AF1053" s="2665"/>
      <c r="AG1053" s="2666"/>
      <c r="AH1053" s="2666"/>
      <c r="AI1053" s="8653"/>
      <c r="AJ1053" s="2666"/>
      <c r="AK1053" s="2666"/>
      <c r="AL1053" s="2131"/>
      <c r="AM1053" s="1968"/>
      <c r="AN1053" s="1968"/>
      <c r="AO1053" s="1968"/>
      <c r="AP1053" s="1968"/>
      <c r="AQ1053" s="1968"/>
      <c r="AR1053" s="1968"/>
      <c r="AS1053" s="1968"/>
      <c r="AT1053" s="1968"/>
      <c r="AU1053" s="1968"/>
      <c r="AV1053" s="1968"/>
      <c r="AW1053" s="1968"/>
      <c r="AX1053" s="1968"/>
      <c r="AY1053" s="1968"/>
      <c r="AZ1053" s="1968"/>
      <c r="BA1053" s="1968"/>
      <c r="BB1053" s="1968"/>
      <c r="BC1053" s="1968"/>
      <c r="BD1053" s="1968"/>
      <c r="BE1053" s="1968"/>
      <c r="BF1053" s="1968"/>
      <c r="BG1053" s="7235"/>
    </row>
    <row customHeight="1" ht="11.25">
      <c r="A1054" s="1312" t="s">
        <v>1069</v>
      </c>
      <c r="B1054" s="1312"/>
      <c r="C1054" s="1312"/>
      <c r="D1054" s="1306"/>
      <c r="E1054" s="1316"/>
      <c r="F1054" s="1974"/>
      <c r="G1054" s="1975"/>
      <c r="H1054" s="2674" t="s">
        <v>177</v>
      </c>
      <c r="I1054" s="2675"/>
      <c r="J1054" s="2644"/>
      <c r="K1054" s="2676"/>
      <c r="L1054" s="2266"/>
      <c r="M1054" s="2267"/>
      <c r="N1054" s="2667"/>
      <c r="O1054" s="2668"/>
      <c r="P1054" s="2670"/>
      <c r="Q1054" s="2672"/>
      <c r="R1054" s="2672"/>
      <c r="S1054" s="2673"/>
      <c r="T1054" s="2672"/>
      <c r="U1054" s="2672"/>
      <c r="V1054" s="2672"/>
      <c r="W1054" s="2672"/>
      <c r="X1054" s="2672"/>
      <c r="Y1054" s="2672"/>
      <c r="Z1054" s="1973"/>
      <c r="AA1054" s="1939">
        <v>1</v>
      </c>
      <c r="AB1054" s="1325" t="s">
        <v>1131</v>
      </c>
      <c r="AC1054" s="1315">
        <v>6949</v>
      </c>
      <c r="AD1054" s="1325" t="str">
        <f>AB1054</f>
        <v>      Прочие амортизационные отчисления</v>
      </c>
      <c r="AE1054" s="1315">
        <v>0</v>
      </c>
      <c r="AF1054" s="2665"/>
      <c r="AG1054" s="2666"/>
      <c r="AH1054" s="2666"/>
      <c r="AI1054" s="8653"/>
      <c r="AJ1054" s="2666"/>
      <c r="AK1054" s="2666"/>
      <c r="AL1054" s="2131"/>
      <c r="AM1054" s="1968"/>
      <c r="AN1054" s="1968"/>
      <c r="AO1054" s="1968"/>
      <c r="AP1054" s="1968"/>
      <c r="AQ1054" s="1968"/>
      <c r="AR1054" s="1968"/>
      <c r="AS1054" s="1968"/>
      <c r="AT1054" s="1968"/>
      <c r="AU1054" s="1968"/>
      <c r="AV1054" s="1968"/>
      <c r="AW1054" s="1968"/>
      <c r="AX1054" s="1968"/>
      <c r="AY1054" s="1968"/>
      <c r="AZ1054" s="1968"/>
      <c r="BA1054" s="1968"/>
      <c r="BB1054" s="1968"/>
      <c r="BC1054" s="1968"/>
      <c r="BD1054" s="1968"/>
      <c r="BE1054" s="1968"/>
      <c r="BF1054" s="1968"/>
      <c r="BG1054" s="7235"/>
    </row>
    <row customHeight="1" ht="11.25">
      <c r="A1055" s="1312" t="s">
        <v>1069</v>
      </c>
      <c r="B1055" s="1312"/>
      <c r="C1055" s="1312"/>
      <c r="D1055" s="1306"/>
      <c r="E1055" s="1316"/>
      <c r="F1055" s="1974"/>
      <c r="G1055" s="1975"/>
      <c r="H1055" s="2674" t="s">
        <v>177</v>
      </c>
      <c r="I1055" s="2675"/>
      <c r="J1055" s="2644"/>
      <c r="K1055" s="2676"/>
      <c r="L1055" s="2266"/>
      <c r="M1055" s="2267"/>
      <c r="N1055" s="2667"/>
      <c r="O1055" s="2668"/>
      <c r="P1055" s="2671"/>
      <c r="Q1055" s="2672"/>
      <c r="R1055" s="2672"/>
      <c r="S1055" s="2673"/>
      <c r="T1055" s="2672"/>
      <c r="U1055" s="2672"/>
      <c r="V1055" s="2672"/>
      <c r="W1055" s="2672"/>
      <c r="X1055" s="2672"/>
      <c r="Y1055" s="2672"/>
      <c r="Z1055" s="1321"/>
      <c r="AA1055" s="1322"/>
      <c r="AB1055" s="1387" t="s">
        <v>1107</v>
      </c>
      <c r="AC1055" s="1326"/>
      <c r="AD1055" s="1326"/>
      <c r="AE1055" s="1328"/>
      <c r="AF1055" s="2665"/>
      <c r="AG1055" s="2666"/>
      <c r="AH1055" s="2666"/>
      <c r="AI1055" s="8653"/>
      <c r="AJ1055" s="2666"/>
      <c r="AK1055" s="2666"/>
      <c r="AL1055" s="2131"/>
      <c r="AM1055" s="1968"/>
      <c r="AN1055" s="1968"/>
      <c r="AO1055" s="1968"/>
      <c r="AP1055" s="1968"/>
      <c r="AQ1055" s="1968"/>
      <c r="AR1055" s="1968"/>
      <c r="AS1055" s="1968"/>
      <c r="AT1055" s="1968"/>
      <c r="AU1055" s="1968"/>
      <c r="AV1055" s="1968"/>
      <c r="AW1055" s="1968"/>
      <c r="AX1055" s="1968"/>
      <c r="AY1055" s="1968"/>
      <c r="AZ1055" s="1968"/>
      <c r="BA1055" s="1968"/>
      <c r="BB1055" s="1968"/>
      <c r="BC1055" s="1968"/>
      <c r="BD1055" s="1968"/>
      <c r="BE1055" s="1968"/>
      <c r="BF1055" s="1968"/>
      <c r="BG1055" s="7235"/>
    </row>
    <row customHeight="1" ht="11.25">
      <c r="A1056" s="1312" t="s">
        <v>1069</v>
      </c>
      <c r="B1056" s="1312"/>
      <c r="C1056" s="1312"/>
      <c r="D1056" s="1306"/>
      <c r="E1056" s="1316"/>
      <c r="F1056" s="1974"/>
      <c r="G1056" s="1975"/>
      <c r="H1056" s="2674" t="s">
        <v>177</v>
      </c>
      <c r="I1056" s="2675"/>
      <c r="J1056" s="2644"/>
      <c r="K1056" s="2676"/>
      <c r="L1056" s="2266"/>
      <c r="M1056" s="2267"/>
      <c r="N1056" s="1321"/>
      <c r="O1056" s="1322"/>
      <c r="P1056" s="1314" t="s">
        <v>1108</v>
      </c>
      <c r="Q1056" s="1322"/>
      <c r="R1056" s="1322"/>
      <c r="S1056" s="1322"/>
      <c r="T1056" s="1322"/>
      <c r="U1056" s="1322"/>
      <c r="V1056" s="1322"/>
      <c r="W1056" s="1322"/>
      <c r="X1056" s="1322"/>
      <c r="Y1056" s="1322"/>
      <c r="Z1056" s="1322"/>
      <c r="AA1056" s="1322"/>
      <c r="AB1056" s="1322"/>
      <c r="AC1056" s="1322"/>
      <c r="AD1056" s="1322"/>
      <c r="AE1056" s="1329"/>
      <c r="AF1056" s="2665"/>
      <c r="AG1056" s="2666"/>
      <c r="AH1056" s="2666"/>
      <c r="AI1056" s="8653"/>
      <c r="AJ1056" s="2666"/>
      <c r="AK1056" s="2666"/>
      <c r="AL1056" s="2131"/>
      <c r="AM1056" s="1968"/>
      <c r="AN1056" s="1968"/>
      <c r="AO1056" s="1968"/>
      <c r="AP1056" s="1968"/>
      <c r="AQ1056" s="1968"/>
      <c r="AR1056" s="1968"/>
      <c r="AS1056" s="1968"/>
      <c r="AT1056" s="1968"/>
      <c r="AU1056" s="1968"/>
      <c r="AV1056" s="1968"/>
      <c r="AW1056" s="1968"/>
      <c r="AX1056" s="1968"/>
      <c r="AY1056" s="1968"/>
      <c r="AZ1056" s="1968"/>
      <c r="BA1056" s="1968"/>
      <c r="BB1056" s="1968"/>
      <c r="BC1056" s="1968"/>
      <c r="BD1056" s="1968"/>
      <c r="BE1056" s="1968"/>
      <c r="BF1056" s="1968"/>
      <c r="BG1056" s="7235"/>
    </row>
    <row customHeight="1" ht="11.25">
      <c r="A1057" s="1312" t="s">
        <v>1069</v>
      </c>
      <c r="B1057" s="1312" t="s">
        <v>1198</v>
      </c>
      <c r="C1057" s="1312"/>
      <c r="D1057" s="1306"/>
      <c r="E1057" s="1316"/>
      <c r="F1057" s="1974"/>
      <c r="G1057" s="7143" t="s">
        <v>106</v>
      </c>
      <c r="H1057" s="2674" t="s">
        <v>1190</v>
      </c>
      <c r="I1057" s="2675" t="s">
        <v>1200</v>
      </c>
      <c r="J1057" s="2644" t="s">
        <v>1206</v>
      </c>
      <c r="K1057" s="2676" t="s">
        <v>1250</v>
      </c>
      <c r="L1057" s="2266" t="s">
        <v>19</v>
      </c>
      <c r="M1057" s="2267"/>
      <c r="N1057" s="2129"/>
      <c r="O1057" s="1323" t="s">
        <v>398</v>
      </c>
      <c r="P1057" s="1324"/>
      <c r="Q1057" s="1324"/>
      <c r="R1057" s="1324"/>
      <c r="S1057" s="1324"/>
      <c r="T1057" s="1324"/>
      <c r="U1057" s="1324"/>
      <c r="V1057" s="1324"/>
      <c r="W1057" s="1324"/>
      <c r="X1057" s="1324"/>
      <c r="Y1057" s="1324"/>
      <c r="Z1057" s="1324"/>
      <c r="AA1057" s="1324"/>
      <c r="AB1057" s="1324"/>
      <c r="AC1057" s="1324"/>
      <c r="AD1057" s="1324"/>
      <c r="AE1057" s="1324"/>
      <c r="AF1057" s="2665">
        <v>2028</v>
      </c>
      <c r="AG1057" s="2666" t="s">
        <v>1103</v>
      </c>
      <c r="AH1057" s="2666" t="s">
        <v>1228</v>
      </c>
      <c r="AI1057" s="8653"/>
      <c r="AJ1057" s="2666" t="s">
        <v>1105</v>
      </c>
      <c r="AK1057" s="2666" t="s">
        <v>1105</v>
      </c>
      <c r="AL1057" s="2131"/>
      <c r="AM1057" s="1968"/>
      <c r="AN1057" s="1968"/>
      <c r="AO1057" s="1968"/>
      <c r="AP1057" s="1968"/>
      <c r="AQ1057" s="1968"/>
      <c r="AR1057" s="1968"/>
      <c r="AS1057" s="1968"/>
      <c r="AT1057" s="1968"/>
      <c r="AU1057" s="1968"/>
      <c r="AV1057" s="1968"/>
      <c r="AW1057" s="1968"/>
      <c r="AX1057" s="1968"/>
      <c r="AY1057" s="1968"/>
      <c r="AZ1057" s="1968"/>
      <c r="BA1057" s="1968"/>
      <c r="BB1057" s="1968"/>
      <c r="BC1057" s="1968"/>
      <c r="BD1057" s="1968"/>
      <c r="BE1057" s="1968"/>
      <c r="BF1057" s="1968"/>
      <c r="BG1057" s="7235"/>
    </row>
    <row customHeight="1" ht="11.25">
      <c r="A1058" s="1312" t="s">
        <v>1069</v>
      </c>
      <c r="B1058" s="1312"/>
      <c r="C1058" s="1312"/>
      <c r="D1058" s="1306"/>
      <c r="E1058" s="1316"/>
      <c r="F1058" s="1974"/>
      <c r="G1058" s="1975"/>
      <c r="H1058" s="2674" t="s">
        <v>1190</v>
      </c>
      <c r="I1058" s="2675"/>
      <c r="J1058" s="2644"/>
      <c r="K1058" s="2676"/>
      <c r="L1058" s="2266"/>
      <c r="M1058" s="2267"/>
      <c r="N1058" s="2667"/>
      <c r="O1058" s="2668">
        <v>1</v>
      </c>
      <c r="P1058" s="2669" t="s">
        <v>19</v>
      </c>
      <c r="Q1058" s="2672" t="s">
        <v>22</v>
      </c>
      <c r="R1058" s="2672" t="s">
        <v>22</v>
      </c>
      <c r="S1058" s="2672" t="s">
        <v>22</v>
      </c>
      <c r="T1058" s="2672" t="s">
        <v>22</v>
      </c>
      <c r="U1058" s="2672" t="s">
        <v>22</v>
      </c>
      <c r="V1058" s="2672" t="s">
        <v>22</v>
      </c>
      <c r="W1058" s="2672" t="s">
        <v>22</v>
      </c>
      <c r="X1058" s="2672" t="s">
        <v>22</v>
      </c>
      <c r="Y1058" s="2672"/>
      <c r="Z1058" s="1321"/>
      <c r="AA1058" s="1322"/>
      <c r="AB1058" s="1322"/>
      <c r="AC1058" s="1326"/>
      <c r="AD1058" s="1326"/>
      <c r="AE1058" s="1327"/>
      <c r="AF1058" s="2665"/>
      <c r="AG1058" s="2666"/>
      <c r="AH1058" s="2666"/>
      <c r="AI1058" s="8653"/>
      <c r="AJ1058" s="2666"/>
      <c r="AK1058" s="2666"/>
      <c r="AL1058" s="2131"/>
      <c r="AM1058" s="1968"/>
      <c r="AN1058" s="1968"/>
      <c r="AO1058" s="1968"/>
      <c r="AP1058" s="1968"/>
      <c r="AQ1058" s="1968"/>
      <c r="AR1058" s="1968"/>
      <c r="AS1058" s="1968"/>
      <c r="AT1058" s="1968"/>
      <c r="AU1058" s="1968"/>
      <c r="AV1058" s="1968"/>
      <c r="AW1058" s="1968"/>
      <c r="AX1058" s="1968"/>
      <c r="AY1058" s="1968"/>
      <c r="AZ1058" s="1968"/>
      <c r="BA1058" s="1968"/>
      <c r="BB1058" s="1968"/>
      <c r="BC1058" s="1968"/>
      <c r="BD1058" s="1968"/>
      <c r="BE1058" s="1968"/>
      <c r="BF1058" s="1968"/>
      <c r="BG1058" s="7235"/>
    </row>
    <row customHeight="1" ht="11.25">
      <c r="A1059" s="1312" t="s">
        <v>1069</v>
      </c>
      <c r="B1059" s="1312"/>
      <c r="C1059" s="1312"/>
      <c r="D1059" s="1306"/>
      <c r="E1059" s="1316"/>
      <c r="F1059" s="1974"/>
      <c r="G1059" s="1975"/>
      <c r="H1059" s="2674" t="s">
        <v>1190</v>
      </c>
      <c r="I1059" s="2675"/>
      <c r="J1059" s="2644"/>
      <c r="K1059" s="2676"/>
      <c r="L1059" s="2266"/>
      <c r="M1059" s="2267"/>
      <c r="N1059" s="2667"/>
      <c r="O1059" s="2668"/>
      <c r="P1059" s="2670"/>
      <c r="Q1059" s="2672"/>
      <c r="R1059" s="2672"/>
      <c r="S1059" s="2673"/>
      <c r="T1059" s="2672"/>
      <c r="U1059" s="2672"/>
      <c r="V1059" s="2672"/>
      <c r="W1059" s="2672"/>
      <c r="X1059" s="2672"/>
      <c r="Y1059" s="2672"/>
      <c r="Z1059" s="1973"/>
      <c r="AA1059" s="1939">
        <v>1</v>
      </c>
      <c r="AB1059" s="1325" t="s">
        <v>1131</v>
      </c>
      <c r="AC1059" s="1315">
        <v>17599</v>
      </c>
      <c r="AD1059" s="1325" t="str">
        <f>AB1059</f>
        <v>      Прочие амортизационные отчисления</v>
      </c>
      <c r="AE1059" s="1315">
        <v>0</v>
      </c>
      <c r="AF1059" s="2665"/>
      <c r="AG1059" s="2666"/>
      <c r="AH1059" s="2666"/>
      <c r="AI1059" s="8653"/>
      <c r="AJ1059" s="2666"/>
      <c r="AK1059" s="2666"/>
      <c r="AL1059" s="2131"/>
      <c r="AM1059" s="1968"/>
      <c r="AN1059" s="1968"/>
      <c r="AO1059" s="1968"/>
      <c r="AP1059" s="1968"/>
      <c r="AQ1059" s="1968"/>
      <c r="AR1059" s="1968"/>
      <c r="AS1059" s="1968"/>
      <c r="AT1059" s="1968"/>
      <c r="AU1059" s="1968"/>
      <c r="AV1059" s="1968"/>
      <c r="AW1059" s="1968"/>
      <c r="AX1059" s="1968"/>
      <c r="AY1059" s="1968"/>
      <c r="AZ1059" s="1968"/>
      <c r="BA1059" s="1968"/>
      <c r="BB1059" s="1968"/>
      <c r="BC1059" s="1968"/>
      <c r="BD1059" s="1968"/>
      <c r="BE1059" s="1968"/>
      <c r="BF1059" s="1968"/>
      <c r="BG1059" s="7235"/>
    </row>
    <row customHeight="1" ht="11.25">
      <c r="A1060" s="1312" t="s">
        <v>1069</v>
      </c>
      <c r="B1060" s="1312"/>
      <c r="C1060" s="1312"/>
      <c r="D1060" s="1306"/>
      <c r="E1060" s="1316"/>
      <c r="F1060" s="1974"/>
      <c r="G1060" s="1975"/>
      <c r="H1060" s="2674" t="s">
        <v>1190</v>
      </c>
      <c r="I1060" s="2675"/>
      <c r="J1060" s="2644"/>
      <c r="K1060" s="2676"/>
      <c r="L1060" s="2266"/>
      <c r="M1060" s="2267"/>
      <c r="N1060" s="2667"/>
      <c r="O1060" s="2668"/>
      <c r="P1060" s="2671"/>
      <c r="Q1060" s="2672"/>
      <c r="R1060" s="2672"/>
      <c r="S1060" s="2673"/>
      <c r="T1060" s="2672"/>
      <c r="U1060" s="2672"/>
      <c r="V1060" s="2672"/>
      <c r="W1060" s="2672"/>
      <c r="X1060" s="2672"/>
      <c r="Y1060" s="2672"/>
      <c r="Z1060" s="1321"/>
      <c r="AA1060" s="1322"/>
      <c r="AB1060" s="1387" t="s">
        <v>1107</v>
      </c>
      <c r="AC1060" s="1326"/>
      <c r="AD1060" s="1326"/>
      <c r="AE1060" s="1328"/>
      <c r="AF1060" s="2665"/>
      <c r="AG1060" s="2666"/>
      <c r="AH1060" s="2666"/>
      <c r="AI1060" s="8653"/>
      <c r="AJ1060" s="2666"/>
      <c r="AK1060" s="2666"/>
      <c r="AL1060" s="2131"/>
      <c r="AM1060" s="1968"/>
      <c r="AN1060" s="1968"/>
      <c r="AO1060" s="1968"/>
      <c r="AP1060" s="1968"/>
      <c r="AQ1060" s="1968"/>
      <c r="AR1060" s="1968"/>
      <c r="AS1060" s="1968"/>
      <c r="AT1060" s="1968"/>
      <c r="AU1060" s="1968"/>
      <c r="AV1060" s="1968"/>
      <c r="AW1060" s="1968"/>
      <c r="AX1060" s="1968"/>
      <c r="AY1060" s="1968"/>
      <c r="AZ1060" s="1968"/>
      <c r="BA1060" s="1968"/>
      <c r="BB1060" s="1968"/>
      <c r="BC1060" s="1968"/>
      <c r="BD1060" s="1968"/>
      <c r="BE1060" s="1968"/>
      <c r="BF1060" s="1968"/>
      <c r="BG1060" s="7235"/>
    </row>
    <row customHeight="1" ht="11.25">
      <c r="A1061" s="1312" t="s">
        <v>1069</v>
      </c>
      <c r="B1061" s="1312"/>
      <c r="C1061" s="1312"/>
      <c r="D1061" s="1306"/>
      <c r="E1061" s="1316"/>
      <c r="F1061" s="1974"/>
      <c r="G1061" s="1975"/>
      <c r="H1061" s="2674" t="s">
        <v>1190</v>
      </c>
      <c r="I1061" s="2675"/>
      <c r="J1061" s="2644"/>
      <c r="K1061" s="2676"/>
      <c r="L1061" s="2266"/>
      <c r="M1061" s="2267"/>
      <c r="N1061" s="1321"/>
      <c r="O1061" s="1322"/>
      <c r="P1061" s="1314" t="s">
        <v>1108</v>
      </c>
      <c r="Q1061" s="1322"/>
      <c r="R1061" s="1322"/>
      <c r="S1061" s="1322"/>
      <c r="T1061" s="1322"/>
      <c r="U1061" s="1322"/>
      <c r="V1061" s="1322"/>
      <c r="W1061" s="1322"/>
      <c r="X1061" s="1322"/>
      <c r="Y1061" s="1322"/>
      <c r="Z1061" s="1322"/>
      <c r="AA1061" s="1322"/>
      <c r="AB1061" s="1322"/>
      <c r="AC1061" s="1322"/>
      <c r="AD1061" s="1322"/>
      <c r="AE1061" s="1329"/>
      <c r="AF1061" s="2665"/>
      <c r="AG1061" s="2666"/>
      <c r="AH1061" s="2666"/>
      <c r="AI1061" s="8653"/>
      <c r="AJ1061" s="2666"/>
      <c r="AK1061" s="2666"/>
      <c r="AL1061" s="2131"/>
      <c r="AM1061" s="1968"/>
      <c r="AN1061" s="1968"/>
      <c r="AO1061" s="1968"/>
      <c r="AP1061" s="1968"/>
      <c r="AQ1061" s="1968"/>
      <c r="AR1061" s="1968"/>
      <c r="AS1061" s="1968"/>
      <c r="AT1061" s="1968"/>
      <c r="AU1061" s="1968"/>
      <c r="AV1061" s="1968"/>
      <c r="AW1061" s="1968"/>
      <c r="AX1061" s="1968"/>
      <c r="AY1061" s="1968"/>
      <c r="AZ1061" s="1968"/>
      <c r="BA1061" s="1968"/>
      <c r="BB1061" s="1968"/>
      <c r="BC1061" s="1968"/>
      <c r="BD1061" s="1968"/>
      <c r="BE1061" s="1968"/>
      <c r="BF1061" s="1968"/>
      <c r="BG1061" s="7235"/>
    </row>
    <row customHeight="1" ht="11.25">
      <c r="A1062" s="1312" t="s">
        <v>1069</v>
      </c>
      <c r="B1062" s="1312" t="s">
        <v>1198</v>
      </c>
      <c r="C1062" s="1312"/>
      <c r="D1062" s="1306"/>
      <c r="E1062" s="1316"/>
      <c r="F1062" s="1974"/>
      <c r="G1062" s="7143" t="s">
        <v>106</v>
      </c>
      <c r="H1062" s="2674" t="s">
        <v>1196</v>
      </c>
      <c r="I1062" s="2675" t="s">
        <v>1200</v>
      </c>
      <c r="J1062" s="2644" t="s">
        <v>1201</v>
      </c>
      <c r="K1062" s="2676" t="s">
        <v>1322</v>
      </c>
      <c r="L1062" s="2266" t="s">
        <v>19</v>
      </c>
      <c r="M1062" s="2267"/>
      <c r="N1062" s="2129"/>
      <c r="O1062" s="1323" t="s">
        <v>398</v>
      </c>
      <c r="P1062" s="1324"/>
      <c r="Q1062" s="1324"/>
      <c r="R1062" s="1324"/>
      <c r="S1062" s="1324"/>
      <c r="T1062" s="1324"/>
      <c r="U1062" s="1324"/>
      <c r="V1062" s="1324"/>
      <c r="W1062" s="1324"/>
      <c r="X1062" s="1324"/>
      <c r="Y1062" s="1324"/>
      <c r="Z1062" s="1324"/>
      <c r="AA1062" s="1324"/>
      <c r="AB1062" s="1324"/>
      <c r="AC1062" s="1324"/>
      <c r="AD1062" s="1324"/>
      <c r="AE1062" s="1324"/>
      <c r="AF1062" s="2665">
        <v>2027</v>
      </c>
      <c r="AG1062" s="2666" t="s">
        <v>1103</v>
      </c>
      <c r="AH1062" s="2666" t="s">
        <v>1164</v>
      </c>
      <c r="AI1062" s="8678"/>
      <c r="AJ1062" s="2666" t="s">
        <v>1105</v>
      </c>
      <c r="AK1062" s="2666" t="s">
        <v>1105</v>
      </c>
      <c r="AL1062" s="2131"/>
      <c r="AM1062" s="1968"/>
      <c r="AN1062" s="1968"/>
      <c r="AO1062" s="1968"/>
      <c r="AP1062" s="1968"/>
      <c r="AQ1062" s="1968"/>
      <c r="AR1062" s="1968"/>
      <c r="AS1062" s="1968"/>
      <c r="AT1062" s="1968"/>
      <c r="AU1062" s="1968"/>
      <c r="AV1062" s="1968"/>
      <c r="AW1062" s="1968"/>
      <c r="AX1062" s="1968"/>
      <c r="AY1062" s="1968"/>
      <c r="AZ1062" s="1968"/>
      <c r="BA1062" s="1968"/>
      <c r="BB1062" s="1968"/>
      <c r="BC1062" s="1968"/>
      <c r="BD1062" s="1968"/>
      <c r="BE1062" s="1968"/>
      <c r="BF1062" s="1968"/>
      <c r="BG1062" s="7235"/>
    </row>
    <row customHeight="1" ht="11.25">
      <c r="A1063" s="1312" t="s">
        <v>1069</v>
      </c>
      <c r="B1063" s="1312"/>
      <c r="C1063" s="1312"/>
      <c r="D1063" s="1306"/>
      <c r="E1063" s="1316"/>
      <c r="F1063" s="1974"/>
      <c r="G1063" s="1975"/>
      <c r="H1063" s="2674" t="s">
        <v>1190</v>
      </c>
      <c r="I1063" s="2675"/>
      <c r="J1063" s="2644"/>
      <c r="K1063" s="2676"/>
      <c r="L1063" s="2266"/>
      <c r="M1063" s="2267"/>
      <c r="N1063" s="2667"/>
      <c r="O1063" s="2668">
        <v>1</v>
      </c>
      <c r="P1063" s="2669" t="s">
        <v>63</v>
      </c>
      <c r="Q1063" s="8679" t="s">
        <v>1176</v>
      </c>
      <c r="R1063" s="8680" t="s">
        <v>1177</v>
      </c>
      <c r="S1063" s="8680" t="s">
        <v>113</v>
      </c>
      <c r="T1063" s="8680" t="s">
        <v>113</v>
      </c>
      <c r="U1063" s="8680" t="s">
        <v>114</v>
      </c>
      <c r="V1063" s="8680" t="s">
        <v>1115</v>
      </c>
      <c r="W1063" s="8680" t="s">
        <v>1116</v>
      </c>
      <c r="X1063" s="8680" t="s">
        <v>1178</v>
      </c>
      <c r="Y1063" s="8680" t="s">
        <v>1178</v>
      </c>
      <c r="Z1063" s="1321"/>
      <c r="AA1063" s="1322"/>
      <c r="AB1063" s="1322"/>
      <c r="AC1063" s="1326"/>
      <c r="AD1063" s="1326"/>
      <c r="AE1063" s="1327"/>
      <c r="AF1063" s="2665"/>
      <c r="AG1063" s="2666"/>
      <c r="AH1063" s="2666"/>
      <c r="AI1063" s="8678"/>
      <c r="AJ1063" s="2666"/>
      <c r="AK1063" s="2666"/>
      <c r="AL1063" s="2131"/>
      <c r="AM1063" s="1968"/>
      <c r="AN1063" s="1968"/>
      <c r="AO1063" s="1968"/>
      <c r="AP1063" s="1968"/>
      <c r="AQ1063" s="1968"/>
      <c r="AR1063" s="1968"/>
      <c r="AS1063" s="1968"/>
      <c r="AT1063" s="1968"/>
      <c r="AU1063" s="1968"/>
      <c r="AV1063" s="1968"/>
      <c r="AW1063" s="1968"/>
      <c r="AX1063" s="1968"/>
      <c r="AY1063" s="1968"/>
      <c r="AZ1063" s="1968"/>
      <c r="BA1063" s="1968"/>
      <c r="BB1063" s="1968"/>
      <c r="BC1063" s="1968"/>
      <c r="BD1063" s="1968"/>
      <c r="BE1063" s="1968"/>
      <c r="BF1063" s="1968"/>
      <c r="BG1063" s="7235"/>
    </row>
    <row customHeight="1" ht="11.25">
      <c r="A1064" s="1312" t="s">
        <v>1069</v>
      </c>
      <c r="B1064" s="1312"/>
      <c r="C1064" s="1312"/>
      <c r="D1064" s="1306"/>
      <c r="E1064" s="1316"/>
      <c r="F1064" s="1974"/>
      <c r="G1064" s="1975"/>
      <c r="H1064" s="2674" t="s">
        <v>1190</v>
      </c>
      <c r="I1064" s="2675"/>
      <c r="J1064" s="2644"/>
      <c r="K1064" s="2676"/>
      <c r="L1064" s="2266"/>
      <c r="M1064" s="2267"/>
      <c r="N1064" s="2667"/>
      <c r="O1064" s="2668"/>
      <c r="P1064" s="2670"/>
      <c r="Q1064" s="8679"/>
      <c r="R1064" s="2672"/>
      <c r="S1064" s="2673"/>
      <c r="T1064" s="2672"/>
      <c r="U1064" s="2672"/>
      <c r="V1064" s="2672"/>
      <c r="W1064" s="2672"/>
      <c r="X1064" s="2672"/>
      <c r="Y1064" s="2672"/>
      <c r="Z1064" s="1973"/>
      <c r="AA1064" s="1939">
        <v>1</v>
      </c>
      <c r="AB1064" s="1325" t="s">
        <v>1106</v>
      </c>
      <c r="AC1064" s="1315">
        <v>44232</v>
      </c>
      <c r="AD1064" s="1325" t="str">
        <f>AB1064</f>
        <v>  Прибыль направляемая на инвестиции</v>
      </c>
      <c r="AE1064" s="1315">
        <v>0</v>
      </c>
      <c r="AF1064" s="2665"/>
      <c r="AG1064" s="2666"/>
      <c r="AH1064" s="2666"/>
      <c r="AI1064" s="8678"/>
      <c r="AJ1064" s="2666"/>
      <c r="AK1064" s="2666"/>
      <c r="AL1064" s="2131"/>
      <c r="AM1064" s="1968"/>
      <c r="AN1064" s="1968"/>
      <c r="AO1064" s="1968"/>
      <c r="AP1064" s="1968"/>
      <c r="AQ1064" s="1968"/>
      <c r="AR1064" s="1968"/>
      <c r="AS1064" s="1968"/>
      <c r="AT1064" s="1968"/>
      <c r="AU1064" s="1968"/>
      <c r="AV1064" s="1968"/>
      <c r="AW1064" s="1968"/>
      <c r="AX1064" s="1968"/>
      <c r="AY1064" s="1968"/>
      <c r="AZ1064" s="1968"/>
      <c r="BA1064" s="1968"/>
      <c r="BB1064" s="1968"/>
      <c r="BC1064" s="1968"/>
      <c r="BD1064" s="1968"/>
      <c r="BE1064" s="1968"/>
      <c r="BF1064" s="1968"/>
      <c r="BG1064" s="7235"/>
    </row>
    <row customHeight="1" ht="11.25">
      <c r="A1065" s="1312" t="s">
        <v>1069</v>
      </c>
      <c r="B1065" s="1312"/>
      <c r="C1065" s="1312"/>
      <c r="D1065" s="1306"/>
      <c r="E1065" s="1316"/>
      <c r="F1065" s="1974"/>
      <c r="G1065" s="1975"/>
      <c r="H1065" s="2674" t="s">
        <v>1190</v>
      </c>
      <c r="I1065" s="2675"/>
      <c r="J1065" s="2644"/>
      <c r="K1065" s="2676"/>
      <c r="L1065" s="2266"/>
      <c r="M1065" s="2267"/>
      <c r="N1065" s="2667"/>
      <c r="O1065" s="2668"/>
      <c r="P1065" s="2671"/>
      <c r="Q1065" s="8679"/>
      <c r="R1065" s="2672"/>
      <c r="S1065" s="2673"/>
      <c r="T1065" s="2672"/>
      <c r="U1065" s="2672"/>
      <c r="V1065" s="2672"/>
      <c r="W1065" s="2672"/>
      <c r="X1065" s="2672"/>
      <c r="Y1065" s="2672"/>
      <c r="Z1065" s="1321"/>
      <c r="AA1065" s="1322"/>
      <c r="AB1065" s="1387" t="s">
        <v>1107</v>
      </c>
      <c r="AC1065" s="1326"/>
      <c r="AD1065" s="1326"/>
      <c r="AE1065" s="1328"/>
      <c r="AF1065" s="2665"/>
      <c r="AG1065" s="2666"/>
      <c r="AH1065" s="2666"/>
      <c r="AI1065" s="8678"/>
      <c r="AJ1065" s="2666"/>
      <c r="AK1065" s="2666"/>
      <c r="AL1065" s="2131"/>
      <c r="AM1065" s="1968"/>
      <c r="AN1065" s="1968"/>
      <c r="AO1065" s="1968"/>
      <c r="AP1065" s="1968"/>
      <c r="AQ1065" s="1968"/>
      <c r="AR1065" s="1968"/>
      <c r="AS1065" s="1968"/>
      <c r="AT1065" s="1968"/>
      <c r="AU1065" s="1968"/>
      <c r="AV1065" s="1968"/>
      <c r="AW1065" s="1968"/>
      <c r="AX1065" s="1968"/>
      <c r="AY1065" s="1968"/>
      <c r="AZ1065" s="1968"/>
      <c r="BA1065" s="1968"/>
      <c r="BB1065" s="1968"/>
      <c r="BC1065" s="1968"/>
      <c r="BD1065" s="1968"/>
      <c r="BE1065" s="1968"/>
      <c r="BF1065" s="1968"/>
      <c r="BG1065" s="7235"/>
    </row>
    <row customHeight="1" ht="11.25">
      <c r="A1066" s="1312" t="s">
        <v>1069</v>
      </c>
      <c r="B1066" s="1312"/>
      <c r="C1066" s="1312"/>
      <c r="D1066" s="1306"/>
      <c r="E1066" s="1316"/>
      <c r="F1066" s="1974"/>
      <c r="G1066" s="1975"/>
      <c r="H1066" s="2674" t="s">
        <v>1190</v>
      </c>
      <c r="I1066" s="2675"/>
      <c r="J1066" s="2644"/>
      <c r="K1066" s="2676"/>
      <c r="L1066" s="2266"/>
      <c r="M1066" s="2267"/>
      <c r="N1066" s="1321"/>
      <c r="O1066" s="1322"/>
      <c r="P1066" s="1314" t="s">
        <v>1108</v>
      </c>
      <c r="Q1066" s="1322"/>
      <c r="R1066" s="1322"/>
      <c r="S1066" s="1322"/>
      <c r="T1066" s="1322"/>
      <c r="U1066" s="1322"/>
      <c r="V1066" s="1322"/>
      <c r="W1066" s="1322"/>
      <c r="X1066" s="1322"/>
      <c r="Y1066" s="1322"/>
      <c r="Z1066" s="1322"/>
      <c r="AA1066" s="1322"/>
      <c r="AB1066" s="1322"/>
      <c r="AC1066" s="1322"/>
      <c r="AD1066" s="1322"/>
      <c r="AE1066" s="1329"/>
      <c r="AF1066" s="2665"/>
      <c r="AG1066" s="2666"/>
      <c r="AH1066" s="2666"/>
      <c r="AI1066" s="8678"/>
      <c r="AJ1066" s="2666"/>
      <c r="AK1066" s="2666"/>
      <c r="AL1066" s="2131"/>
      <c r="AM1066" s="1968"/>
      <c r="AN1066" s="1968"/>
      <c r="AO1066" s="1968"/>
      <c r="AP1066" s="1968"/>
      <c r="AQ1066" s="1968"/>
      <c r="AR1066" s="1968"/>
      <c r="AS1066" s="1968"/>
      <c r="AT1066" s="1968"/>
      <c r="AU1066" s="1968"/>
      <c r="AV1066" s="1968"/>
      <c r="AW1066" s="1968"/>
      <c r="AX1066" s="1968"/>
      <c r="AY1066" s="1968"/>
      <c r="AZ1066" s="1968"/>
      <c r="BA1066" s="1968"/>
      <c r="BB1066" s="1968"/>
      <c r="BC1066" s="1968"/>
      <c r="BD1066" s="1968"/>
      <c r="BE1066" s="1968"/>
      <c r="BF1066" s="1968"/>
      <c r="BG1066" s="7235"/>
    </row>
    <row customHeight="1" ht="11.25">
      <c r="A1067" s="1312" t="s">
        <v>1069</v>
      </c>
      <c r="B1067" s="1312" t="s">
        <v>1198</v>
      </c>
      <c r="C1067" s="1312"/>
      <c r="D1067" s="1306"/>
      <c r="E1067" s="1316"/>
      <c r="F1067" s="1974"/>
      <c r="G1067" s="7143" t="s">
        <v>106</v>
      </c>
      <c r="H1067" s="2674" t="s">
        <v>1199</v>
      </c>
      <c r="I1067" s="2675" t="s">
        <v>1200</v>
      </c>
      <c r="J1067" s="2644" t="s">
        <v>1206</v>
      </c>
      <c r="K1067" s="2676" t="s">
        <v>1296</v>
      </c>
      <c r="L1067" s="2266" t="s">
        <v>19</v>
      </c>
      <c r="M1067" s="2267"/>
      <c r="N1067" s="2129"/>
      <c r="O1067" s="1323" t="s">
        <v>398</v>
      </c>
      <c r="P1067" s="1324"/>
      <c r="Q1067" s="1324"/>
      <c r="R1067" s="1324"/>
      <c r="S1067" s="1324"/>
      <c r="T1067" s="1324"/>
      <c r="U1067" s="1324"/>
      <c r="V1067" s="1324"/>
      <c r="W1067" s="1324"/>
      <c r="X1067" s="1324"/>
      <c r="Y1067" s="1324"/>
      <c r="Z1067" s="1324"/>
      <c r="AA1067" s="1324"/>
      <c r="AB1067" s="1324"/>
      <c r="AC1067" s="1324"/>
      <c r="AD1067" s="1324"/>
      <c r="AE1067" s="1324"/>
      <c r="AF1067" s="2665">
        <v>2028</v>
      </c>
      <c r="AG1067" s="2666" t="s">
        <v>1103</v>
      </c>
      <c r="AH1067" s="2666" t="s">
        <v>1228</v>
      </c>
      <c r="AI1067" s="8678"/>
      <c r="AJ1067" s="2666" t="s">
        <v>1105</v>
      </c>
      <c r="AK1067" s="2666" t="s">
        <v>1105</v>
      </c>
      <c r="AL1067" s="2131"/>
      <c r="AM1067" s="1968"/>
      <c r="AN1067" s="1968"/>
      <c r="AO1067" s="1968"/>
      <c r="AP1067" s="1968"/>
      <c r="AQ1067" s="1968"/>
      <c r="AR1067" s="1968"/>
      <c r="AS1067" s="1968"/>
      <c r="AT1067" s="1968"/>
      <c r="AU1067" s="1968"/>
      <c r="AV1067" s="1968"/>
      <c r="AW1067" s="1968"/>
      <c r="AX1067" s="1968"/>
      <c r="AY1067" s="1968"/>
      <c r="AZ1067" s="1968"/>
      <c r="BA1067" s="1968"/>
      <c r="BB1067" s="1968"/>
      <c r="BC1067" s="1968"/>
      <c r="BD1067" s="1968"/>
      <c r="BE1067" s="1968"/>
      <c r="BF1067" s="1968"/>
      <c r="BG1067" s="7235"/>
    </row>
    <row customHeight="1" ht="11.25">
      <c r="A1068" s="1312" t="s">
        <v>1069</v>
      </c>
      <c r="B1068" s="1312"/>
      <c r="C1068" s="1312"/>
      <c r="D1068" s="1306"/>
      <c r="E1068" s="1316"/>
      <c r="F1068" s="1974"/>
      <c r="G1068" s="1975"/>
      <c r="H1068" s="2674" t="s">
        <v>1196</v>
      </c>
      <c r="I1068" s="2675"/>
      <c r="J1068" s="2644"/>
      <c r="K1068" s="2676"/>
      <c r="L1068" s="2266"/>
      <c r="M1068" s="2267"/>
      <c r="N1068" s="2667"/>
      <c r="O1068" s="2668">
        <v>1</v>
      </c>
      <c r="P1068" s="2669" t="s">
        <v>63</v>
      </c>
      <c r="Q1068" s="8679" t="s">
        <v>1208</v>
      </c>
      <c r="R1068" s="8680" t="s">
        <v>1114</v>
      </c>
      <c r="S1068" s="8680" t="s">
        <v>113</v>
      </c>
      <c r="T1068" s="8680" t="s">
        <v>113</v>
      </c>
      <c r="U1068" s="8680" t="s">
        <v>114</v>
      </c>
      <c r="V1068" s="8680" t="s">
        <v>1115</v>
      </c>
      <c r="W1068" s="8680" t="s">
        <v>1116</v>
      </c>
      <c r="X1068" s="8680" t="s">
        <v>1209</v>
      </c>
      <c r="Y1068" s="8680" t="s">
        <v>121</v>
      </c>
      <c r="Z1068" s="1321"/>
      <c r="AA1068" s="1322"/>
      <c r="AB1068" s="1322"/>
      <c r="AC1068" s="1326"/>
      <c r="AD1068" s="1326"/>
      <c r="AE1068" s="1327"/>
      <c r="AF1068" s="2665"/>
      <c r="AG1068" s="2666"/>
      <c r="AH1068" s="2666"/>
      <c r="AI1068" s="8678"/>
      <c r="AJ1068" s="2666"/>
      <c r="AK1068" s="2666"/>
      <c r="AL1068" s="2131"/>
      <c r="AM1068" s="1968"/>
      <c r="AN1068" s="1968"/>
      <c r="AO1068" s="1968"/>
      <c r="AP1068" s="1968"/>
      <c r="AQ1068" s="1968"/>
      <c r="AR1068" s="1968"/>
      <c r="AS1068" s="1968"/>
      <c r="AT1068" s="1968"/>
      <c r="AU1068" s="1968"/>
      <c r="AV1068" s="1968"/>
      <c r="AW1068" s="1968"/>
      <c r="AX1068" s="1968"/>
      <c r="AY1068" s="1968"/>
      <c r="AZ1068" s="1968"/>
      <c r="BA1068" s="1968"/>
      <c r="BB1068" s="1968"/>
      <c r="BC1068" s="1968"/>
      <c r="BD1068" s="1968"/>
      <c r="BE1068" s="1968"/>
      <c r="BF1068" s="1968"/>
      <c r="BG1068" s="7235"/>
    </row>
    <row customHeight="1" ht="11.25">
      <c r="A1069" s="1312" t="s">
        <v>1069</v>
      </c>
      <c r="B1069" s="1312"/>
      <c r="C1069" s="1312"/>
      <c r="D1069" s="1306"/>
      <c r="E1069" s="1316"/>
      <c r="F1069" s="1974"/>
      <c r="G1069" s="1975"/>
      <c r="H1069" s="2674" t="s">
        <v>1196</v>
      </c>
      <c r="I1069" s="2675"/>
      <c r="J1069" s="2644"/>
      <c r="K1069" s="2676"/>
      <c r="L1069" s="2266"/>
      <c r="M1069" s="2267"/>
      <c r="N1069" s="2667"/>
      <c r="O1069" s="2668"/>
      <c r="P1069" s="2670"/>
      <c r="Q1069" s="8679"/>
      <c r="R1069" s="2672"/>
      <c r="S1069" s="2673"/>
      <c r="T1069" s="2672"/>
      <c r="U1069" s="2672"/>
      <c r="V1069" s="2672"/>
      <c r="W1069" s="2672"/>
      <c r="X1069" s="2672"/>
      <c r="Y1069" s="2672"/>
      <c r="Z1069" s="1973"/>
      <c r="AA1069" s="1939">
        <v>1</v>
      </c>
      <c r="AB1069" s="1325" t="s">
        <v>1131</v>
      </c>
      <c r="AC1069" s="1315">
        <v>14408</v>
      </c>
      <c r="AD1069" s="1325" t="str">
        <f>AB1069</f>
        <v>      Прочие амортизационные отчисления</v>
      </c>
      <c r="AE1069" s="1315">
        <v>0</v>
      </c>
      <c r="AF1069" s="2665"/>
      <c r="AG1069" s="2666"/>
      <c r="AH1069" s="2666"/>
      <c r="AI1069" s="8678"/>
      <c r="AJ1069" s="2666"/>
      <c r="AK1069" s="2666"/>
      <c r="AL1069" s="2131"/>
      <c r="AM1069" s="1968"/>
      <c r="AN1069" s="1968"/>
      <c r="AO1069" s="1968"/>
      <c r="AP1069" s="1968"/>
      <c r="AQ1069" s="1968"/>
      <c r="AR1069" s="1968"/>
      <c r="AS1069" s="1968"/>
      <c r="AT1069" s="1968"/>
      <c r="AU1069" s="1968"/>
      <c r="AV1069" s="1968"/>
      <c r="AW1069" s="1968"/>
      <c r="AX1069" s="1968"/>
      <c r="AY1069" s="1968"/>
      <c r="AZ1069" s="1968"/>
      <c r="BA1069" s="1968"/>
      <c r="BB1069" s="1968"/>
      <c r="BC1069" s="1968"/>
      <c r="BD1069" s="1968"/>
      <c r="BE1069" s="1968"/>
      <c r="BF1069" s="1968"/>
      <c r="BG1069" s="7235"/>
    </row>
    <row customHeight="1" ht="11.25">
      <c r="A1070" s="1312" t="s">
        <v>1069</v>
      </c>
      <c r="B1070" s="1312"/>
      <c r="C1070" s="1312"/>
      <c r="D1070" s="1306"/>
      <c r="E1070" s="1316"/>
      <c r="F1070" s="1974"/>
      <c r="G1070" s="1975"/>
      <c r="H1070" s="2674" t="s">
        <v>1196</v>
      </c>
      <c r="I1070" s="2675"/>
      <c r="J1070" s="2644"/>
      <c r="K1070" s="2676"/>
      <c r="L1070" s="2266"/>
      <c r="M1070" s="2267"/>
      <c r="N1070" s="2667"/>
      <c r="O1070" s="2668"/>
      <c r="P1070" s="2671"/>
      <c r="Q1070" s="8679"/>
      <c r="R1070" s="2672"/>
      <c r="S1070" s="2673"/>
      <c r="T1070" s="2672"/>
      <c r="U1070" s="2672"/>
      <c r="V1070" s="2672"/>
      <c r="W1070" s="2672"/>
      <c r="X1070" s="2672"/>
      <c r="Y1070" s="2672"/>
      <c r="Z1070" s="1321"/>
      <c r="AA1070" s="1322"/>
      <c r="AB1070" s="1387" t="s">
        <v>1107</v>
      </c>
      <c r="AC1070" s="1326"/>
      <c r="AD1070" s="1326"/>
      <c r="AE1070" s="1328"/>
      <c r="AF1070" s="2665"/>
      <c r="AG1070" s="2666"/>
      <c r="AH1070" s="2666"/>
      <c r="AI1070" s="8678"/>
      <c r="AJ1070" s="2666"/>
      <c r="AK1070" s="2666"/>
      <c r="AL1070" s="2131"/>
      <c r="AM1070" s="1968"/>
      <c r="AN1070" s="1968"/>
      <c r="AO1070" s="1968"/>
      <c r="AP1070" s="1968"/>
      <c r="AQ1070" s="1968"/>
      <c r="AR1070" s="1968"/>
      <c r="AS1070" s="1968"/>
      <c r="AT1070" s="1968"/>
      <c r="AU1070" s="1968"/>
      <c r="AV1070" s="1968"/>
      <c r="AW1070" s="1968"/>
      <c r="AX1070" s="1968"/>
      <c r="AY1070" s="1968"/>
      <c r="AZ1070" s="1968"/>
      <c r="BA1070" s="1968"/>
      <c r="BB1070" s="1968"/>
      <c r="BC1070" s="1968"/>
      <c r="BD1070" s="1968"/>
      <c r="BE1070" s="1968"/>
      <c r="BF1070" s="1968"/>
      <c r="BG1070" s="7235"/>
    </row>
    <row customHeight="1" ht="11.25">
      <c r="A1071" s="1312" t="s">
        <v>1069</v>
      </c>
      <c r="B1071" s="1312"/>
      <c r="C1071" s="1312"/>
      <c r="D1071" s="1306"/>
      <c r="E1071" s="1316"/>
      <c r="F1071" s="1974"/>
      <c r="G1071" s="1975"/>
      <c r="H1071" s="2674" t="s">
        <v>1196</v>
      </c>
      <c r="I1071" s="2675"/>
      <c r="J1071" s="2644"/>
      <c r="K1071" s="2676"/>
      <c r="L1071" s="2266"/>
      <c r="M1071" s="2267"/>
      <c r="N1071" s="1321"/>
      <c r="O1071" s="1322"/>
      <c r="P1071" s="1314" t="s">
        <v>1108</v>
      </c>
      <c r="Q1071" s="1322"/>
      <c r="R1071" s="1322"/>
      <c r="S1071" s="1322"/>
      <c r="T1071" s="1322"/>
      <c r="U1071" s="1322"/>
      <c r="V1071" s="1322"/>
      <c r="W1071" s="1322"/>
      <c r="X1071" s="1322"/>
      <c r="Y1071" s="1322"/>
      <c r="Z1071" s="1322"/>
      <c r="AA1071" s="1322"/>
      <c r="AB1071" s="1322"/>
      <c r="AC1071" s="1322"/>
      <c r="AD1071" s="1322"/>
      <c r="AE1071" s="1329"/>
      <c r="AF1071" s="2665"/>
      <c r="AG1071" s="2666"/>
      <c r="AH1071" s="2666"/>
      <c r="AI1071" s="8678"/>
      <c r="AJ1071" s="2666"/>
      <c r="AK1071" s="2666"/>
      <c r="AL1071" s="2131"/>
      <c r="AM1071" s="1968"/>
      <c r="AN1071" s="1968"/>
      <c r="AO1071" s="1968"/>
      <c r="AP1071" s="1968"/>
      <c r="AQ1071" s="1968"/>
      <c r="AR1071" s="1968"/>
      <c r="AS1071" s="1968"/>
      <c r="AT1071" s="1968"/>
      <c r="AU1071" s="1968"/>
      <c r="AV1071" s="1968"/>
      <c r="AW1071" s="1968"/>
      <c r="AX1071" s="1968"/>
      <c r="AY1071" s="1968"/>
      <c r="AZ1071" s="1968"/>
      <c r="BA1071" s="1968"/>
      <c r="BB1071" s="1968"/>
      <c r="BC1071" s="1968"/>
      <c r="BD1071" s="1968"/>
      <c r="BE1071" s="1968"/>
      <c r="BF1071" s="1968"/>
      <c r="BG1071" s="7235"/>
    </row>
    <row customHeight="1" ht="11.25">
      <c r="A1072" s="1312" t="s">
        <v>1069</v>
      </c>
      <c r="B1072" s="1312" t="s">
        <v>1198</v>
      </c>
      <c r="C1072" s="1312"/>
      <c r="D1072" s="1306"/>
      <c r="E1072" s="1316"/>
      <c r="F1072" s="1974"/>
      <c r="G1072" s="7143" t="s">
        <v>106</v>
      </c>
      <c r="H1072" s="2674" t="s">
        <v>1141</v>
      </c>
      <c r="I1072" s="2675" t="s">
        <v>1200</v>
      </c>
      <c r="J1072" s="2644" t="s">
        <v>1206</v>
      </c>
      <c r="K1072" s="2676" t="s">
        <v>1358</v>
      </c>
      <c r="L1072" s="2266" t="s">
        <v>19</v>
      </c>
      <c r="M1072" s="2267"/>
      <c r="N1072" s="2129"/>
      <c r="O1072" s="1323" t="s">
        <v>398</v>
      </c>
      <c r="P1072" s="1324"/>
      <c r="Q1072" s="1324"/>
      <c r="R1072" s="1324"/>
      <c r="S1072" s="1324"/>
      <c r="T1072" s="1324"/>
      <c r="U1072" s="1324"/>
      <c r="V1072" s="1324"/>
      <c r="W1072" s="1324"/>
      <c r="X1072" s="1324"/>
      <c r="Y1072" s="1324"/>
      <c r="Z1072" s="1324"/>
      <c r="AA1072" s="1324"/>
      <c r="AB1072" s="1324"/>
      <c r="AC1072" s="1324"/>
      <c r="AD1072" s="1324"/>
      <c r="AE1072" s="1324"/>
      <c r="AF1072" s="2665">
        <v>2028</v>
      </c>
      <c r="AG1072" s="2666" t="s">
        <v>1103</v>
      </c>
      <c r="AH1072" s="2666" t="s">
        <v>1228</v>
      </c>
      <c r="AI1072" s="8678"/>
      <c r="AJ1072" s="2666" t="s">
        <v>1105</v>
      </c>
      <c r="AK1072" s="2666" t="s">
        <v>1105</v>
      </c>
      <c r="AL1072" s="2131"/>
      <c r="AM1072" s="1968"/>
      <c r="AN1072" s="1968"/>
      <c r="AO1072" s="1968"/>
      <c r="AP1072" s="1968"/>
      <c r="AQ1072" s="1968"/>
      <c r="AR1072" s="1968"/>
      <c r="AS1072" s="1968"/>
      <c r="AT1072" s="1968"/>
      <c r="AU1072" s="1968"/>
      <c r="AV1072" s="1968"/>
      <c r="AW1072" s="1968"/>
      <c r="AX1072" s="1968"/>
      <c r="AY1072" s="1968"/>
      <c r="AZ1072" s="1968"/>
      <c r="BA1072" s="1968"/>
      <c r="BB1072" s="1968"/>
      <c r="BC1072" s="1968"/>
      <c r="BD1072" s="1968"/>
      <c r="BE1072" s="1968"/>
      <c r="BF1072" s="1968"/>
      <c r="BG1072" s="7235"/>
    </row>
    <row customHeight="1" ht="11.25">
      <c r="A1073" s="1312" t="s">
        <v>1069</v>
      </c>
      <c r="B1073" s="1312"/>
      <c r="C1073" s="1312"/>
      <c r="D1073" s="1306"/>
      <c r="E1073" s="1316"/>
      <c r="F1073" s="1974"/>
      <c r="G1073" s="1975"/>
      <c r="H1073" s="2674" t="s">
        <v>1199</v>
      </c>
      <c r="I1073" s="2675"/>
      <c r="J1073" s="2644"/>
      <c r="K1073" s="2676"/>
      <c r="L1073" s="2266"/>
      <c r="M1073" s="2267"/>
      <c r="N1073" s="2667"/>
      <c r="O1073" s="2668">
        <v>1</v>
      </c>
      <c r="P1073" s="2669" t="s">
        <v>63</v>
      </c>
      <c r="Q1073" s="8679" t="s">
        <v>1208</v>
      </c>
      <c r="R1073" s="8680" t="s">
        <v>1114</v>
      </c>
      <c r="S1073" s="8680" t="s">
        <v>113</v>
      </c>
      <c r="T1073" s="8680" t="s">
        <v>113</v>
      </c>
      <c r="U1073" s="8680" t="s">
        <v>114</v>
      </c>
      <c r="V1073" s="8680" t="s">
        <v>1115</v>
      </c>
      <c r="W1073" s="8680" t="s">
        <v>1116</v>
      </c>
      <c r="X1073" s="8680" t="s">
        <v>1209</v>
      </c>
      <c r="Y1073" s="8680" t="s">
        <v>121</v>
      </c>
      <c r="Z1073" s="1321"/>
      <c r="AA1073" s="1322"/>
      <c r="AB1073" s="1322"/>
      <c r="AC1073" s="1326"/>
      <c r="AD1073" s="1326"/>
      <c r="AE1073" s="1327"/>
      <c r="AF1073" s="2665"/>
      <c r="AG1073" s="2666"/>
      <c r="AH1073" s="2666"/>
      <c r="AI1073" s="8678"/>
      <c r="AJ1073" s="2666"/>
      <c r="AK1073" s="2666"/>
      <c r="AL1073" s="2131"/>
      <c r="AM1073" s="1968"/>
      <c r="AN1073" s="1968"/>
      <c r="AO1073" s="1968"/>
      <c r="AP1073" s="1968"/>
      <c r="AQ1073" s="1968"/>
      <c r="AR1073" s="1968"/>
      <c r="AS1073" s="1968"/>
      <c r="AT1073" s="1968"/>
      <c r="AU1073" s="1968"/>
      <c r="AV1073" s="1968"/>
      <c r="AW1073" s="1968"/>
      <c r="AX1073" s="1968"/>
      <c r="AY1073" s="1968"/>
      <c r="AZ1073" s="1968"/>
      <c r="BA1073" s="1968"/>
      <c r="BB1073" s="1968"/>
      <c r="BC1073" s="1968"/>
      <c r="BD1073" s="1968"/>
      <c r="BE1073" s="1968"/>
      <c r="BF1073" s="1968"/>
      <c r="BG1073" s="7235"/>
    </row>
    <row customHeight="1" ht="11.25">
      <c r="A1074" s="1312" t="s">
        <v>1069</v>
      </c>
      <c r="B1074" s="1312"/>
      <c r="C1074" s="1312"/>
      <c r="D1074" s="1306"/>
      <c r="E1074" s="1316"/>
      <c r="F1074" s="1974"/>
      <c r="G1074" s="1975"/>
      <c r="H1074" s="2674" t="s">
        <v>1199</v>
      </c>
      <c r="I1074" s="2675"/>
      <c r="J1074" s="2644"/>
      <c r="K1074" s="2676"/>
      <c r="L1074" s="2266"/>
      <c r="M1074" s="2267"/>
      <c r="N1074" s="2667"/>
      <c r="O1074" s="2668"/>
      <c r="P1074" s="2670"/>
      <c r="Q1074" s="8679"/>
      <c r="R1074" s="2672"/>
      <c r="S1074" s="2673"/>
      <c r="T1074" s="2672"/>
      <c r="U1074" s="2672"/>
      <c r="V1074" s="2672"/>
      <c r="W1074" s="2672"/>
      <c r="X1074" s="2672"/>
      <c r="Y1074" s="2672"/>
      <c r="Z1074" s="1973"/>
      <c r="AA1074" s="1939">
        <v>1</v>
      </c>
      <c r="AB1074" s="1325" t="s">
        <v>1106</v>
      </c>
      <c r="AC1074" s="1315">
        <v>321896</v>
      </c>
      <c r="AD1074" s="1325" t="str">
        <f>AB1074</f>
        <v>  Прибыль направляемая на инвестиции</v>
      </c>
      <c r="AE1074" s="1315">
        <v>0</v>
      </c>
      <c r="AF1074" s="2665"/>
      <c r="AG1074" s="2666"/>
      <c r="AH1074" s="2666"/>
      <c r="AI1074" s="8678"/>
      <c r="AJ1074" s="2666"/>
      <c r="AK1074" s="2666"/>
      <c r="AL1074" s="2131"/>
      <c r="AM1074" s="1968"/>
      <c r="AN1074" s="1968"/>
      <c r="AO1074" s="1968"/>
      <c r="AP1074" s="1968"/>
      <c r="AQ1074" s="1968"/>
      <c r="AR1074" s="1968"/>
      <c r="AS1074" s="1968"/>
      <c r="AT1074" s="1968"/>
      <c r="AU1074" s="1968"/>
      <c r="AV1074" s="1968"/>
      <c r="AW1074" s="1968"/>
      <c r="AX1074" s="1968"/>
      <c r="AY1074" s="1968"/>
      <c r="AZ1074" s="1968"/>
      <c r="BA1074" s="1968"/>
      <c r="BB1074" s="1968"/>
      <c r="BC1074" s="1968"/>
      <c r="BD1074" s="1968"/>
      <c r="BE1074" s="1968"/>
      <c r="BF1074" s="1968"/>
      <c r="BG1074" s="7235"/>
    </row>
    <row customHeight="1" ht="11.25">
      <c r="A1075" s="1312" t="s">
        <v>1069</v>
      </c>
      <c r="B1075" s="1312"/>
      <c r="C1075" s="1312"/>
      <c r="D1075" s="1306"/>
      <c r="E1075" s="1316"/>
      <c r="F1075" s="1974"/>
      <c r="G1075" s="1975"/>
      <c r="H1075" s="2674" t="s">
        <v>1199</v>
      </c>
      <c r="I1075" s="2675"/>
      <c r="J1075" s="2644"/>
      <c r="K1075" s="2676"/>
      <c r="L1075" s="2266"/>
      <c r="M1075" s="2267"/>
      <c r="N1075" s="2667"/>
      <c r="O1075" s="2668"/>
      <c r="P1075" s="2671"/>
      <c r="Q1075" s="8679"/>
      <c r="R1075" s="2672"/>
      <c r="S1075" s="2673"/>
      <c r="T1075" s="2672"/>
      <c r="U1075" s="2672"/>
      <c r="V1075" s="2672"/>
      <c r="W1075" s="2672"/>
      <c r="X1075" s="2672"/>
      <c r="Y1075" s="2672"/>
      <c r="Z1075" s="1321"/>
      <c r="AA1075" s="1322"/>
      <c r="AB1075" s="1387" t="s">
        <v>1107</v>
      </c>
      <c r="AC1075" s="1326"/>
      <c r="AD1075" s="1326"/>
      <c r="AE1075" s="1328"/>
      <c r="AF1075" s="2665"/>
      <c r="AG1075" s="2666"/>
      <c r="AH1075" s="2666"/>
      <c r="AI1075" s="8678"/>
      <c r="AJ1075" s="2666"/>
      <c r="AK1075" s="2666"/>
      <c r="AL1075" s="2131"/>
      <c r="AM1075" s="1968"/>
      <c r="AN1075" s="1968"/>
      <c r="AO1075" s="1968"/>
      <c r="AP1075" s="1968"/>
      <c r="AQ1075" s="1968"/>
      <c r="AR1075" s="1968"/>
      <c r="AS1075" s="1968"/>
      <c r="AT1075" s="1968"/>
      <c r="AU1075" s="1968"/>
      <c r="AV1075" s="1968"/>
      <c r="AW1075" s="1968"/>
      <c r="AX1075" s="1968"/>
      <c r="AY1075" s="1968"/>
      <c r="AZ1075" s="1968"/>
      <c r="BA1075" s="1968"/>
      <c r="BB1075" s="1968"/>
      <c r="BC1075" s="1968"/>
      <c r="BD1075" s="1968"/>
      <c r="BE1075" s="1968"/>
      <c r="BF1075" s="1968"/>
      <c r="BG1075" s="7235"/>
    </row>
    <row customHeight="1" ht="11.25">
      <c r="A1076" s="1312" t="s">
        <v>1069</v>
      </c>
      <c r="B1076" s="1312"/>
      <c r="C1076" s="1312"/>
      <c r="D1076" s="1306"/>
      <c r="E1076" s="1316"/>
      <c r="F1076" s="1974"/>
      <c r="G1076" s="1975"/>
      <c r="H1076" s="2674" t="s">
        <v>1199</v>
      </c>
      <c r="I1076" s="2675"/>
      <c r="J1076" s="2644"/>
      <c r="K1076" s="2676"/>
      <c r="L1076" s="2266"/>
      <c r="M1076" s="2267"/>
      <c r="N1076" s="1321"/>
      <c r="O1076" s="1322"/>
      <c r="P1076" s="1314" t="s">
        <v>1108</v>
      </c>
      <c r="Q1076" s="1322"/>
      <c r="R1076" s="1322"/>
      <c r="S1076" s="1322"/>
      <c r="T1076" s="1322"/>
      <c r="U1076" s="1322"/>
      <c r="V1076" s="1322"/>
      <c r="W1076" s="1322"/>
      <c r="X1076" s="1322"/>
      <c r="Y1076" s="1322"/>
      <c r="Z1076" s="1322"/>
      <c r="AA1076" s="1322"/>
      <c r="AB1076" s="1322"/>
      <c r="AC1076" s="1322"/>
      <c r="AD1076" s="1322"/>
      <c r="AE1076" s="1329"/>
      <c r="AF1076" s="2665"/>
      <c r="AG1076" s="2666"/>
      <c r="AH1076" s="2666"/>
      <c r="AI1076" s="8678"/>
      <c r="AJ1076" s="2666"/>
      <c r="AK1076" s="2666"/>
      <c r="AL1076" s="2131"/>
      <c r="AM1076" s="1968"/>
      <c r="AN1076" s="1968"/>
      <c r="AO1076" s="1968"/>
      <c r="AP1076" s="1968"/>
      <c r="AQ1076" s="1968"/>
      <c r="AR1076" s="1968"/>
      <c r="AS1076" s="1968"/>
      <c r="AT1076" s="1968"/>
      <c r="AU1076" s="1968"/>
      <c r="AV1076" s="1968"/>
      <c r="AW1076" s="1968"/>
      <c r="AX1076" s="1968"/>
      <c r="AY1076" s="1968"/>
      <c r="AZ1076" s="1968"/>
      <c r="BA1076" s="1968"/>
      <c r="BB1076" s="1968"/>
      <c r="BC1076" s="1968"/>
      <c r="BD1076" s="1968"/>
      <c r="BE1076" s="1968"/>
      <c r="BF1076" s="1968"/>
      <c r="BG1076" s="7235"/>
    </row>
    <row customHeight="1" ht="12">
      <c r="A1077" s="1312" t="s">
        <v>1069</v>
      </c>
      <c r="B1077" s="1312"/>
      <c r="C1077" s="1312"/>
      <c r="D1077" s="1306"/>
      <c r="E1077" s="1316"/>
      <c r="F1077" s="2696"/>
      <c r="G1077" s="1336"/>
      <c r="H1077" s="1336"/>
      <c r="I1077" s="2694" t="s">
        <v>1100</v>
      </c>
      <c r="J1077" s="2694"/>
      <c r="K1077" s="2694"/>
      <c r="L1077" s="1319"/>
      <c r="M1077" s="1319"/>
      <c r="N1077" s="1320"/>
      <c r="O1077" s="1320"/>
      <c r="P1077" s="1320"/>
      <c r="Q1077" s="1320"/>
      <c r="R1077" s="1320"/>
      <c r="S1077" s="1320"/>
      <c r="T1077" s="1320"/>
      <c r="U1077" s="1320"/>
      <c r="V1077" s="1320"/>
      <c r="W1077" s="1320"/>
      <c r="X1077" s="1320"/>
      <c r="Y1077" s="1320"/>
      <c r="Z1077" s="1320"/>
      <c r="AA1077" s="1320"/>
      <c r="AB1077" s="1320"/>
      <c r="AC1077" s="1320"/>
      <c r="AD1077" s="1320"/>
      <c r="AE1077" s="1320"/>
      <c r="AF1077" s="1320"/>
      <c r="AG1077" s="1319"/>
      <c r="AH1077" s="1319"/>
      <c r="AI1077" s="1320"/>
      <c r="AJ1077" s="1319"/>
      <c r="AK1077" s="1320"/>
      <c r="AL1077" s="2131"/>
      <c r="AM1077" s="1968"/>
      <c r="AN1077" s="1968"/>
      <c r="AO1077" s="1968"/>
      <c r="AP1077" s="1968"/>
      <c r="AQ1077" s="1968"/>
      <c r="AR1077" s="1968"/>
      <c r="AS1077" s="1968"/>
      <c r="AT1077" s="1968"/>
      <c r="AU1077" s="1968"/>
      <c r="AV1077" s="1968"/>
      <c r="AW1077" s="1968"/>
      <c r="AX1077" s="1968"/>
      <c r="AY1077" s="1968"/>
      <c r="AZ1077" s="1968"/>
      <c r="BA1077" s="1968"/>
      <c r="BB1077" s="1968"/>
      <c r="BC1077" s="1968"/>
      <c r="BD1077" s="1968"/>
      <c r="BE1077" s="1968"/>
      <c r="BF1077" s="1968"/>
      <c r="BG1077" s="7235"/>
    </row>
    <row customHeight="1" ht="10.5">
      <c r="E1078" s="1053"/>
      <c r="F1078" s="1064"/>
      <c r="G1078" s="1064"/>
      <c r="H1078" s="1318"/>
      <c r="I1078" s="1064"/>
      <c r="J1078" s="1064"/>
      <c r="K1078" s="1064"/>
      <c r="L1078" s="1277"/>
      <c r="M1078" s="1277"/>
      <c r="N1078" s="1064"/>
      <c r="O1078" s="1064"/>
      <c r="P1078" s="1064"/>
      <c r="Q1078" s="1064"/>
      <c r="R1078" s="1064"/>
      <c r="S1078" s="1064"/>
      <c r="T1078" s="1064"/>
      <c r="U1078" s="1064"/>
      <c r="V1078" s="1064"/>
      <c r="W1078" s="1064"/>
      <c r="X1078" s="1064"/>
      <c r="Y1078" s="1064"/>
      <c r="Z1078" s="1064"/>
      <c r="AA1078" s="1064"/>
      <c r="AB1078" s="1064"/>
      <c r="AC1078" s="1064"/>
      <c r="AD1078" s="1277"/>
      <c r="AE1078" s="1064"/>
      <c r="AF1078" s="1064"/>
      <c r="AG1078" s="1064"/>
      <c r="AH1078" s="1295"/>
      <c r="AI1078" s="1288"/>
      <c r="AJ1078" s="1064"/>
      <c r="AK1078" s="1064"/>
      <c r="AL1078" s="1053"/>
      <c r="AM1078" s="1053"/>
      <c r="AN1078" s="1053"/>
      <c r="AO1078" s="1053"/>
      <c r="AP1078" s="1053"/>
      <c r="AQ1078" s="1053"/>
      <c r="AR1078" s="1053"/>
      <c r="AS1078" s="1053"/>
      <c r="AT1078" s="1053"/>
      <c r="AU1078" s="1053"/>
      <c r="AV1078" s="1053"/>
      <c r="AW1078" s="1053"/>
      <c r="AX1078" s="1053"/>
      <c r="AY1078" s="1053"/>
      <c r="AZ1078" s="1053"/>
      <c r="BA1078" s="1053"/>
      <c r="BB1078" s="1053"/>
      <c r="BC1078" s="1053"/>
      <c r="BD1078" s="1053"/>
      <c r="BE1078" s="1053"/>
      <c r="BF1078" s="1053"/>
      <c r="BG1078" s="904">
        <v>10</v>
      </c>
    </row>
    <row customHeight="1" ht="13.5">
      <c r="E1079" s="1053"/>
      <c r="F1079" s="1060" t="s">
        <v>1359</v>
      </c>
      <c r="G1079" s="1060"/>
      <c r="H1079" s="1317"/>
      <c r="I1079" s="1060"/>
      <c r="J1079" s="1060"/>
      <c r="K1079" s="1057"/>
      <c r="L1079" s="1273"/>
      <c r="M1079" s="1273"/>
      <c r="N1079" s="1059"/>
      <c r="O1079" s="1059"/>
      <c r="P1079" s="1059"/>
      <c r="Q1079" s="1059"/>
      <c r="R1079" s="1059"/>
      <c r="S1079" s="1059"/>
      <c r="T1079" s="1059"/>
      <c r="U1079" s="1059"/>
      <c r="V1079" s="1059"/>
      <c r="W1079" s="1059"/>
      <c r="X1079" s="1059"/>
      <c r="Y1079" s="1059"/>
      <c r="Z1079" s="1057"/>
      <c r="AA1079" s="1057"/>
      <c r="AB1079" s="1057"/>
      <c r="AC1079" s="1057"/>
      <c r="AD1079" s="1273"/>
      <c r="AE1079" s="1057"/>
      <c r="AF1079" s="1057"/>
      <c r="AG1079" s="1057"/>
      <c r="AH1079" s="1292"/>
      <c r="AI1079" s="1285"/>
      <c r="AJ1079" s="1057"/>
      <c r="AK1079" s="1057"/>
      <c r="AL1079" s="1053"/>
      <c r="AM1079" s="1053"/>
      <c r="AN1079" s="1053"/>
      <c r="AO1079" s="1053"/>
      <c r="AP1079" s="1053"/>
      <c r="AQ1079" s="1053"/>
      <c r="AR1079" s="1053"/>
      <c r="AS1079" s="1053"/>
      <c r="AT1079" s="1053"/>
      <c r="AU1079" s="1053"/>
      <c r="AV1079" s="1053"/>
      <c r="AW1079" s="1053"/>
      <c r="AX1079" s="1053"/>
      <c r="AY1079" s="1053"/>
      <c r="AZ1079" s="1053"/>
      <c r="BA1079" s="1053"/>
      <c r="BB1079" s="1053"/>
      <c r="BC1079" s="1053"/>
      <c r="BD1079" s="1053"/>
      <c r="BE1079" s="1053"/>
      <c r="BF1079" s="1053"/>
      <c r="BG1079" s="904">
        <v>13</v>
      </c>
    </row>
    <row customHeight="1" ht="10.5">
      <c r="BG1080" s="904">
        <v>10</v>
      </c>
    </row>
    <row customHeight="1" ht="10.5">
      <c r="E1081" s="1053"/>
      <c r="F1081" s="2566"/>
      <c r="G1081" s="2566"/>
      <c r="H1081" s="2566"/>
      <c r="I1081" s="2566"/>
      <c r="J1081" s="2566"/>
      <c r="K1081" s="1057"/>
      <c r="L1081" s="1273"/>
      <c r="M1081" s="1273"/>
      <c r="N1081" s="1059"/>
      <c r="O1081" s="1059"/>
      <c r="P1081" s="1059"/>
      <c r="Q1081" s="1059"/>
      <c r="R1081" s="1059"/>
      <c r="S1081" s="1059"/>
      <c r="T1081" s="1059"/>
      <c r="U1081" s="1059"/>
      <c r="V1081" s="1059"/>
      <c r="W1081" s="1059"/>
      <c r="X1081" s="1059"/>
      <c r="Y1081" s="1059"/>
      <c r="Z1081" s="1057"/>
      <c r="AA1081" s="1057"/>
      <c r="AB1081" s="1057"/>
      <c r="AC1081" s="1057"/>
      <c r="AD1081" s="1273"/>
      <c r="AE1081" s="1057"/>
      <c r="AF1081" s="1057"/>
      <c r="AG1081" s="1057"/>
      <c r="AH1081" s="1292"/>
      <c r="AI1081" s="1285"/>
      <c r="AJ1081" s="1057"/>
      <c r="AK1081" s="1057"/>
      <c r="AL1081" s="1053"/>
      <c r="AM1081" s="1053"/>
      <c r="AN1081" s="1053"/>
      <c r="AO1081" s="1053"/>
      <c r="AP1081" s="1053"/>
      <c r="AQ1081" s="1053"/>
      <c r="AR1081" s="1053"/>
      <c r="AS1081" s="1053"/>
      <c r="AT1081" s="1053"/>
      <c r="AU1081" s="1053"/>
      <c r="AV1081" s="1053"/>
      <c r="AW1081" s="1053"/>
      <c r="AX1081" s="1053"/>
      <c r="AY1081" s="1053"/>
      <c r="AZ1081" s="1053"/>
      <c r="BA1081" s="1053"/>
      <c r="BB1081" s="1053"/>
      <c r="BC1081" s="1053"/>
      <c r="BD1081" s="1053"/>
      <c r="BE1081" s="1053"/>
      <c r="BF1081" s="1053"/>
      <c r="BG1081" s="904">
        <v>10</v>
      </c>
    </row>
    <row customHeight="1" ht="10.5">
      <c r="E1082" s="1053"/>
      <c r="F1082" s="2566"/>
      <c r="G1082" s="2566"/>
      <c r="H1082" s="2566"/>
      <c r="I1082" s="2566"/>
      <c r="J1082" s="2566"/>
      <c r="K1082" s="1057"/>
      <c r="L1082" s="1273"/>
      <c r="M1082" s="1273"/>
      <c r="N1082" s="1059"/>
      <c r="O1082" s="1059"/>
      <c r="P1082" s="1059"/>
      <c r="Q1082" s="1059"/>
      <c r="R1082" s="1059"/>
      <c r="S1082" s="1059"/>
      <c r="T1082" s="1059"/>
      <c r="U1082" s="1059"/>
      <c r="V1082" s="1059"/>
      <c r="W1082" s="1059"/>
      <c r="X1082" s="1059"/>
      <c r="Y1082" s="1059"/>
      <c r="Z1082" s="1057"/>
      <c r="AA1082" s="1057"/>
      <c r="AB1082" s="1057"/>
      <c r="AC1082" s="1057"/>
      <c r="AD1082" s="1273"/>
      <c r="AE1082" s="1057"/>
      <c r="AF1082" s="1057"/>
      <c r="AG1082" s="1057"/>
      <c r="AH1082" s="1292"/>
      <c r="AI1082" s="1285"/>
      <c r="AJ1082" s="1057"/>
      <c r="AK1082" s="1057"/>
      <c r="AL1082" s="1053"/>
      <c r="AM1082" s="1053"/>
      <c r="AN1082" s="1053"/>
      <c r="AO1082" s="1053"/>
      <c r="AP1082" s="1053"/>
      <c r="AQ1082" s="1053"/>
      <c r="AR1082" s="1053"/>
      <c r="AS1082" s="1053"/>
      <c r="AT1082" s="1053"/>
      <c r="AU1082" s="1053"/>
      <c r="AV1082" s="1053"/>
      <c r="AW1082" s="1053"/>
      <c r="AX1082" s="1053"/>
      <c r="AY1082" s="1053"/>
      <c r="AZ1082" s="1053"/>
      <c r="BA1082" s="1053"/>
      <c r="BB1082" s="1053"/>
      <c r="BC1082" s="1053"/>
      <c r="BD1082" s="1053"/>
      <c r="BE1082" s="1053"/>
      <c r="BF1082" s="1053"/>
      <c r="BG1082" s="904">
        <v>10</v>
      </c>
    </row>
    <row customHeight="1" ht="10.5">
      <c r="E1083" s="1053"/>
      <c r="F1083" s="2566"/>
      <c r="G1083" s="2566"/>
      <c r="H1083" s="2566"/>
      <c r="I1083" s="2566"/>
      <c r="J1083" s="2566"/>
      <c r="K1083" s="1057"/>
      <c r="L1083" s="1273"/>
      <c r="M1083" s="1273"/>
      <c r="N1083" s="1059"/>
      <c r="O1083" s="1059"/>
      <c r="P1083" s="1059"/>
      <c r="Q1083" s="1059"/>
      <c r="R1083" s="1059"/>
      <c r="S1083" s="1059"/>
      <c r="T1083" s="1059"/>
      <c r="U1083" s="1059"/>
      <c r="V1083" s="1059"/>
      <c r="W1083" s="1059"/>
      <c r="X1083" s="1059"/>
      <c r="Y1083" s="1059"/>
      <c r="Z1083" s="1057"/>
      <c r="AA1083" s="1057"/>
      <c r="AB1083" s="1057"/>
      <c r="AC1083" s="1057"/>
      <c r="AD1083" s="1273"/>
      <c r="AE1083" s="1057"/>
      <c r="AF1083" s="1057"/>
      <c r="AG1083" s="1057"/>
      <c r="AH1083" s="1292"/>
      <c r="AI1083" s="1285"/>
      <c r="AJ1083" s="1057"/>
      <c r="AK1083" s="1057"/>
      <c r="AL1083" s="1053"/>
      <c r="AM1083" s="1053"/>
      <c r="AN1083" s="1053"/>
      <c r="AO1083" s="1053"/>
      <c r="AP1083" s="1053"/>
      <c r="AQ1083" s="1053"/>
      <c r="AR1083" s="1053"/>
      <c r="AS1083" s="1053"/>
      <c r="AT1083" s="1053"/>
      <c r="AU1083" s="1053"/>
      <c r="AV1083" s="1053"/>
      <c r="AW1083" s="1053"/>
      <c r="AX1083" s="1053"/>
      <c r="AY1083" s="1053"/>
      <c r="AZ1083" s="1053"/>
      <c r="BA1083" s="1053"/>
      <c r="BB1083" s="1053"/>
      <c r="BC1083" s="1053"/>
      <c r="BD1083" s="1053"/>
      <c r="BE1083" s="1053"/>
      <c r="BF1083" s="1053"/>
      <c r="BG1083" s="904">
        <v>10</v>
      </c>
    </row>
    <row customHeight="1" ht="10.5" hidden="1">
      <c r="A1084" s="1041" t="s">
        <v>83</v>
      </c>
      <c r="B1084" s="1041">
        <v>0</v>
      </c>
      <c r="C1084" s="1041">
        <v>0</v>
      </c>
      <c r="D1084" s="563">
        <v>0</v>
      </c>
      <c r="E1084" s="655">
        <v>3</v>
      </c>
      <c r="F1084" s="904">
        <v>14</v>
      </c>
      <c r="G1084" s="904">
        <v>3</v>
      </c>
      <c r="H1084" s="1301">
        <v>7</v>
      </c>
      <c r="I1084" s="904">
        <v>16</v>
      </c>
      <c r="J1084" s="904">
        <v>16</v>
      </c>
      <c r="K1084" s="904">
        <v>25</v>
      </c>
      <c r="L1084" s="1271">
        <v>7</v>
      </c>
      <c r="M1084" s="1271">
        <v>15</v>
      </c>
      <c r="N1084" s="904">
        <v>3</v>
      </c>
      <c r="O1084" s="904">
        <v>4</v>
      </c>
      <c r="P1084" s="904">
        <v>8</v>
      </c>
      <c r="Q1084" s="904">
        <v>21</v>
      </c>
      <c r="R1084" s="904">
        <v>14</v>
      </c>
      <c r="S1084" s="904">
        <v>17</v>
      </c>
      <c r="T1084" s="904">
        <v>17</v>
      </c>
      <c r="U1084" s="904">
        <v>9</v>
      </c>
      <c r="V1084" s="904">
        <v>12</v>
      </c>
      <c r="W1084" s="904">
        <v>9</v>
      </c>
      <c r="X1084" s="904">
        <v>21</v>
      </c>
      <c r="Y1084" s="904">
        <v>12</v>
      </c>
      <c r="Z1084" s="904">
        <v>3</v>
      </c>
      <c r="AA1084" s="904">
        <v>6</v>
      </c>
      <c r="AB1084" s="904">
        <v>38</v>
      </c>
      <c r="AC1084" s="904">
        <v>15</v>
      </c>
      <c r="AD1084" s="1271">
        <v>0</v>
      </c>
      <c r="AE1084" s="904">
        <v>0</v>
      </c>
      <c r="AF1084" s="904">
        <v>16</v>
      </c>
      <c r="AG1084" s="904">
        <v>16</v>
      </c>
      <c r="AH1084" s="1290">
        <v>16</v>
      </c>
      <c r="AI1084" s="1283">
        <v>0</v>
      </c>
      <c r="AJ1084" s="904">
        <v>0</v>
      </c>
      <c r="AK1084" s="904">
        <v>0</v>
      </c>
      <c r="AL1084" s="904">
        <v>8</v>
      </c>
      <c r="AM1084" s="904">
        <v>8</v>
      </c>
      <c r="AN1084" s="904">
        <v>8</v>
      </c>
      <c r="AO1084" s="904">
        <v>8</v>
      </c>
      <c r="AP1084" s="904">
        <v>8</v>
      </c>
      <c r="AQ1084" s="904">
        <v>8</v>
      </c>
      <c r="AR1084" s="904">
        <v>8</v>
      </c>
      <c r="AS1084" s="904">
        <v>8</v>
      </c>
      <c r="AT1084" s="904">
        <v>8</v>
      </c>
      <c r="AU1084" s="904">
        <v>8</v>
      </c>
      <c r="AV1084" s="904">
        <v>8</v>
      </c>
      <c r="AW1084" s="904">
        <v>8</v>
      </c>
      <c r="AX1084" s="904">
        <v>8</v>
      </c>
      <c r="AY1084" s="904">
        <v>8</v>
      </c>
      <c r="AZ1084" s="904">
        <v>8</v>
      </c>
      <c r="BA1084" s="904">
        <v>8</v>
      </c>
      <c r="BB1084" s="904">
        <v>8</v>
      </c>
      <c r="BC1084" s="904">
        <v>8</v>
      </c>
      <c r="BD1084" s="904">
        <v>8</v>
      </c>
      <c r="BE1084" s="904">
        <v>8</v>
      </c>
      <c r="BF1084" s="904">
        <v>8</v>
      </c>
      <c r="BG1084" s="904">
        <v>10</v>
      </c>
    </row>
  </sheetData>
  <sheetProtection formatColumns="0" formatRows="0" autoFilter="0" sort="0" insertRows="0" insertColumns="1" deleteRows="0" deleteColumns="0"/>
  <mergeCells count="5233">
    <mergeCell ref="AB9:AE10"/>
    <mergeCell ref="S11:Y11"/>
    <mergeCell ref="N10:Y10"/>
    <mergeCell ref="K9:Y9"/>
    <mergeCell ref="N11:O12"/>
    <mergeCell ref="P11:P12"/>
    <mergeCell ref="Q11:Q12"/>
    <mergeCell ref="F1083:J1083"/>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82:J1082"/>
    <mergeCell ref="F1081:J1081"/>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31:K31"/>
    <mergeCell ref="F21:F31"/>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33:P35"/>
    <mergeCell ref="Q33:Q35"/>
    <mergeCell ref="R33:R35"/>
    <mergeCell ref="G32:G36"/>
    <mergeCell ref="AJ32:AJ36"/>
    <mergeCell ref="AK32:AK36"/>
    <mergeCell ref="I98:K98"/>
    <mergeCell ref="F32:F98"/>
    <mergeCell ref="AF32:AF36"/>
    <mergeCell ref="AG32:AG36"/>
    <mergeCell ref="AH32:AH36"/>
    <mergeCell ref="AI32:AI36"/>
    <mergeCell ref="S33:S35"/>
    <mergeCell ref="T33:T35"/>
    <mergeCell ref="U33:U35"/>
    <mergeCell ref="V33:V35"/>
    <mergeCell ref="W33:W35"/>
    <mergeCell ref="X33:X35"/>
    <mergeCell ref="Y33:Y35"/>
    <mergeCell ref="H32:H36"/>
    <mergeCell ref="I32:I36"/>
    <mergeCell ref="J32:J36"/>
    <mergeCell ref="K32:K36"/>
    <mergeCell ref="L32:L36"/>
    <mergeCell ref="M32:M36"/>
    <mergeCell ref="N33:N35"/>
    <mergeCell ref="O33:O35"/>
    <mergeCell ref="P100:P102"/>
    <mergeCell ref="Q100:Q102"/>
    <mergeCell ref="R100:R102"/>
    <mergeCell ref="G99:G103"/>
    <mergeCell ref="AJ99:AJ103"/>
    <mergeCell ref="AK99:AK103"/>
    <mergeCell ref="I110:K110"/>
    <mergeCell ref="F99:F110"/>
    <mergeCell ref="AF99:AF103"/>
    <mergeCell ref="AG99:AG103"/>
    <mergeCell ref="AH99:AH103"/>
    <mergeCell ref="AI99:AI103"/>
    <mergeCell ref="S100:S102"/>
    <mergeCell ref="T100:T102"/>
    <mergeCell ref="U100:U102"/>
    <mergeCell ref="V100:V102"/>
    <mergeCell ref="W100:W102"/>
    <mergeCell ref="X100:X102"/>
    <mergeCell ref="Y100:Y102"/>
    <mergeCell ref="H99:H103"/>
    <mergeCell ref="I99:I103"/>
    <mergeCell ref="J99:J103"/>
    <mergeCell ref="K99:K103"/>
    <mergeCell ref="L99:L103"/>
    <mergeCell ref="M99:M103"/>
    <mergeCell ref="N100:N102"/>
    <mergeCell ref="O100:O102"/>
    <mergeCell ref="P112:P114"/>
    <mergeCell ref="Q112:Q114"/>
    <mergeCell ref="R112:R114"/>
    <mergeCell ref="G111:G115"/>
    <mergeCell ref="AJ111:AJ115"/>
    <mergeCell ref="AK111:AK115"/>
    <mergeCell ref="I122:K122"/>
    <mergeCell ref="F111:F122"/>
    <mergeCell ref="AF111:AF115"/>
    <mergeCell ref="AG111:AG115"/>
    <mergeCell ref="AH111:AH115"/>
    <mergeCell ref="AI111:AI115"/>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N112:N114"/>
    <mergeCell ref="O112:O114"/>
    <mergeCell ref="P124:P126"/>
    <mergeCell ref="Q124:Q126"/>
    <mergeCell ref="R124:R126"/>
    <mergeCell ref="G123:G127"/>
    <mergeCell ref="AJ123:AJ127"/>
    <mergeCell ref="AK123:AK127"/>
    <mergeCell ref="I139:K139"/>
    <mergeCell ref="F123:F139"/>
    <mergeCell ref="AF123:AF127"/>
    <mergeCell ref="AG123:AG127"/>
    <mergeCell ref="AH123:AH127"/>
    <mergeCell ref="AI123:AI127"/>
    <mergeCell ref="S124:S126"/>
    <mergeCell ref="T124:T126"/>
    <mergeCell ref="U124:U126"/>
    <mergeCell ref="V124:V126"/>
    <mergeCell ref="W124:W126"/>
    <mergeCell ref="X124:X126"/>
    <mergeCell ref="Y124:Y126"/>
    <mergeCell ref="H123:H127"/>
    <mergeCell ref="I123:I127"/>
    <mergeCell ref="J123:J127"/>
    <mergeCell ref="K123:K127"/>
    <mergeCell ref="L123:L127"/>
    <mergeCell ref="M123:M127"/>
    <mergeCell ref="N124:N126"/>
    <mergeCell ref="O124:O126"/>
    <mergeCell ref="P141:P143"/>
    <mergeCell ref="Q141:Q143"/>
    <mergeCell ref="R141:R143"/>
    <mergeCell ref="G140:G144"/>
    <mergeCell ref="AJ140:AJ144"/>
    <mergeCell ref="AK140:AK144"/>
    <mergeCell ref="I156:K156"/>
    <mergeCell ref="F140:F156"/>
    <mergeCell ref="AF140:AF144"/>
    <mergeCell ref="AG140:AG144"/>
    <mergeCell ref="AH140:AH144"/>
    <mergeCell ref="AI140:AI144"/>
    <mergeCell ref="S141:S143"/>
    <mergeCell ref="T141:T143"/>
    <mergeCell ref="U141:U143"/>
    <mergeCell ref="V141:V143"/>
    <mergeCell ref="W141:W143"/>
    <mergeCell ref="X141:X143"/>
    <mergeCell ref="Y141:Y143"/>
    <mergeCell ref="H140:H144"/>
    <mergeCell ref="I140:I144"/>
    <mergeCell ref="J140:J144"/>
    <mergeCell ref="K140:K144"/>
    <mergeCell ref="L140:L144"/>
    <mergeCell ref="M140:M144"/>
    <mergeCell ref="N141:N143"/>
    <mergeCell ref="O141:O143"/>
    <mergeCell ref="P158:P160"/>
    <mergeCell ref="Q158:Q160"/>
    <mergeCell ref="R158:R160"/>
    <mergeCell ref="G157:G161"/>
    <mergeCell ref="AJ157:AJ161"/>
    <mergeCell ref="AK157:AK161"/>
    <mergeCell ref="I167:K167"/>
    <mergeCell ref="F157:F167"/>
    <mergeCell ref="AF157:AF161"/>
    <mergeCell ref="AG157:AG161"/>
    <mergeCell ref="AH157:AH161"/>
    <mergeCell ref="AI157:AI161"/>
    <mergeCell ref="S158:S160"/>
    <mergeCell ref="T158:T160"/>
    <mergeCell ref="U158:U160"/>
    <mergeCell ref="V158:V160"/>
    <mergeCell ref="W158:W160"/>
    <mergeCell ref="X158:X160"/>
    <mergeCell ref="Y158:Y160"/>
    <mergeCell ref="H157:H161"/>
    <mergeCell ref="I157:I161"/>
    <mergeCell ref="J157:J161"/>
    <mergeCell ref="K157:K161"/>
    <mergeCell ref="L157:L161"/>
    <mergeCell ref="M157:M161"/>
    <mergeCell ref="N158:N160"/>
    <mergeCell ref="O158:O160"/>
    <mergeCell ref="P169:P171"/>
    <mergeCell ref="Q169:Q171"/>
    <mergeCell ref="R169:R171"/>
    <mergeCell ref="G168:G172"/>
    <mergeCell ref="AJ168:AJ172"/>
    <mergeCell ref="AK168:AK172"/>
    <mergeCell ref="I179:K179"/>
    <mergeCell ref="F168:F179"/>
    <mergeCell ref="AF168:AF172"/>
    <mergeCell ref="AG168:AG172"/>
    <mergeCell ref="AH168:AH172"/>
    <mergeCell ref="AI168:AI172"/>
    <mergeCell ref="S169:S171"/>
    <mergeCell ref="T169:T171"/>
    <mergeCell ref="U169:U171"/>
    <mergeCell ref="V169:V171"/>
    <mergeCell ref="W169:W171"/>
    <mergeCell ref="X169:X171"/>
    <mergeCell ref="Y169:Y171"/>
    <mergeCell ref="H168:H172"/>
    <mergeCell ref="I168:I172"/>
    <mergeCell ref="J168:J172"/>
    <mergeCell ref="K168:K172"/>
    <mergeCell ref="L168:L172"/>
    <mergeCell ref="M168:M172"/>
    <mergeCell ref="N169:N171"/>
    <mergeCell ref="O169:O171"/>
    <mergeCell ref="P181:P183"/>
    <mergeCell ref="Q181:Q183"/>
    <mergeCell ref="R181:R183"/>
    <mergeCell ref="G180:G184"/>
    <mergeCell ref="AJ180:AJ184"/>
    <mergeCell ref="AK180:AK184"/>
    <mergeCell ref="I185:K185"/>
    <mergeCell ref="F180:F185"/>
    <mergeCell ref="AF180:AF184"/>
    <mergeCell ref="AG180:AG184"/>
    <mergeCell ref="AH180:AH184"/>
    <mergeCell ref="AI180:AI184"/>
    <mergeCell ref="S181:S183"/>
    <mergeCell ref="T181:T183"/>
    <mergeCell ref="U181:U183"/>
    <mergeCell ref="V181:V183"/>
    <mergeCell ref="W181:W183"/>
    <mergeCell ref="X181:X183"/>
    <mergeCell ref="Y181:Y183"/>
    <mergeCell ref="H180:H184"/>
    <mergeCell ref="I180:I184"/>
    <mergeCell ref="J180:J184"/>
    <mergeCell ref="K180:K184"/>
    <mergeCell ref="L180:L184"/>
    <mergeCell ref="M180:M184"/>
    <mergeCell ref="N181:N183"/>
    <mergeCell ref="O181:O183"/>
    <mergeCell ref="H26:H30"/>
    <mergeCell ref="I26:I30"/>
    <mergeCell ref="J26:J30"/>
    <mergeCell ref="K26:K30"/>
    <mergeCell ref="L26:L30"/>
    <mergeCell ref="M26:M30"/>
    <mergeCell ref="AF26:AF30"/>
    <mergeCell ref="AG26:AG30"/>
    <mergeCell ref="AH26:AH30"/>
    <mergeCell ref="AI26:AI30"/>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G26:G30"/>
    <mergeCell ref="H37:H41"/>
    <mergeCell ref="I37:I41"/>
    <mergeCell ref="J37:J41"/>
    <mergeCell ref="K37:K41"/>
    <mergeCell ref="L37:L41"/>
    <mergeCell ref="M37:M41"/>
    <mergeCell ref="AF37:AF41"/>
    <mergeCell ref="AG37:AG41"/>
    <mergeCell ref="AH37:AH41"/>
    <mergeCell ref="AI37:AI41"/>
    <mergeCell ref="AJ37:AJ41"/>
    <mergeCell ref="AK37:AK41"/>
    <mergeCell ref="N38:N40"/>
    <mergeCell ref="O38:O40"/>
    <mergeCell ref="P38:P40"/>
    <mergeCell ref="Q38:Q40"/>
    <mergeCell ref="R38:R40"/>
    <mergeCell ref="S38:S40"/>
    <mergeCell ref="T38:T40"/>
    <mergeCell ref="U38:U40"/>
    <mergeCell ref="V38:V40"/>
    <mergeCell ref="W38:W40"/>
    <mergeCell ref="X38:X40"/>
    <mergeCell ref="Y38:Y40"/>
    <mergeCell ref="G37:G41"/>
    <mergeCell ref="H42:H46"/>
    <mergeCell ref="I42:I46"/>
    <mergeCell ref="J42:J46"/>
    <mergeCell ref="K42:K46"/>
    <mergeCell ref="L42:L46"/>
    <mergeCell ref="M42:M46"/>
    <mergeCell ref="AF42:AF46"/>
    <mergeCell ref="AG42:AG46"/>
    <mergeCell ref="AH42:AH46"/>
    <mergeCell ref="AI42:AI46"/>
    <mergeCell ref="AJ42:AJ46"/>
    <mergeCell ref="AK42:AK46"/>
    <mergeCell ref="N43:N45"/>
    <mergeCell ref="O43:O45"/>
    <mergeCell ref="P43:P45"/>
    <mergeCell ref="Q43:Q45"/>
    <mergeCell ref="R43:R45"/>
    <mergeCell ref="S43:S45"/>
    <mergeCell ref="T43:T45"/>
    <mergeCell ref="U43:U45"/>
    <mergeCell ref="V43:V45"/>
    <mergeCell ref="W43:W45"/>
    <mergeCell ref="X43:X45"/>
    <mergeCell ref="Y43:Y45"/>
    <mergeCell ref="G42:G46"/>
    <mergeCell ref="H47:H51"/>
    <mergeCell ref="I47:I51"/>
    <mergeCell ref="J47:J51"/>
    <mergeCell ref="K47:K51"/>
    <mergeCell ref="L47:L51"/>
    <mergeCell ref="M47:M51"/>
    <mergeCell ref="AF47:AF51"/>
    <mergeCell ref="AG47:AG51"/>
    <mergeCell ref="AH47:AH51"/>
    <mergeCell ref="AI47:AI51"/>
    <mergeCell ref="AJ47:AJ51"/>
    <mergeCell ref="AK47:AK51"/>
    <mergeCell ref="N48:N50"/>
    <mergeCell ref="O48:O50"/>
    <mergeCell ref="P48:P50"/>
    <mergeCell ref="Q48:Q50"/>
    <mergeCell ref="R48:R50"/>
    <mergeCell ref="S48:S50"/>
    <mergeCell ref="T48:T50"/>
    <mergeCell ref="U48:U50"/>
    <mergeCell ref="V48:V50"/>
    <mergeCell ref="W48:W50"/>
    <mergeCell ref="X48:X50"/>
    <mergeCell ref="Y48:Y50"/>
    <mergeCell ref="G47:G51"/>
    <mergeCell ref="H52:H56"/>
    <mergeCell ref="I52:I56"/>
    <mergeCell ref="J52:J56"/>
    <mergeCell ref="K52:K56"/>
    <mergeCell ref="L52:L56"/>
    <mergeCell ref="M52:M56"/>
    <mergeCell ref="AF52:AF56"/>
    <mergeCell ref="AG52:AG56"/>
    <mergeCell ref="AH52:AH56"/>
    <mergeCell ref="AI52:AI56"/>
    <mergeCell ref="AJ52:AJ56"/>
    <mergeCell ref="AK52:AK56"/>
    <mergeCell ref="N53:N55"/>
    <mergeCell ref="O53:O55"/>
    <mergeCell ref="P53:P55"/>
    <mergeCell ref="Q53:Q55"/>
    <mergeCell ref="R53:R55"/>
    <mergeCell ref="S53:S55"/>
    <mergeCell ref="T53:T55"/>
    <mergeCell ref="U53:U55"/>
    <mergeCell ref="V53:V55"/>
    <mergeCell ref="W53:W55"/>
    <mergeCell ref="X53:X55"/>
    <mergeCell ref="Y53:Y55"/>
    <mergeCell ref="G52:G56"/>
    <mergeCell ref="H57:H61"/>
    <mergeCell ref="I57:I61"/>
    <mergeCell ref="J57:J61"/>
    <mergeCell ref="K57:K61"/>
    <mergeCell ref="L57:L61"/>
    <mergeCell ref="M57:M61"/>
    <mergeCell ref="AF57:AF61"/>
    <mergeCell ref="AG57:AG61"/>
    <mergeCell ref="AH57:AH61"/>
    <mergeCell ref="AI57:AI61"/>
    <mergeCell ref="AJ57:AJ61"/>
    <mergeCell ref="AK57:AK61"/>
    <mergeCell ref="N58:N60"/>
    <mergeCell ref="O58:O60"/>
    <mergeCell ref="P58:P60"/>
    <mergeCell ref="Q58:Q60"/>
    <mergeCell ref="R58:R60"/>
    <mergeCell ref="S58:S60"/>
    <mergeCell ref="T58:T60"/>
    <mergeCell ref="U58:U60"/>
    <mergeCell ref="V58:V60"/>
    <mergeCell ref="W58:W60"/>
    <mergeCell ref="X58:X60"/>
    <mergeCell ref="Y58:Y60"/>
    <mergeCell ref="G57:G61"/>
    <mergeCell ref="H62:H66"/>
    <mergeCell ref="I62:I66"/>
    <mergeCell ref="J62:J66"/>
    <mergeCell ref="K62:K66"/>
    <mergeCell ref="L62:L66"/>
    <mergeCell ref="M62:M66"/>
    <mergeCell ref="AF62:AF66"/>
    <mergeCell ref="AG62:AG66"/>
    <mergeCell ref="AH62:AH66"/>
    <mergeCell ref="AI62:AI66"/>
    <mergeCell ref="AJ62:AJ66"/>
    <mergeCell ref="AK62:AK66"/>
    <mergeCell ref="N63:N65"/>
    <mergeCell ref="O63:O65"/>
    <mergeCell ref="P63:P65"/>
    <mergeCell ref="Q63:Q65"/>
    <mergeCell ref="R63:R65"/>
    <mergeCell ref="S63:S65"/>
    <mergeCell ref="T63:T65"/>
    <mergeCell ref="U63:U65"/>
    <mergeCell ref="V63:V65"/>
    <mergeCell ref="W63:W65"/>
    <mergeCell ref="X63:X65"/>
    <mergeCell ref="Y63:Y65"/>
    <mergeCell ref="G62:G66"/>
    <mergeCell ref="H67:H72"/>
    <mergeCell ref="I67:I72"/>
    <mergeCell ref="J67:J72"/>
    <mergeCell ref="K67:K72"/>
    <mergeCell ref="L67:L72"/>
    <mergeCell ref="M67:M72"/>
    <mergeCell ref="AF67:AF72"/>
    <mergeCell ref="AG67:AG72"/>
    <mergeCell ref="AH67:AH72"/>
    <mergeCell ref="AI67:AI72"/>
    <mergeCell ref="AJ67:AJ72"/>
    <mergeCell ref="AK67:AK72"/>
    <mergeCell ref="N68:N71"/>
    <mergeCell ref="O68:O71"/>
    <mergeCell ref="P68:P71"/>
    <mergeCell ref="Q68:Q71"/>
    <mergeCell ref="R68:R71"/>
    <mergeCell ref="S68:S71"/>
    <mergeCell ref="T68:T71"/>
    <mergeCell ref="U68:U71"/>
    <mergeCell ref="V68:V71"/>
    <mergeCell ref="W68:W71"/>
    <mergeCell ref="X68:X71"/>
    <mergeCell ref="Y68:Y71"/>
    <mergeCell ref="G67:G72"/>
    <mergeCell ref="H73:H77"/>
    <mergeCell ref="I73:I77"/>
    <mergeCell ref="J73:J77"/>
    <mergeCell ref="K73:K77"/>
    <mergeCell ref="L73:L77"/>
    <mergeCell ref="M73:M77"/>
    <mergeCell ref="AF73:AF77"/>
    <mergeCell ref="AG73:AG77"/>
    <mergeCell ref="AH73:AH77"/>
    <mergeCell ref="AI73:AI77"/>
    <mergeCell ref="AJ73:AJ77"/>
    <mergeCell ref="AK73:AK77"/>
    <mergeCell ref="N74:N76"/>
    <mergeCell ref="O74:O76"/>
    <mergeCell ref="P74:P76"/>
    <mergeCell ref="Q74:Q76"/>
    <mergeCell ref="R74:R76"/>
    <mergeCell ref="S74:S76"/>
    <mergeCell ref="T74:T76"/>
    <mergeCell ref="U74:U76"/>
    <mergeCell ref="V74:V76"/>
    <mergeCell ref="W74:W76"/>
    <mergeCell ref="X74:X76"/>
    <mergeCell ref="Y74:Y76"/>
    <mergeCell ref="G73:G77"/>
    <mergeCell ref="H78:H82"/>
    <mergeCell ref="I78:I82"/>
    <mergeCell ref="J78:J82"/>
    <mergeCell ref="K78:K82"/>
    <mergeCell ref="L78:L82"/>
    <mergeCell ref="M78:M82"/>
    <mergeCell ref="AF78:AF82"/>
    <mergeCell ref="AG78:AG82"/>
    <mergeCell ref="AH78:AH82"/>
    <mergeCell ref="AI78:AI82"/>
    <mergeCell ref="AJ78:AJ82"/>
    <mergeCell ref="AK78:AK82"/>
    <mergeCell ref="N79:N81"/>
    <mergeCell ref="O79:O81"/>
    <mergeCell ref="P79:P81"/>
    <mergeCell ref="Q79:Q81"/>
    <mergeCell ref="R79:R81"/>
    <mergeCell ref="S79:S81"/>
    <mergeCell ref="T79:T81"/>
    <mergeCell ref="U79:U81"/>
    <mergeCell ref="V79:V81"/>
    <mergeCell ref="W79:W81"/>
    <mergeCell ref="X79:X81"/>
    <mergeCell ref="Y79:Y81"/>
    <mergeCell ref="G78:G82"/>
    <mergeCell ref="H83:H87"/>
    <mergeCell ref="I83:I87"/>
    <mergeCell ref="J83:J87"/>
    <mergeCell ref="K83:K87"/>
    <mergeCell ref="L83:L87"/>
    <mergeCell ref="M83:M87"/>
    <mergeCell ref="AF83:AF87"/>
    <mergeCell ref="AG83:AG87"/>
    <mergeCell ref="AH83:AH87"/>
    <mergeCell ref="AI83:AI87"/>
    <mergeCell ref="AJ83:AJ87"/>
    <mergeCell ref="AK83:AK87"/>
    <mergeCell ref="N84:N86"/>
    <mergeCell ref="O84:O86"/>
    <mergeCell ref="P84:P86"/>
    <mergeCell ref="Q84:Q86"/>
    <mergeCell ref="R84:R86"/>
    <mergeCell ref="S84:S86"/>
    <mergeCell ref="T84:T86"/>
    <mergeCell ref="U84:U86"/>
    <mergeCell ref="V84:V86"/>
    <mergeCell ref="W84:W86"/>
    <mergeCell ref="X84:X86"/>
    <mergeCell ref="Y84:Y86"/>
    <mergeCell ref="G83:G87"/>
    <mergeCell ref="H88:H92"/>
    <mergeCell ref="I88:I92"/>
    <mergeCell ref="J88:J92"/>
    <mergeCell ref="K88:K92"/>
    <mergeCell ref="L88:L92"/>
    <mergeCell ref="M88:M92"/>
    <mergeCell ref="AF88:AF92"/>
    <mergeCell ref="AG88:AG92"/>
    <mergeCell ref="AH88:AH92"/>
    <mergeCell ref="AI88:AI92"/>
    <mergeCell ref="AJ88:AJ92"/>
    <mergeCell ref="AK88:AK92"/>
    <mergeCell ref="N89:N91"/>
    <mergeCell ref="O89:O91"/>
    <mergeCell ref="P89:P91"/>
    <mergeCell ref="Q89:Q91"/>
    <mergeCell ref="R89:R91"/>
    <mergeCell ref="S89:S91"/>
    <mergeCell ref="T89:T91"/>
    <mergeCell ref="U89:U91"/>
    <mergeCell ref="V89:V91"/>
    <mergeCell ref="W89:W91"/>
    <mergeCell ref="X89:X91"/>
    <mergeCell ref="Y89:Y91"/>
    <mergeCell ref="G88:G92"/>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G93:G97"/>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16:H121"/>
    <mergeCell ref="I116:I121"/>
    <mergeCell ref="J116:J121"/>
    <mergeCell ref="K116:K121"/>
    <mergeCell ref="L116:L121"/>
    <mergeCell ref="M116:M12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28:H133"/>
    <mergeCell ref="I128:I133"/>
    <mergeCell ref="J128:J133"/>
    <mergeCell ref="K128:K133"/>
    <mergeCell ref="L128:L133"/>
    <mergeCell ref="M128:M133"/>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45:H150"/>
    <mergeCell ref="I145:I150"/>
    <mergeCell ref="J145:J150"/>
    <mergeCell ref="K145:K150"/>
    <mergeCell ref="L145:L150"/>
    <mergeCell ref="M145:M150"/>
    <mergeCell ref="AF145:AF150"/>
    <mergeCell ref="AG145:AG150"/>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45:G150"/>
    <mergeCell ref="H162:H166"/>
    <mergeCell ref="I162:I166"/>
    <mergeCell ref="J162:J166"/>
    <mergeCell ref="K162:K166"/>
    <mergeCell ref="L162:L166"/>
    <mergeCell ref="M162:M166"/>
    <mergeCell ref="AF162:AF166"/>
    <mergeCell ref="AG162:AG166"/>
    <mergeCell ref="AH162:AH166"/>
    <mergeCell ref="AI162:AI166"/>
    <mergeCell ref="AJ162:AJ166"/>
    <mergeCell ref="AK162:AK166"/>
    <mergeCell ref="N163:N165"/>
    <mergeCell ref="O163:O165"/>
    <mergeCell ref="P163:P165"/>
    <mergeCell ref="Q163:Q165"/>
    <mergeCell ref="R163:R165"/>
    <mergeCell ref="S163:S165"/>
    <mergeCell ref="T163:T165"/>
    <mergeCell ref="U163:U165"/>
    <mergeCell ref="V163:V165"/>
    <mergeCell ref="W163:W165"/>
    <mergeCell ref="X163:X165"/>
    <mergeCell ref="Y163:Y165"/>
    <mergeCell ref="G162:G166"/>
    <mergeCell ref="H173:H178"/>
    <mergeCell ref="I173:I178"/>
    <mergeCell ref="J173:J178"/>
    <mergeCell ref="K173:K178"/>
    <mergeCell ref="L173:L178"/>
    <mergeCell ref="M173:M178"/>
    <mergeCell ref="AF173:AF178"/>
    <mergeCell ref="AG173:AG178"/>
    <mergeCell ref="AH173:AH178"/>
    <mergeCell ref="AI173:AI178"/>
    <mergeCell ref="AJ173:AJ178"/>
    <mergeCell ref="AK173:AK178"/>
    <mergeCell ref="N174:N177"/>
    <mergeCell ref="O174:O177"/>
    <mergeCell ref="P174:P177"/>
    <mergeCell ref="Q174:Q177"/>
    <mergeCell ref="R174:R177"/>
    <mergeCell ref="S174:S177"/>
    <mergeCell ref="T174:T177"/>
    <mergeCell ref="U174:U177"/>
    <mergeCell ref="V174:V177"/>
    <mergeCell ref="W174:W177"/>
    <mergeCell ref="X174:X177"/>
    <mergeCell ref="Y174:Y177"/>
    <mergeCell ref="G173:G178"/>
    <mergeCell ref="P188:P190"/>
    <mergeCell ref="Q188:Q190"/>
    <mergeCell ref="R188:R190"/>
    <mergeCell ref="G187:G191"/>
    <mergeCell ref="AJ187:AJ191"/>
    <mergeCell ref="AK187:AK191"/>
    <mergeCell ref="I449:K449"/>
    <mergeCell ref="F187:F449"/>
    <mergeCell ref="AF187:AF191"/>
    <mergeCell ref="AG187:AG191"/>
    <mergeCell ref="AH187:AH191"/>
    <mergeCell ref="AI187:AI191"/>
    <mergeCell ref="S188:S190"/>
    <mergeCell ref="T188:T190"/>
    <mergeCell ref="U188:U190"/>
    <mergeCell ref="V188:V190"/>
    <mergeCell ref="W188:W190"/>
    <mergeCell ref="X188:X190"/>
    <mergeCell ref="Y188:Y190"/>
    <mergeCell ref="H187:H191"/>
    <mergeCell ref="I187:I191"/>
    <mergeCell ref="J187:J191"/>
    <mergeCell ref="K187:K191"/>
    <mergeCell ref="L187:L191"/>
    <mergeCell ref="M187:M191"/>
    <mergeCell ref="N188:N190"/>
    <mergeCell ref="O188:O190"/>
    <mergeCell ref="P451:P453"/>
    <mergeCell ref="Q451:Q453"/>
    <mergeCell ref="R451:R453"/>
    <mergeCell ref="G450:G454"/>
    <mergeCell ref="AJ450:AJ454"/>
    <mergeCell ref="AK450:AK454"/>
    <mergeCell ref="I656:K656"/>
    <mergeCell ref="F450:F656"/>
    <mergeCell ref="AF450:AF454"/>
    <mergeCell ref="AG450:AG454"/>
    <mergeCell ref="AH450:AH454"/>
    <mergeCell ref="AI450:AI454"/>
    <mergeCell ref="S451:S453"/>
    <mergeCell ref="T451:T453"/>
    <mergeCell ref="U451:U453"/>
    <mergeCell ref="V451:V453"/>
    <mergeCell ref="W451:W453"/>
    <mergeCell ref="X451:X453"/>
    <mergeCell ref="Y451:Y453"/>
    <mergeCell ref="H450:H454"/>
    <mergeCell ref="I450:I454"/>
    <mergeCell ref="J450:J454"/>
    <mergeCell ref="K450:K454"/>
    <mergeCell ref="L450:L454"/>
    <mergeCell ref="M450:M454"/>
    <mergeCell ref="N451:N453"/>
    <mergeCell ref="O451:O453"/>
    <mergeCell ref="P658:P660"/>
    <mergeCell ref="Q658:Q660"/>
    <mergeCell ref="R658:R660"/>
    <mergeCell ref="G657:G661"/>
    <mergeCell ref="AJ657:AJ661"/>
    <mergeCell ref="AK657:AK661"/>
    <mergeCell ref="I838:K838"/>
    <mergeCell ref="F657:F838"/>
    <mergeCell ref="AF657:AF661"/>
    <mergeCell ref="AG657:AG661"/>
    <mergeCell ref="AH657:AH661"/>
    <mergeCell ref="AI657:AI661"/>
    <mergeCell ref="S658:S660"/>
    <mergeCell ref="T658:T660"/>
    <mergeCell ref="U658:U660"/>
    <mergeCell ref="V658:V660"/>
    <mergeCell ref="W658:W660"/>
    <mergeCell ref="X658:X660"/>
    <mergeCell ref="Y658:Y660"/>
    <mergeCell ref="H657:H661"/>
    <mergeCell ref="I657:I661"/>
    <mergeCell ref="J657:J661"/>
    <mergeCell ref="K657:K661"/>
    <mergeCell ref="L657:L661"/>
    <mergeCell ref="M657:M661"/>
    <mergeCell ref="N658:N660"/>
    <mergeCell ref="O658:O660"/>
    <mergeCell ref="P840:P842"/>
    <mergeCell ref="Q840:Q842"/>
    <mergeCell ref="R840:R842"/>
    <mergeCell ref="G839:G843"/>
    <mergeCell ref="AJ839:AJ843"/>
    <mergeCell ref="AK839:AK843"/>
    <mergeCell ref="I980:K980"/>
    <mergeCell ref="F839:F980"/>
    <mergeCell ref="AF839:AF843"/>
    <mergeCell ref="AG839:AG843"/>
    <mergeCell ref="AH839:AH843"/>
    <mergeCell ref="AI839:AI843"/>
    <mergeCell ref="S840:S842"/>
    <mergeCell ref="T840:T842"/>
    <mergeCell ref="U840:U842"/>
    <mergeCell ref="V840:V842"/>
    <mergeCell ref="W840:W842"/>
    <mergeCell ref="X840:X842"/>
    <mergeCell ref="Y840:Y842"/>
    <mergeCell ref="H839:H843"/>
    <mergeCell ref="I839:I843"/>
    <mergeCell ref="J839:J843"/>
    <mergeCell ref="K839:K843"/>
    <mergeCell ref="L839:L843"/>
    <mergeCell ref="M839:M843"/>
    <mergeCell ref="N840:N842"/>
    <mergeCell ref="O840:O842"/>
    <mergeCell ref="P982:P984"/>
    <mergeCell ref="Q982:Q984"/>
    <mergeCell ref="R982:R984"/>
    <mergeCell ref="G981:G985"/>
    <mergeCell ref="AJ981:AJ985"/>
    <mergeCell ref="AK981:AK985"/>
    <mergeCell ref="I1077:K1077"/>
    <mergeCell ref="F981:F1077"/>
    <mergeCell ref="AF981:AF985"/>
    <mergeCell ref="AG981:AG985"/>
    <mergeCell ref="AH981:AH985"/>
    <mergeCell ref="AI981:AI985"/>
    <mergeCell ref="S982:S984"/>
    <mergeCell ref="T982:T984"/>
    <mergeCell ref="U982:U984"/>
    <mergeCell ref="V982:V984"/>
    <mergeCell ref="W982:W984"/>
    <mergeCell ref="X982:X984"/>
    <mergeCell ref="Y982:Y984"/>
    <mergeCell ref="H981:H985"/>
    <mergeCell ref="I981:I985"/>
    <mergeCell ref="J981:J985"/>
    <mergeCell ref="K981:K985"/>
    <mergeCell ref="L981:L985"/>
    <mergeCell ref="M981:M985"/>
    <mergeCell ref="N982:N984"/>
    <mergeCell ref="O982:O984"/>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34:G138"/>
    <mergeCell ref="H192:H196"/>
    <mergeCell ref="I192:I196"/>
    <mergeCell ref="J192:J196"/>
    <mergeCell ref="K192:K196"/>
    <mergeCell ref="L192:L196"/>
    <mergeCell ref="M192:M196"/>
    <mergeCell ref="AF192:AF196"/>
    <mergeCell ref="AG192:AG196"/>
    <mergeCell ref="AH192:AH196"/>
    <mergeCell ref="AI192:AI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92:G196"/>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97:G201"/>
    <mergeCell ref="H202:H206"/>
    <mergeCell ref="I202:I206"/>
    <mergeCell ref="J202:J206"/>
    <mergeCell ref="K202:K206"/>
    <mergeCell ref="L202:L206"/>
    <mergeCell ref="M202:M206"/>
    <mergeCell ref="AF202:AF206"/>
    <mergeCell ref="AG202:AG206"/>
    <mergeCell ref="AH202:AH206"/>
    <mergeCell ref="AI202:AI206"/>
    <mergeCell ref="AJ202:AJ206"/>
    <mergeCell ref="AK202:AK206"/>
    <mergeCell ref="N203:N205"/>
    <mergeCell ref="O203:O205"/>
    <mergeCell ref="P203:P205"/>
    <mergeCell ref="Q203:Q205"/>
    <mergeCell ref="R203:R205"/>
    <mergeCell ref="S203:S205"/>
    <mergeCell ref="T203:T205"/>
    <mergeCell ref="U203:U205"/>
    <mergeCell ref="V203:V205"/>
    <mergeCell ref="W203:W205"/>
    <mergeCell ref="X203:X205"/>
    <mergeCell ref="Y203:Y205"/>
    <mergeCell ref="G202:G206"/>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H212:H216"/>
    <mergeCell ref="I212:I216"/>
    <mergeCell ref="J212:J216"/>
    <mergeCell ref="K212:K216"/>
    <mergeCell ref="L212:L216"/>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22:G226"/>
    <mergeCell ref="H227:H231"/>
    <mergeCell ref="I227:I231"/>
    <mergeCell ref="J227:J231"/>
    <mergeCell ref="K227:K231"/>
    <mergeCell ref="L227:L231"/>
    <mergeCell ref="M227:M231"/>
    <mergeCell ref="AF227:AF231"/>
    <mergeCell ref="AG227:AG231"/>
    <mergeCell ref="AH227:AH231"/>
    <mergeCell ref="AI227:AI231"/>
    <mergeCell ref="AJ227:AJ231"/>
    <mergeCell ref="AK227:AK231"/>
    <mergeCell ref="N228:N230"/>
    <mergeCell ref="O228:O230"/>
    <mergeCell ref="P228:P230"/>
    <mergeCell ref="Q228:Q230"/>
    <mergeCell ref="R228:R230"/>
    <mergeCell ref="S228:S230"/>
    <mergeCell ref="T228:T230"/>
    <mergeCell ref="U228:U230"/>
    <mergeCell ref="V228:V230"/>
    <mergeCell ref="W228:W230"/>
    <mergeCell ref="X228:X230"/>
    <mergeCell ref="Y228:Y230"/>
    <mergeCell ref="G227:G231"/>
    <mergeCell ref="H232:H236"/>
    <mergeCell ref="I232:I236"/>
    <mergeCell ref="J232:J236"/>
    <mergeCell ref="K232:K236"/>
    <mergeCell ref="L232:L236"/>
    <mergeCell ref="M232:M236"/>
    <mergeCell ref="AF232:AF236"/>
    <mergeCell ref="AG232:AG236"/>
    <mergeCell ref="AH232:AH236"/>
    <mergeCell ref="AI232:AI236"/>
    <mergeCell ref="AJ232:AJ236"/>
    <mergeCell ref="AK232:AK236"/>
    <mergeCell ref="N233:N235"/>
    <mergeCell ref="O233:O235"/>
    <mergeCell ref="P233:P235"/>
    <mergeCell ref="Q233:Q235"/>
    <mergeCell ref="R233:R235"/>
    <mergeCell ref="S233:S235"/>
    <mergeCell ref="T233:T235"/>
    <mergeCell ref="U233:U235"/>
    <mergeCell ref="V233:V235"/>
    <mergeCell ref="W233:W235"/>
    <mergeCell ref="X233:X235"/>
    <mergeCell ref="Y233:Y235"/>
    <mergeCell ref="G232:G236"/>
    <mergeCell ref="H237:H241"/>
    <mergeCell ref="I237:I241"/>
    <mergeCell ref="J237:J241"/>
    <mergeCell ref="K237:K241"/>
    <mergeCell ref="L237:L241"/>
    <mergeCell ref="M237:M241"/>
    <mergeCell ref="AF237:AF241"/>
    <mergeCell ref="AG237:AG241"/>
    <mergeCell ref="AH237:AH241"/>
    <mergeCell ref="AI237:AI241"/>
    <mergeCell ref="AJ237:AJ241"/>
    <mergeCell ref="AK237:AK241"/>
    <mergeCell ref="N238:N240"/>
    <mergeCell ref="O238:O240"/>
    <mergeCell ref="P238:P240"/>
    <mergeCell ref="Q238:Q240"/>
    <mergeCell ref="R238:R240"/>
    <mergeCell ref="S238:S240"/>
    <mergeCell ref="T238:T240"/>
    <mergeCell ref="U238:U240"/>
    <mergeCell ref="V238:V240"/>
    <mergeCell ref="W238:W240"/>
    <mergeCell ref="X238:X240"/>
    <mergeCell ref="Y238:Y240"/>
    <mergeCell ref="G237:G241"/>
    <mergeCell ref="H242:H246"/>
    <mergeCell ref="I242:I246"/>
    <mergeCell ref="J242:J246"/>
    <mergeCell ref="K242:K246"/>
    <mergeCell ref="L242:L246"/>
    <mergeCell ref="M242:M246"/>
    <mergeCell ref="AF242:AF246"/>
    <mergeCell ref="AG242:AG246"/>
    <mergeCell ref="AH242:AH246"/>
    <mergeCell ref="AI242:AI246"/>
    <mergeCell ref="AJ242:AJ246"/>
    <mergeCell ref="AK242:AK246"/>
    <mergeCell ref="N243:N245"/>
    <mergeCell ref="O243:O245"/>
    <mergeCell ref="P243:P245"/>
    <mergeCell ref="Q243:Q245"/>
    <mergeCell ref="R243:R245"/>
    <mergeCell ref="S243:S245"/>
    <mergeCell ref="T243:T245"/>
    <mergeCell ref="U243:U245"/>
    <mergeCell ref="V243:V245"/>
    <mergeCell ref="W243:W245"/>
    <mergeCell ref="X243:X245"/>
    <mergeCell ref="Y243:Y245"/>
    <mergeCell ref="G242:G246"/>
    <mergeCell ref="H247:H251"/>
    <mergeCell ref="I247:I251"/>
    <mergeCell ref="J247:J251"/>
    <mergeCell ref="K247:K251"/>
    <mergeCell ref="L247:L251"/>
    <mergeCell ref="M247:M251"/>
    <mergeCell ref="AF247:AF251"/>
    <mergeCell ref="AG247:AG251"/>
    <mergeCell ref="AH247:AH251"/>
    <mergeCell ref="AI247:AI251"/>
    <mergeCell ref="AJ247:AJ251"/>
    <mergeCell ref="AK247:AK251"/>
    <mergeCell ref="N248:N250"/>
    <mergeCell ref="O248:O250"/>
    <mergeCell ref="P248:P250"/>
    <mergeCell ref="Q248:Q250"/>
    <mergeCell ref="R248:R250"/>
    <mergeCell ref="S248:S250"/>
    <mergeCell ref="T248:T250"/>
    <mergeCell ref="U248:U250"/>
    <mergeCell ref="V248:V250"/>
    <mergeCell ref="W248:W250"/>
    <mergeCell ref="X248:X250"/>
    <mergeCell ref="Y248:Y250"/>
    <mergeCell ref="G247:G251"/>
    <mergeCell ref="H252:H256"/>
    <mergeCell ref="I252:I256"/>
    <mergeCell ref="J252:J256"/>
    <mergeCell ref="K252:K256"/>
    <mergeCell ref="L252:L256"/>
    <mergeCell ref="M252:M256"/>
    <mergeCell ref="AF252:AF256"/>
    <mergeCell ref="AG252:AG256"/>
    <mergeCell ref="AH252:AH256"/>
    <mergeCell ref="AI252:AI256"/>
    <mergeCell ref="AJ252:AJ256"/>
    <mergeCell ref="AK252:AK256"/>
    <mergeCell ref="N253:N255"/>
    <mergeCell ref="O253:O255"/>
    <mergeCell ref="P253:P255"/>
    <mergeCell ref="Q253:Q255"/>
    <mergeCell ref="R253:R255"/>
    <mergeCell ref="S253:S255"/>
    <mergeCell ref="T253:T255"/>
    <mergeCell ref="U253:U255"/>
    <mergeCell ref="V253:V255"/>
    <mergeCell ref="W253:W255"/>
    <mergeCell ref="X253:X255"/>
    <mergeCell ref="Y253:Y255"/>
    <mergeCell ref="G252:G256"/>
    <mergeCell ref="H257:H261"/>
    <mergeCell ref="I257:I261"/>
    <mergeCell ref="J257:J261"/>
    <mergeCell ref="K257:K261"/>
    <mergeCell ref="L257:L261"/>
    <mergeCell ref="M257:M261"/>
    <mergeCell ref="AF257:AF261"/>
    <mergeCell ref="AG257:AG261"/>
    <mergeCell ref="AH257:AH261"/>
    <mergeCell ref="AI257:AI261"/>
    <mergeCell ref="AJ257:AJ261"/>
    <mergeCell ref="AK257:AK261"/>
    <mergeCell ref="N258:N260"/>
    <mergeCell ref="O258:O260"/>
    <mergeCell ref="P258:P260"/>
    <mergeCell ref="Q258:Q260"/>
    <mergeCell ref="R258:R260"/>
    <mergeCell ref="S258:S260"/>
    <mergeCell ref="T258:T260"/>
    <mergeCell ref="U258:U260"/>
    <mergeCell ref="V258:V260"/>
    <mergeCell ref="W258:W260"/>
    <mergeCell ref="X258:X260"/>
    <mergeCell ref="Y258:Y260"/>
    <mergeCell ref="G257:G261"/>
    <mergeCell ref="H262:H266"/>
    <mergeCell ref="I262:I266"/>
    <mergeCell ref="J262:J266"/>
    <mergeCell ref="K262:K266"/>
    <mergeCell ref="L262:L266"/>
    <mergeCell ref="M262:M266"/>
    <mergeCell ref="AF262:AF266"/>
    <mergeCell ref="AG262:AG266"/>
    <mergeCell ref="AH262:AH266"/>
    <mergeCell ref="AI262:AI266"/>
    <mergeCell ref="AJ262:AJ266"/>
    <mergeCell ref="AK262:AK266"/>
    <mergeCell ref="N263:N265"/>
    <mergeCell ref="O263:O265"/>
    <mergeCell ref="P263:P265"/>
    <mergeCell ref="Q263:Q265"/>
    <mergeCell ref="R263:R265"/>
    <mergeCell ref="S263:S265"/>
    <mergeCell ref="T263:T265"/>
    <mergeCell ref="U263:U265"/>
    <mergeCell ref="V263:V265"/>
    <mergeCell ref="W263:W265"/>
    <mergeCell ref="X263:X265"/>
    <mergeCell ref="Y263:Y265"/>
    <mergeCell ref="G262:G266"/>
    <mergeCell ref="H267:H271"/>
    <mergeCell ref="I267:I271"/>
    <mergeCell ref="J267:J271"/>
    <mergeCell ref="K267:K271"/>
    <mergeCell ref="L267:L271"/>
    <mergeCell ref="M267:M271"/>
    <mergeCell ref="AF267:AF271"/>
    <mergeCell ref="AG267:AG271"/>
    <mergeCell ref="AH267:AH271"/>
    <mergeCell ref="AI267:AI271"/>
    <mergeCell ref="AJ267:AJ271"/>
    <mergeCell ref="AK267:AK271"/>
    <mergeCell ref="N268:N270"/>
    <mergeCell ref="O268:O270"/>
    <mergeCell ref="P268:P270"/>
    <mergeCell ref="Q268:Q270"/>
    <mergeCell ref="R268:R270"/>
    <mergeCell ref="S268:S270"/>
    <mergeCell ref="T268:T270"/>
    <mergeCell ref="U268:U270"/>
    <mergeCell ref="V268:V270"/>
    <mergeCell ref="W268:W270"/>
    <mergeCell ref="X268:X270"/>
    <mergeCell ref="Y268:Y270"/>
    <mergeCell ref="G267:G271"/>
    <mergeCell ref="H272:H276"/>
    <mergeCell ref="I272:I276"/>
    <mergeCell ref="J272:J276"/>
    <mergeCell ref="K272:K276"/>
    <mergeCell ref="L272:L276"/>
    <mergeCell ref="M272:M276"/>
    <mergeCell ref="AF272:AF276"/>
    <mergeCell ref="AG272:AG276"/>
    <mergeCell ref="AH272:AH276"/>
    <mergeCell ref="AI272:AI276"/>
    <mergeCell ref="AJ272:AJ276"/>
    <mergeCell ref="AK272:AK276"/>
    <mergeCell ref="N273:N275"/>
    <mergeCell ref="O273:O275"/>
    <mergeCell ref="P273:P275"/>
    <mergeCell ref="Q273:Q275"/>
    <mergeCell ref="R273:R275"/>
    <mergeCell ref="S273:S275"/>
    <mergeCell ref="T273:T275"/>
    <mergeCell ref="U273:U275"/>
    <mergeCell ref="V273:V275"/>
    <mergeCell ref="W273:W275"/>
    <mergeCell ref="X273:X275"/>
    <mergeCell ref="Y273:Y275"/>
    <mergeCell ref="G272:G276"/>
    <mergeCell ref="H277:H281"/>
    <mergeCell ref="I277:I281"/>
    <mergeCell ref="J277:J281"/>
    <mergeCell ref="K277:K281"/>
    <mergeCell ref="L277:L281"/>
    <mergeCell ref="M277:M281"/>
    <mergeCell ref="AF277:AF281"/>
    <mergeCell ref="AG277:AG281"/>
    <mergeCell ref="AH277:AH281"/>
    <mergeCell ref="AI277:AI281"/>
    <mergeCell ref="AJ277:AJ281"/>
    <mergeCell ref="AK277:AK281"/>
    <mergeCell ref="N278:N280"/>
    <mergeCell ref="O278:O280"/>
    <mergeCell ref="P278:P280"/>
    <mergeCell ref="Q278:Q280"/>
    <mergeCell ref="R278:R280"/>
    <mergeCell ref="S278:S280"/>
    <mergeCell ref="T278:T280"/>
    <mergeCell ref="U278:U280"/>
    <mergeCell ref="V278:V280"/>
    <mergeCell ref="W278:W280"/>
    <mergeCell ref="X278:X280"/>
    <mergeCell ref="Y278:Y280"/>
    <mergeCell ref="G277:G281"/>
    <mergeCell ref="H282:H286"/>
    <mergeCell ref="I282:I286"/>
    <mergeCell ref="J282:J286"/>
    <mergeCell ref="K282:K286"/>
    <mergeCell ref="L282:L286"/>
    <mergeCell ref="M282:M286"/>
    <mergeCell ref="AF282:AF286"/>
    <mergeCell ref="AG282:AG286"/>
    <mergeCell ref="AH282:AH286"/>
    <mergeCell ref="AI282:AI286"/>
    <mergeCell ref="AJ282:AJ286"/>
    <mergeCell ref="AK282:AK286"/>
    <mergeCell ref="N283:N285"/>
    <mergeCell ref="O283:O285"/>
    <mergeCell ref="P283:P285"/>
    <mergeCell ref="Q283:Q285"/>
    <mergeCell ref="R283:R285"/>
    <mergeCell ref="S283:S285"/>
    <mergeCell ref="T283:T285"/>
    <mergeCell ref="U283:U285"/>
    <mergeCell ref="V283:V285"/>
    <mergeCell ref="W283:W285"/>
    <mergeCell ref="X283:X285"/>
    <mergeCell ref="Y283:Y285"/>
    <mergeCell ref="G282:G286"/>
    <mergeCell ref="H287:H292"/>
    <mergeCell ref="I287:I292"/>
    <mergeCell ref="J287:J292"/>
    <mergeCell ref="K287:K292"/>
    <mergeCell ref="L287:L292"/>
    <mergeCell ref="M287:M292"/>
    <mergeCell ref="AF287:AF292"/>
    <mergeCell ref="AG287:AG292"/>
    <mergeCell ref="AH287:AH292"/>
    <mergeCell ref="AI287:AI292"/>
    <mergeCell ref="AJ287:AJ292"/>
    <mergeCell ref="AK287:AK292"/>
    <mergeCell ref="N288:N291"/>
    <mergeCell ref="O288:O291"/>
    <mergeCell ref="P288:P291"/>
    <mergeCell ref="Q288:Q291"/>
    <mergeCell ref="R288:R291"/>
    <mergeCell ref="S288:S291"/>
    <mergeCell ref="T288:T291"/>
    <mergeCell ref="U288:U291"/>
    <mergeCell ref="V288:V291"/>
    <mergeCell ref="W288:W291"/>
    <mergeCell ref="X288:X291"/>
    <mergeCell ref="Y288:Y291"/>
    <mergeCell ref="G287:G292"/>
    <mergeCell ref="H293:H297"/>
    <mergeCell ref="I293:I297"/>
    <mergeCell ref="J293:J297"/>
    <mergeCell ref="K293:K297"/>
    <mergeCell ref="L293:L297"/>
    <mergeCell ref="M293:M297"/>
    <mergeCell ref="AF293:AF297"/>
    <mergeCell ref="AG293:AG297"/>
    <mergeCell ref="AH293:AH297"/>
    <mergeCell ref="AI293:AI297"/>
    <mergeCell ref="AJ293:AJ297"/>
    <mergeCell ref="AK293:AK297"/>
    <mergeCell ref="N294:N296"/>
    <mergeCell ref="O294:O296"/>
    <mergeCell ref="P294:P296"/>
    <mergeCell ref="Q294:Q296"/>
    <mergeCell ref="R294:R296"/>
    <mergeCell ref="S294:S296"/>
    <mergeCell ref="T294:T296"/>
    <mergeCell ref="U294:U296"/>
    <mergeCell ref="V294:V296"/>
    <mergeCell ref="W294:W296"/>
    <mergeCell ref="X294:X296"/>
    <mergeCell ref="Y294:Y296"/>
    <mergeCell ref="G293:G297"/>
    <mergeCell ref="H298:H302"/>
    <mergeCell ref="I298:I302"/>
    <mergeCell ref="J298:J302"/>
    <mergeCell ref="K298:K302"/>
    <mergeCell ref="L298:L302"/>
    <mergeCell ref="M298:M302"/>
    <mergeCell ref="AF298:AF302"/>
    <mergeCell ref="AG298:AG302"/>
    <mergeCell ref="AH298:AH302"/>
    <mergeCell ref="AI298:AI302"/>
    <mergeCell ref="AJ298:AJ302"/>
    <mergeCell ref="AK298:AK302"/>
    <mergeCell ref="N299:N301"/>
    <mergeCell ref="O299:O301"/>
    <mergeCell ref="P299:P301"/>
    <mergeCell ref="Q299:Q301"/>
    <mergeCell ref="R299:R301"/>
    <mergeCell ref="S299:S301"/>
    <mergeCell ref="T299:T301"/>
    <mergeCell ref="U299:U301"/>
    <mergeCell ref="V299:V301"/>
    <mergeCell ref="W299:W301"/>
    <mergeCell ref="X299:X301"/>
    <mergeCell ref="Y299:Y301"/>
    <mergeCell ref="G298:G302"/>
    <mergeCell ref="H303:H307"/>
    <mergeCell ref="I303:I307"/>
    <mergeCell ref="J303:J307"/>
    <mergeCell ref="K303:K307"/>
    <mergeCell ref="L303:L307"/>
    <mergeCell ref="M303:M307"/>
    <mergeCell ref="AF303:AF307"/>
    <mergeCell ref="AG303:AG307"/>
    <mergeCell ref="AH303:AH307"/>
    <mergeCell ref="AI303:AI307"/>
    <mergeCell ref="AJ303:AJ307"/>
    <mergeCell ref="AK303:AK307"/>
    <mergeCell ref="N304:N306"/>
    <mergeCell ref="O304:O306"/>
    <mergeCell ref="P304:P306"/>
    <mergeCell ref="Q304:Q306"/>
    <mergeCell ref="R304:R306"/>
    <mergeCell ref="S304:S306"/>
    <mergeCell ref="T304:T306"/>
    <mergeCell ref="U304:U306"/>
    <mergeCell ref="V304:V306"/>
    <mergeCell ref="W304:W306"/>
    <mergeCell ref="X304:X306"/>
    <mergeCell ref="Y304:Y306"/>
    <mergeCell ref="G303:G307"/>
    <mergeCell ref="H308:H312"/>
    <mergeCell ref="I308:I312"/>
    <mergeCell ref="J308:J312"/>
    <mergeCell ref="K308:K312"/>
    <mergeCell ref="L308:L312"/>
    <mergeCell ref="M308:M312"/>
    <mergeCell ref="AF308:AF312"/>
    <mergeCell ref="AG308:AG312"/>
    <mergeCell ref="AH308:AH312"/>
    <mergeCell ref="AI308:AI312"/>
    <mergeCell ref="AJ308:AJ312"/>
    <mergeCell ref="AK308:AK312"/>
    <mergeCell ref="N309:N311"/>
    <mergeCell ref="O309:O311"/>
    <mergeCell ref="P309:P311"/>
    <mergeCell ref="Q309:Q311"/>
    <mergeCell ref="R309:R311"/>
    <mergeCell ref="S309:S311"/>
    <mergeCell ref="T309:T311"/>
    <mergeCell ref="U309:U311"/>
    <mergeCell ref="V309:V311"/>
    <mergeCell ref="W309:W311"/>
    <mergeCell ref="X309:X311"/>
    <mergeCell ref="Y309:Y311"/>
    <mergeCell ref="G308:G312"/>
    <mergeCell ref="H313:H317"/>
    <mergeCell ref="I313:I317"/>
    <mergeCell ref="J313:J317"/>
    <mergeCell ref="K313:K317"/>
    <mergeCell ref="L313:L317"/>
    <mergeCell ref="M313:M317"/>
    <mergeCell ref="AF313:AF317"/>
    <mergeCell ref="AG313:AG317"/>
    <mergeCell ref="AH313:AH317"/>
    <mergeCell ref="AI313:AI317"/>
    <mergeCell ref="AJ313:AJ317"/>
    <mergeCell ref="AK313:AK317"/>
    <mergeCell ref="N314:N316"/>
    <mergeCell ref="O314:O316"/>
    <mergeCell ref="P314:P316"/>
    <mergeCell ref="Q314:Q316"/>
    <mergeCell ref="R314:R316"/>
    <mergeCell ref="S314:S316"/>
    <mergeCell ref="T314:T316"/>
    <mergeCell ref="U314:U316"/>
    <mergeCell ref="V314:V316"/>
    <mergeCell ref="W314:W316"/>
    <mergeCell ref="X314:X316"/>
    <mergeCell ref="Y314:Y316"/>
    <mergeCell ref="G313:G317"/>
    <mergeCell ref="H318:H322"/>
    <mergeCell ref="I318:I322"/>
    <mergeCell ref="J318:J322"/>
    <mergeCell ref="K318:K322"/>
    <mergeCell ref="L318:L322"/>
    <mergeCell ref="M318:M322"/>
    <mergeCell ref="AF318:AF322"/>
    <mergeCell ref="AG318:AG322"/>
    <mergeCell ref="AH318:AH322"/>
    <mergeCell ref="AI318:AI322"/>
    <mergeCell ref="AJ318:AJ322"/>
    <mergeCell ref="AK318:AK322"/>
    <mergeCell ref="N319:N321"/>
    <mergeCell ref="O319:O321"/>
    <mergeCell ref="P319:P321"/>
    <mergeCell ref="Q319:Q321"/>
    <mergeCell ref="R319:R321"/>
    <mergeCell ref="S319:S321"/>
    <mergeCell ref="T319:T321"/>
    <mergeCell ref="U319:U321"/>
    <mergeCell ref="V319:V321"/>
    <mergeCell ref="W319:W321"/>
    <mergeCell ref="X319:X321"/>
    <mergeCell ref="Y319:Y321"/>
    <mergeCell ref="G318:G322"/>
    <mergeCell ref="H323:H327"/>
    <mergeCell ref="I323:I327"/>
    <mergeCell ref="J323:J327"/>
    <mergeCell ref="K323:K327"/>
    <mergeCell ref="L323:L327"/>
    <mergeCell ref="M323:M327"/>
    <mergeCell ref="AF323:AF327"/>
    <mergeCell ref="AG323:AG327"/>
    <mergeCell ref="AH323:AH327"/>
    <mergeCell ref="AI323:AI327"/>
    <mergeCell ref="AJ323:AJ327"/>
    <mergeCell ref="AK323:AK327"/>
    <mergeCell ref="N324:N326"/>
    <mergeCell ref="O324:O326"/>
    <mergeCell ref="P324:P326"/>
    <mergeCell ref="Q324:Q326"/>
    <mergeCell ref="R324:R326"/>
    <mergeCell ref="S324:S326"/>
    <mergeCell ref="T324:T326"/>
    <mergeCell ref="U324:U326"/>
    <mergeCell ref="V324:V326"/>
    <mergeCell ref="W324:W326"/>
    <mergeCell ref="X324:X326"/>
    <mergeCell ref="Y324:Y326"/>
    <mergeCell ref="G323: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S329:S331"/>
    <mergeCell ref="T329:T331"/>
    <mergeCell ref="U329:U331"/>
    <mergeCell ref="V329:V331"/>
    <mergeCell ref="W329:W331"/>
    <mergeCell ref="X329:X331"/>
    <mergeCell ref="Y329:Y331"/>
    <mergeCell ref="G328:G332"/>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43:G347"/>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T349:T351"/>
    <mergeCell ref="U349:U351"/>
    <mergeCell ref="V349:V351"/>
    <mergeCell ref="W349:W351"/>
    <mergeCell ref="X349:X351"/>
    <mergeCell ref="Y349:Y351"/>
    <mergeCell ref="G348:G352"/>
    <mergeCell ref="H353:H357"/>
    <mergeCell ref="I353:I357"/>
    <mergeCell ref="J353:J357"/>
    <mergeCell ref="K353:K357"/>
    <mergeCell ref="L353:L357"/>
    <mergeCell ref="M353:M357"/>
    <mergeCell ref="AF353:AF357"/>
    <mergeCell ref="AG353:AG357"/>
    <mergeCell ref="AH353:AH357"/>
    <mergeCell ref="AI353:AI35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53:G357"/>
    <mergeCell ref="H358:H362"/>
    <mergeCell ref="I358:I362"/>
    <mergeCell ref="J358:J362"/>
    <mergeCell ref="K358:K362"/>
    <mergeCell ref="L358:L362"/>
    <mergeCell ref="M358:M362"/>
    <mergeCell ref="AF358:AF362"/>
    <mergeCell ref="AG358:AG362"/>
    <mergeCell ref="AH358:AH362"/>
    <mergeCell ref="AI358:AI362"/>
    <mergeCell ref="AJ358:AJ362"/>
    <mergeCell ref="AK358:AK362"/>
    <mergeCell ref="N359:N361"/>
    <mergeCell ref="O359:O361"/>
    <mergeCell ref="P359:P361"/>
    <mergeCell ref="Q359:Q361"/>
    <mergeCell ref="R359:R361"/>
    <mergeCell ref="S359:S361"/>
    <mergeCell ref="T359:T361"/>
    <mergeCell ref="U359:U361"/>
    <mergeCell ref="V359:V361"/>
    <mergeCell ref="W359:W361"/>
    <mergeCell ref="X359:X361"/>
    <mergeCell ref="Y359:Y361"/>
    <mergeCell ref="G358:G362"/>
    <mergeCell ref="H363:H367"/>
    <mergeCell ref="I363:I367"/>
    <mergeCell ref="J363:J367"/>
    <mergeCell ref="K363:K367"/>
    <mergeCell ref="L363:L367"/>
    <mergeCell ref="M363:M367"/>
    <mergeCell ref="AF363:AF367"/>
    <mergeCell ref="AG363:AG367"/>
    <mergeCell ref="AH363:AH367"/>
    <mergeCell ref="AI363:AI367"/>
    <mergeCell ref="AJ363:AJ367"/>
    <mergeCell ref="AK363:AK367"/>
    <mergeCell ref="N364:N366"/>
    <mergeCell ref="O364:O366"/>
    <mergeCell ref="P364:P366"/>
    <mergeCell ref="Q364:Q366"/>
    <mergeCell ref="R364:R366"/>
    <mergeCell ref="S364:S366"/>
    <mergeCell ref="T364:T366"/>
    <mergeCell ref="U364:U366"/>
    <mergeCell ref="V364:V366"/>
    <mergeCell ref="W364:W366"/>
    <mergeCell ref="X364:X366"/>
    <mergeCell ref="Y364:Y366"/>
    <mergeCell ref="G363:G367"/>
    <mergeCell ref="H368:H372"/>
    <mergeCell ref="I368:I372"/>
    <mergeCell ref="J368:J372"/>
    <mergeCell ref="K368:K372"/>
    <mergeCell ref="L368:L372"/>
    <mergeCell ref="M368:M372"/>
    <mergeCell ref="AF368:AF372"/>
    <mergeCell ref="AG368:AG372"/>
    <mergeCell ref="AH368:AH372"/>
    <mergeCell ref="AI368:AI372"/>
    <mergeCell ref="AJ368:AJ372"/>
    <mergeCell ref="AK368:AK372"/>
    <mergeCell ref="N369:N371"/>
    <mergeCell ref="O369:O371"/>
    <mergeCell ref="P369:P371"/>
    <mergeCell ref="Q369:Q371"/>
    <mergeCell ref="R369:R371"/>
    <mergeCell ref="S369:S371"/>
    <mergeCell ref="T369:T371"/>
    <mergeCell ref="U369:U371"/>
    <mergeCell ref="V369:V371"/>
    <mergeCell ref="W369:W371"/>
    <mergeCell ref="X369:X371"/>
    <mergeCell ref="Y369:Y371"/>
    <mergeCell ref="G368:G372"/>
    <mergeCell ref="H373:H377"/>
    <mergeCell ref="I373:I377"/>
    <mergeCell ref="J373:J377"/>
    <mergeCell ref="K373:K377"/>
    <mergeCell ref="L373:L377"/>
    <mergeCell ref="M373:M377"/>
    <mergeCell ref="AF373:AF377"/>
    <mergeCell ref="AG373:AG377"/>
    <mergeCell ref="AH373:AH377"/>
    <mergeCell ref="AI373:AI377"/>
    <mergeCell ref="AJ373:AJ377"/>
    <mergeCell ref="AK373:AK377"/>
    <mergeCell ref="N374:N376"/>
    <mergeCell ref="O374:O376"/>
    <mergeCell ref="P374:P376"/>
    <mergeCell ref="Q374:Q376"/>
    <mergeCell ref="R374:R376"/>
    <mergeCell ref="S374:S376"/>
    <mergeCell ref="T374:T376"/>
    <mergeCell ref="U374:U376"/>
    <mergeCell ref="V374:V376"/>
    <mergeCell ref="W374:W376"/>
    <mergeCell ref="X374:X376"/>
    <mergeCell ref="Y374:Y376"/>
    <mergeCell ref="G373:G377"/>
    <mergeCell ref="H378:H382"/>
    <mergeCell ref="I378:I382"/>
    <mergeCell ref="J378:J382"/>
    <mergeCell ref="K378:K382"/>
    <mergeCell ref="L378:L382"/>
    <mergeCell ref="M378:M382"/>
    <mergeCell ref="AF378:AF382"/>
    <mergeCell ref="AG378:AG382"/>
    <mergeCell ref="AH378:AH382"/>
    <mergeCell ref="AI378:AI382"/>
    <mergeCell ref="AJ378:AJ382"/>
    <mergeCell ref="AK378:AK382"/>
    <mergeCell ref="N379:N381"/>
    <mergeCell ref="O379:O381"/>
    <mergeCell ref="P379:P381"/>
    <mergeCell ref="Q379:Q381"/>
    <mergeCell ref="R379:R381"/>
    <mergeCell ref="S379:S381"/>
    <mergeCell ref="T379:T381"/>
    <mergeCell ref="U379:U381"/>
    <mergeCell ref="V379:V381"/>
    <mergeCell ref="W379:W381"/>
    <mergeCell ref="X379:X381"/>
    <mergeCell ref="Y379:Y381"/>
    <mergeCell ref="G378:G382"/>
    <mergeCell ref="H383:H388"/>
    <mergeCell ref="I383:I388"/>
    <mergeCell ref="J383:J388"/>
    <mergeCell ref="K383:K388"/>
    <mergeCell ref="L383:L388"/>
    <mergeCell ref="M383:M388"/>
    <mergeCell ref="AF383:AF388"/>
    <mergeCell ref="AG383:AG388"/>
    <mergeCell ref="AH383:AH388"/>
    <mergeCell ref="AI383:AI388"/>
    <mergeCell ref="AJ383:AJ388"/>
    <mergeCell ref="AK383:AK388"/>
    <mergeCell ref="N384:N387"/>
    <mergeCell ref="O384:O387"/>
    <mergeCell ref="P384:P387"/>
    <mergeCell ref="Q384:Q387"/>
    <mergeCell ref="R384:R387"/>
    <mergeCell ref="S384:S387"/>
    <mergeCell ref="T384:T387"/>
    <mergeCell ref="U384:U387"/>
    <mergeCell ref="V384:V387"/>
    <mergeCell ref="W384:W387"/>
    <mergeCell ref="X384:X387"/>
    <mergeCell ref="Y384:Y387"/>
    <mergeCell ref="G383:G388"/>
    <mergeCell ref="H389:H393"/>
    <mergeCell ref="I389:I393"/>
    <mergeCell ref="J389:J393"/>
    <mergeCell ref="K389:K393"/>
    <mergeCell ref="L389:L393"/>
    <mergeCell ref="M389:M393"/>
    <mergeCell ref="AF389:AF393"/>
    <mergeCell ref="AG389:AG393"/>
    <mergeCell ref="AH389:AH393"/>
    <mergeCell ref="AI389:AI393"/>
    <mergeCell ref="AJ389:AJ393"/>
    <mergeCell ref="AK389:AK393"/>
    <mergeCell ref="N390:N392"/>
    <mergeCell ref="O390:O392"/>
    <mergeCell ref="P390:P392"/>
    <mergeCell ref="Q390:Q392"/>
    <mergeCell ref="R390:R392"/>
    <mergeCell ref="S390:S392"/>
    <mergeCell ref="T390:T392"/>
    <mergeCell ref="U390:U392"/>
    <mergeCell ref="V390:V392"/>
    <mergeCell ref="W390:W392"/>
    <mergeCell ref="X390:X392"/>
    <mergeCell ref="Y390:Y392"/>
    <mergeCell ref="G389:G393"/>
    <mergeCell ref="H394:H398"/>
    <mergeCell ref="I394:I398"/>
    <mergeCell ref="J394:J398"/>
    <mergeCell ref="K394:K398"/>
    <mergeCell ref="L394:L398"/>
    <mergeCell ref="M394:M398"/>
    <mergeCell ref="AF394:AF398"/>
    <mergeCell ref="AG394:AG398"/>
    <mergeCell ref="AH394:AH398"/>
    <mergeCell ref="AI394:AI398"/>
    <mergeCell ref="AJ394:AJ398"/>
    <mergeCell ref="AK394:AK398"/>
    <mergeCell ref="N395:N397"/>
    <mergeCell ref="O395:O397"/>
    <mergeCell ref="P395:P397"/>
    <mergeCell ref="Q395:Q397"/>
    <mergeCell ref="R395:R397"/>
    <mergeCell ref="S395:S397"/>
    <mergeCell ref="T395:T397"/>
    <mergeCell ref="U395:U397"/>
    <mergeCell ref="V395:V397"/>
    <mergeCell ref="W395:W397"/>
    <mergeCell ref="X395:X397"/>
    <mergeCell ref="Y395:Y397"/>
    <mergeCell ref="G394:G398"/>
    <mergeCell ref="H399:H403"/>
    <mergeCell ref="I399:I403"/>
    <mergeCell ref="J399:J403"/>
    <mergeCell ref="K399:K403"/>
    <mergeCell ref="L399:L403"/>
    <mergeCell ref="M399:M403"/>
    <mergeCell ref="AF399:AF403"/>
    <mergeCell ref="AG399:AG403"/>
    <mergeCell ref="AH399:AH403"/>
    <mergeCell ref="AI399:AI403"/>
    <mergeCell ref="AJ399:AJ403"/>
    <mergeCell ref="AK399:AK403"/>
    <mergeCell ref="N400:N402"/>
    <mergeCell ref="O400:O402"/>
    <mergeCell ref="P400:P402"/>
    <mergeCell ref="Q400:Q402"/>
    <mergeCell ref="R400:R402"/>
    <mergeCell ref="S400:S402"/>
    <mergeCell ref="T400:T402"/>
    <mergeCell ref="U400:U402"/>
    <mergeCell ref="V400:V402"/>
    <mergeCell ref="W400:W402"/>
    <mergeCell ref="X400:X402"/>
    <mergeCell ref="Y400:Y402"/>
    <mergeCell ref="G399:G403"/>
    <mergeCell ref="H404:H408"/>
    <mergeCell ref="I404:I408"/>
    <mergeCell ref="J404:J408"/>
    <mergeCell ref="K404:K408"/>
    <mergeCell ref="L404:L408"/>
    <mergeCell ref="M404:M408"/>
    <mergeCell ref="AF404:AF408"/>
    <mergeCell ref="AG404:AG408"/>
    <mergeCell ref="AH404:AH408"/>
    <mergeCell ref="AI404:AI408"/>
    <mergeCell ref="AJ404:AJ408"/>
    <mergeCell ref="AK404:AK408"/>
    <mergeCell ref="N405:N407"/>
    <mergeCell ref="O405:O407"/>
    <mergeCell ref="P405:P407"/>
    <mergeCell ref="Q405:Q407"/>
    <mergeCell ref="R405:R407"/>
    <mergeCell ref="S405:S407"/>
    <mergeCell ref="T405:T407"/>
    <mergeCell ref="U405:U407"/>
    <mergeCell ref="V405:V407"/>
    <mergeCell ref="W405:W407"/>
    <mergeCell ref="X405:X407"/>
    <mergeCell ref="Y405:Y407"/>
    <mergeCell ref="G404:G408"/>
    <mergeCell ref="H409:H413"/>
    <mergeCell ref="I409:I413"/>
    <mergeCell ref="J409:J413"/>
    <mergeCell ref="K409:K413"/>
    <mergeCell ref="L409:L413"/>
    <mergeCell ref="M409:M413"/>
    <mergeCell ref="AF409:AF413"/>
    <mergeCell ref="AG409:AG413"/>
    <mergeCell ref="AH409:AH413"/>
    <mergeCell ref="AI409:AI413"/>
    <mergeCell ref="AJ409:AJ413"/>
    <mergeCell ref="AK409:AK413"/>
    <mergeCell ref="N410:N412"/>
    <mergeCell ref="O410:O412"/>
    <mergeCell ref="P410:P412"/>
    <mergeCell ref="Q410:Q412"/>
    <mergeCell ref="R410:R412"/>
    <mergeCell ref="S410:S412"/>
    <mergeCell ref="T410:T412"/>
    <mergeCell ref="U410:U412"/>
    <mergeCell ref="V410:V412"/>
    <mergeCell ref="W410:W412"/>
    <mergeCell ref="X410:X412"/>
    <mergeCell ref="Y410:Y412"/>
    <mergeCell ref="G409:G413"/>
    <mergeCell ref="H414:H418"/>
    <mergeCell ref="I414:I418"/>
    <mergeCell ref="J414:J418"/>
    <mergeCell ref="K414:K418"/>
    <mergeCell ref="L414:L418"/>
    <mergeCell ref="M414:M418"/>
    <mergeCell ref="AF414:AF418"/>
    <mergeCell ref="AG414:AG418"/>
    <mergeCell ref="AH414:AH418"/>
    <mergeCell ref="AI414:AI418"/>
    <mergeCell ref="AJ414:AJ418"/>
    <mergeCell ref="AK414:AK418"/>
    <mergeCell ref="N415:N417"/>
    <mergeCell ref="O415:O417"/>
    <mergeCell ref="P415:P417"/>
    <mergeCell ref="Q415:Q417"/>
    <mergeCell ref="R415:R417"/>
    <mergeCell ref="S415:S417"/>
    <mergeCell ref="T415:T417"/>
    <mergeCell ref="U415:U417"/>
    <mergeCell ref="V415:V417"/>
    <mergeCell ref="W415:W417"/>
    <mergeCell ref="X415:X417"/>
    <mergeCell ref="Y415:Y417"/>
    <mergeCell ref="G414:G418"/>
    <mergeCell ref="H419:H423"/>
    <mergeCell ref="I419:I423"/>
    <mergeCell ref="J419:J423"/>
    <mergeCell ref="K419:K423"/>
    <mergeCell ref="L419:L423"/>
    <mergeCell ref="M419:M423"/>
    <mergeCell ref="AF419:AF423"/>
    <mergeCell ref="AG419:AG423"/>
    <mergeCell ref="AH419:AH423"/>
    <mergeCell ref="AI419:AI423"/>
    <mergeCell ref="AJ419:AJ423"/>
    <mergeCell ref="AK419:AK423"/>
    <mergeCell ref="N420:N422"/>
    <mergeCell ref="O420:O422"/>
    <mergeCell ref="P420:P422"/>
    <mergeCell ref="Q420:Q422"/>
    <mergeCell ref="R420:R422"/>
    <mergeCell ref="S420:S422"/>
    <mergeCell ref="T420:T422"/>
    <mergeCell ref="U420:U422"/>
    <mergeCell ref="V420:V422"/>
    <mergeCell ref="W420:W422"/>
    <mergeCell ref="X420:X422"/>
    <mergeCell ref="Y420:Y422"/>
    <mergeCell ref="G419:G423"/>
    <mergeCell ref="H424:H428"/>
    <mergeCell ref="I424:I428"/>
    <mergeCell ref="J424:J428"/>
    <mergeCell ref="K424:K428"/>
    <mergeCell ref="L424:L428"/>
    <mergeCell ref="M424:M428"/>
    <mergeCell ref="AF424:AF428"/>
    <mergeCell ref="AG424:AG428"/>
    <mergeCell ref="AH424:AH428"/>
    <mergeCell ref="AI424:AI428"/>
    <mergeCell ref="AJ424:AJ428"/>
    <mergeCell ref="AK424:AK428"/>
    <mergeCell ref="N425:N427"/>
    <mergeCell ref="O425:O427"/>
    <mergeCell ref="P425:P427"/>
    <mergeCell ref="Q425:Q427"/>
    <mergeCell ref="R425:R427"/>
    <mergeCell ref="S425:S427"/>
    <mergeCell ref="T425:T427"/>
    <mergeCell ref="U425:U427"/>
    <mergeCell ref="V425:V427"/>
    <mergeCell ref="W425:W427"/>
    <mergeCell ref="X425:X427"/>
    <mergeCell ref="Y425:Y427"/>
    <mergeCell ref="G424:G428"/>
    <mergeCell ref="H429:H433"/>
    <mergeCell ref="I429:I433"/>
    <mergeCell ref="J429:J433"/>
    <mergeCell ref="K429:K433"/>
    <mergeCell ref="L429:L433"/>
    <mergeCell ref="M429:M433"/>
    <mergeCell ref="AF429:AF433"/>
    <mergeCell ref="AG429:AG433"/>
    <mergeCell ref="AH429:AH433"/>
    <mergeCell ref="AI429:AI433"/>
    <mergeCell ref="AJ429:AJ433"/>
    <mergeCell ref="AK429:AK433"/>
    <mergeCell ref="N430:N432"/>
    <mergeCell ref="O430:O432"/>
    <mergeCell ref="P430:P432"/>
    <mergeCell ref="Q430:Q432"/>
    <mergeCell ref="R430:R432"/>
    <mergeCell ref="S430:S432"/>
    <mergeCell ref="T430:T432"/>
    <mergeCell ref="U430:U432"/>
    <mergeCell ref="V430:V432"/>
    <mergeCell ref="W430:W432"/>
    <mergeCell ref="X430:X432"/>
    <mergeCell ref="Y430:Y432"/>
    <mergeCell ref="G429:G433"/>
    <mergeCell ref="H434:H438"/>
    <mergeCell ref="I434:I438"/>
    <mergeCell ref="J434:J438"/>
    <mergeCell ref="K434:K438"/>
    <mergeCell ref="L434:L438"/>
    <mergeCell ref="M434:M438"/>
    <mergeCell ref="AF434:AF438"/>
    <mergeCell ref="AG434:AG438"/>
    <mergeCell ref="AH434:AH438"/>
    <mergeCell ref="AI434:AI438"/>
    <mergeCell ref="AJ434:AJ438"/>
    <mergeCell ref="AK434:AK438"/>
    <mergeCell ref="N435:N437"/>
    <mergeCell ref="O435:O437"/>
    <mergeCell ref="P435:P437"/>
    <mergeCell ref="Q435:Q437"/>
    <mergeCell ref="R435:R437"/>
    <mergeCell ref="S435:S437"/>
    <mergeCell ref="T435:T437"/>
    <mergeCell ref="U435:U437"/>
    <mergeCell ref="V435:V437"/>
    <mergeCell ref="W435:W437"/>
    <mergeCell ref="X435:X437"/>
    <mergeCell ref="Y435:Y437"/>
    <mergeCell ref="G434:G438"/>
    <mergeCell ref="H439:H443"/>
    <mergeCell ref="I439:I443"/>
    <mergeCell ref="J439:J443"/>
    <mergeCell ref="K439:K443"/>
    <mergeCell ref="L439:L443"/>
    <mergeCell ref="M439:M443"/>
    <mergeCell ref="AF439:AF443"/>
    <mergeCell ref="AG439:AG443"/>
    <mergeCell ref="AH439:AH443"/>
    <mergeCell ref="AI439:AI443"/>
    <mergeCell ref="AJ439:AJ443"/>
    <mergeCell ref="AK439:AK443"/>
    <mergeCell ref="N440:N442"/>
    <mergeCell ref="O440:O442"/>
    <mergeCell ref="P440:P442"/>
    <mergeCell ref="Q440:Q442"/>
    <mergeCell ref="R440:R442"/>
    <mergeCell ref="S440:S442"/>
    <mergeCell ref="T440:T442"/>
    <mergeCell ref="U440:U442"/>
    <mergeCell ref="V440:V442"/>
    <mergeCell ref="W440:W442"/>
    <mergeCell ref="X440:X442"/>
    <mergeCell ref="Y440:Y442"/>
    <mergeCell ref="G439:G443"/>
    <mergeCell ref="H444:H448"/>
    <mergeCell ref="I444:I448"/>
    <mergeCell ref="J444:J448"/>
    <mergeCell ref="K444:K448"/>
    <mergeCell ref="L444:L448"/>
    <mergeCell ref="M444:M448"/>
    <mergeCell ref="AF444:AF448"/>
    <mergeCell ref="AG444:AG448"/>
    <mergeCell ref="AH444:AH448"/>
    <mergeCell ref="AI444:AI448"/>
    <mergeCell ref="AJ444:AJ448"/>
    <mergeCell ref="AK444:AK448"/>
    <mergeCell ref="N445:N447"/>
    <mergeCell ref="O445:O447"/>
    <mergeCell ref="P445:P447"/>
    <mergeCell ref="Q445:Q447"/>
    <mergeCell ref="R445:R447"/>
    <mergeCell ref="S445:S447"/>
    <mergeCell ref="T445:T447"/>
    <mergeCell ref="U445:U447"/>
    <mergeCell ref="V445:V447"/>
    <mergeCell ref="W445:W447"/>
    <mergeCell ref="X445:X447"/>
    <mergeCell ref="Y445:Y447"/>
    <mergeCell ref="G444:G448"/>
    <mergeCell ref="H455:H459"/>
    <mergeCell ref="I455:I459"/>
    <mergeCell ref="J455:J459"/>
    <mergeCell ref="K455:K459"/>
    <mergeCell ref="L455:L459"/>
    <mergeCell ref="M455:M459"/>
    <mergeCell ref="AF455:AF459"/>
    <mergeCell ref="AG455:AG459"/>
    <mergeCell ref="AH455:AH459"/>
    <mergeCell ref="AI455:AI459"/>
    <mergeCell ref="AJ455:AJ459"/>
    <mergeCell ref="AK455:AK459"/>
    <mergeCell ref="N456:N458"/>
    <mergeCell ref="O456:O458"/>
    <mergeCell ref="P456:P458"/>
    <mergeCell ref="Q456:Q458"/>
    <mergeCell ref="R456:R458"/>
    <mergeCell ref="S456:S458"/>
    <mergeCell ref="T456:T458"/>
    <mergeCell ref="U456:U458"/>
    <mergeCell ref="V456:V458"/>
    <mergeCell ref="W456:W458"/>
    <mergeCell ref="X456:X458"/>
    <mergeCell ref="Y456:Y458"/>
    <mergeCell ref="G455:G459"/>
    <mergeCell ref="H460:H464"/>
    <mergeCell ref="I460:I464"/>
    <mergeCell ref="J460:J464"/>
    <mergeCell ref="K460:K464"/>
    <mergeCell ref="L460:L464"/>
    <mergeCell ref="M460:M464"/>
    <mergeCell ref="AF460:AF464"/>
    <mergeCell ref="AG460:AG464"/>
    <mergeCell ref="AH460:AH464"/>
    <mergeCell ref="AI460:AI464"/>
    <mergeCell ref="AJ460:AJ464"/>
    <mergeCell ref="AK460:AK464"/>
    <mergeCell ref="N461:N463"/>
    <mergeCell ref="O461:O463"/>
    <mergeCell ref="P461:P463"/>
    <mergeCell ref="Q461:Q463"/>
    <mergeCell ref="R461:R463"/>
    <mergeCell ref="S461:S463"/>
    <mergeCell ref="T461:T463"/>
    <mergeCell ref="U461:U463"/>
    <mergeCell ref="V461:V463"/>
    <mergeCell ref="W461:W463"/>
    <mergeCell ref="X461:X463"/>
    <mergeCell ref="Y461:Y463"/>
    <mergeCell ref="G460:G464"/>
    <mergeCell ref="H465:H469"/>
    <mergeCell ref="I465:I469"/>
    <mergeCell ref="J465:J469"/>
    <mergeCell ref="K465:K469"/>
    <mergeCell ref="L465:L469"/>
    <mergeCell ref="M465:M469"/>
    <mergeCell ref="AF465:AF469"/>
    <mergeCell ref="AG465:AG469"/>
    <mergeCell ref="AH465:AH469"/>
    <mergeCell ref="AI465:AI469"/>
    <mergeCell ref="AJ465:AJ469"/>
    <mergeCell ref="AK465:AK469"/>
    <mergeCell ref="N466:N468"/>
    <mergeCell ref="O466:O468"/>
    <mergeCell ref="P466:P468"/>
    <mergeCell ref="Q466:Q468"/>
    <mergeCell ref="R466:R468"/>
    <mergeCell ref="S466:S468"/>
    <mergeCell ref="T466:T468"/>
    <mergeCell ref="U466:U468"/>
    <mergeCell ref="V466:V468"/>
    <mergeCell ref="W466:W468"/>
    <mergeCell ref="X466:X468"/>
    <mergeCell ref="Y466:Y468"/>
    <mergeCell ref="G465:G469"/>
    <mergeCell ref="H470:H474"/>
    <mergeCell ref="I470:I474"/>
    <mergeCell ref="J470:J474"/>
    <mergeCell ref="K470:K474"/>
    <mergeCell ref="L470:L474"/>
    <mergeCell ref="M470:M474"/>
    <mergeCell ref="AF470:AF474"/>
    <mergeCell ref="AG470:AG474"/>
    <mergeCell ref="AH470:AH474"/>
    <mergeCell ref="AI470:AI474"/>
    <mergeCell ref="AJ470:AJ474"/>
    <mergeCell ref="AK470:AK474"/>
    <mergeCell ref="N471:N473"/>
    <mergeCell ref="O471:O473"/>
    <mergeCell ref="P471:P473"/>
    <mergeCell ref="Q471:Q473"/>
    <mergeCell ref="R471:R473"/>
    <mergeCell ref="S471:S473"/>
    <mergeCell ref="T471:T473"/>
    <mergeCell ref="U471:U473"/>
    <mergeCell ref="V471:V473"/>
    <mergeCell ref="W471:W473"/>
    <mergeCell ref="X471:X473"/>
    <mergeCell ref="Y471:Y473"/>
    <mergeCell ref="G470:G474"/>
    <mergeCell ref="H475:H479"/>
    <mergeCell ref="I475:I479"/>
    <mergeCell ref="J475:J479"/>
    <mergeCell ref="K475:K479"/>
    <mergeCell ref="L475:L479"/>
    <mergeCell ref="M475:M479"/>
    <mergeCell ref="AF475:AF479"/>
    <mergeCell ref="AG475:AG479"/>
    <mergeCell ref="AH475:AH479"/>
    <mergeCell ref="AI475:AI479"/>
    <mergeCell ref="AJ475:AJ479"/>
    <mergeCell ref="AK475:AK479"/>
    <mergeCell ref="N476:N478"/>
    <mergeCell ref="O476:O478"/>
    <mergeCell ref="P476:P478"/>
    <mergeCell ref="Q476:Q478"/>
    <mergeCell ref="R476:R478"/>
    <mergeCell ref="S476:S478"/>
    <mergeCell ref="T476:T478"/>
    <mergeCell ref="U476:U478"/>
    <mergeCell ref="V476:V478"/>
    <mergeCell ref="W476:W478"/>
    <mergeCell ref="X476:X478"/>
    <mergeCell ref="Y476:Y478"/>
    <mergeCell ref="G475:G479"/>
    <mergeCell ref="H480:H484"/>
    <mergeCell ref="I480:I484"/>
    <mergeCell ref="J480:J484"/>
    <mergeCell ref="K480:K484"/>
    <mergeCell ref="L480:L484"/>
    <mergeCell ref="M480:M484"/>
    <mergeCell ref="AF480:AF484"/>
    <mergeCell ref="AG480:AG484"/>
    <mergeCell ref="AH480:AH484"/>
    <mergeCell ref="AI480:AI484"/>
    <mergeCell ref="AJ480:AJ484"/>
    <mergeCell ref="AK480:AK484"/>
    <mergeCell ref="N481:N483"/>
    <mergeCell ref="O481:O483"/>
    <mergeCell ref="P481:P483"/>
    <mergeCell ref="Q481:Q483"/>
    <mergeCell ref="R481:R483"/>
    <mergeCell ref="S481:S483"/>
    <mergeCell ref="T481:T483"/>
    <mergeCell ref="U481:U483"/>
    <mergeCell ref="V481:V483"/>
    <mergeCell ref="W481:W483"/>
    <mergeCell ref="X481:X483"/>
    <mergeCell ref="Y481:Y483"/>
    <mergeCell ref="G480:G484"/>
    <mergeCell ref="H485:H489"/>
    <mergeCell ref="I485:I489"/>
    <mergeCell ref="J485:J489"/>
    <mergeCell ref="K485:K489"/>
    <mergeCell ref="L485:L489"/>
    <mergeCell ref="M485:M489"/>
    <mergeCell ref="AF485:AF489"/>
    <mergeCell ref="AG485:AG489"/>
    <mergeCell ref="AH485:AH489"/>
    <mergeCell ref="AI485:AI489"/>
    <mergeCell ref="AJ485:AJ489"/>
    <mergeCell ref="AK485:AK489"/>
    <mergeCell ref="N486:N488"/>
    <mergeCell ref="O486:O488"/>
    <mergeCell ref="P486:P488"/>
    <mergeCell ref="Q486:Q488"/>
    <mergeCell ref="R486:R488"/>
    <mergeCell ref="S486:S488"/>
    <mergeCell ref="T486:T488"/>
    <mergeCell ref="U486:U488"/>
    <mergeCell ref="V486:V488"/>
    <mergeCell ref="W486:W488"/>
    <mergeCell ref="X486:X488"/>
    <mergeCell ref="Y486:Y488"/>
    <mergeCell ref="G485:G489"/>
    <mergeCell ref="H490:H494"/>
    <mergeCell ref="I490:I494"/>
    <mergeCell ref="J490:J494"/>
    <mergeCell ref="K490:K494"/>
    <mergeCell ref="L490:L494"/>
    <mergeCell ref="M490:M494"/>
    <mergeCell ref="AF490:AF494"/>
    <mergeCell ref="AG490:AG494"/>
    <mergeCell ref="AH490:AH494"/>
    <mergeCell ref="AI490:AI494"/>
    <mergeCell ref="AJ490:AJ494"/>
    <mergeCell ref="AK490:AK494"/>
    <mergeCell ref="N491:N493"/>
    <mergeCell ref="O491:O493"/>
    <mergeCell ref="P491:P493"/>
    <mergeCell ref="Q491:Q493"/>
    <mergeCell ref="R491:R493"/>
    <mergeCell ref="S491:S493"/>
    <mergeCell ref="T491:T493"/>
    <mergeCell ref="U491:U493"/>
    <mergeCell ref="V491:V493"/>
    <mergeCell ref="W491:W493"/>
    <mergeCell ref="X491:X493"/>
    <mergeCell ref="Y491:Y493"/>
    <mergeCell ref="G490:G494"/>
    <mergeCell ref="H495:H499"/>
    <mergeCell ref="I495:I499"/>
    <mergeCell ref="J495:J499"/>
    <mergeCell ref="K495:K499"/>
    <mergeCell ref="L495:L499"/>
    <mergeCell ref="M495:M499"/>
    <mergeCell ref="AF495:AF499"/>
    <mergeCell ref="AG495:AG499"/>
    <mergeCell ref="AH495:AH499"/>
    <mergeCell ref="AI495:AI499"/>
    <mergeCell ref="AJ495:AJ499"/>
    <mergeCell ref="AK495:AK499"/>
    <mergeCell ref="N496:N498"/>
    <mergeCell ref="O496:O498"/>
    <mergeCell ref="P496:P498"/>
    <mergeCell ref="Q496:Q498"/>
    <mergeCell ref="R496:R498"/>
    <mergeCell ref="S496:S498"/>
    <mergeCell ref="T496:T498"/>
    <mergeCell ref="U496:U498"/>
    <mergeCell ref="V496:V498"/>
    <mergeCell ref="W496:W498"/>
    <mergeCell ref="X496:X498"/>
    <mergeCell ref="Y496:Y498"/>
    <mergeCell ref="G495:G499"/>
    <mergeCell ref="H500:H504"/>
    <mergeCell ref="I500:I504"/>
    <mergeCell ref="J500:J504"/>
    <mergeCell ref="K500:K504"/>
    <mergeCell ref="L500:L504"/>
    <mergeCell ref="M500:M504"/>
    <mergeCell ref="AF500:AF504"/>
    <mergeCell ref="AG500:AG504"/>
    <mergeCell ref="AH500:AH504"/>
    <mergeCell ref="AI500:AI504"/>
    <mergeCell ref="AJ500:AJ504"/>
    <mergeCell ref="AK500:AK504"/>
    <mergeCell ref="N501:N503"/>
    <mergeCell ref="O501:O503"/>
    <mergeCell ref="P501:P503"/>
    <mergeCell ref="Q501:Q503"/>
    <mergeCell ref="R501:R503"/>
    <mergeCell ref="S501:S503"/>
    <mergeCell ref="T501:T503"/>
    <mergeCell ref="U501:U503"/>
    <mergeCell ref="V501:V503"/>
    <mergeCell ref="W501:W503"/>
    <mergeCell ref="X501:X503"/>
    <mergeCell ref="Y501:Y503"/>
    <mergeCell ref="G500:G504"/>
    <mergeCell ref="H505:H509"/>
    <mergeCell ref="I505:I509"/>
    <mergeCell ref="J505:J509"/>
    <mergeCell ref="K505:K509"/>
    <mergeCell ref="L505:L509"/>
    <mergeCell ref="M505:M509"/>
    <mergeCell ref="AF505:AF509"/>
    <mergeCell ref="AG505:AG509"/>
    <mergeCell ref="AH505:AH509"/>
    <mergeCell ref="AI505:AI509"/>
    <mergeCell ref="AJ505:AJ509"/>
    <mergeCell ref="AK505:AK509"/>
    <mergeCell ref="N506:N508"/>
    <mergeCell ref="O506:O508"/>
    <mergeCell ref="P506:P508"/>
    <mergeCell ref="Q506:Q508"/>
    <mergeCell ref="R506:R508"/>
    <mergeCell ref="S506:S508"/>
    <mergeCell ref="T506:T508"/>
    <mergeCell ref="U506:U508"/>
    <mergeCell ref="V506:V508"/>
    <mergeCell ref="W506:W508"/>
    <mergeCell ref="X506:X508"/>
    <mergeCell ref="Y506:Y508"/>
    <mergeCell ref="G505:G509"/>
    <mergeCell ref="H510:H514"/>
    <mergeCell ref="I510:I514"/>
    <mergeCell ref="J510:J514"/>
    <mergeCell ref="K510:K514"/>
    <mergeCell ref="L510:L514"/>
    <mergeCell ref="M510:M514"/>
    <mergeCell ref="AF510:AF514"/>
    <mergeCell ref="AG510:AG514"/>
    <mergeCell ref="AH510:AH514"/>
    <mergeCell ref="AI510:AI514"/>
    <mergeCell ref="AJ510:AJ514"/>
    <mergeCell ref="AK510:AK514"/>
    <mergeCell ref="N511:N513"/>
    <mergeCell ref="O511:O513"/>
    <mergeCell ref="P511:P513"/>
    <mergeCell ref="Q511:Q513"/>
    <mergeCell ref="R511:R513"/>
    <mergeCell ref="S511:S513"/>
    <mergeCell ref="T511:T513"/>
    <mergeCell ref="U511:U513"/>
    <mergeCell ref="V511:V513"/>
    <mergeCell ref="W511:W513"/>
    <mergeCell ref="X511:X513"/>
    <mergeCell ref="Y511:Y513"/>
    <mergeCell ref="G510:G514"/>
    <mergeCell ref="H515:H519"/>
    <mergeCell ref="I515:I519"/>
    <mergeCell ref="J515:J519"/>
    <mergeCell ref="K515:K519"/>
    <mergeCell ref="L515:L519"/>
    <mergeCell ref="M515:M519"/>
    <mergeCell ref="AF515:AF519"/>
    <mergeCell ref="AG515:AG519"/>
    <mergeCell ref="AH515:AH519"/>
    <mergeCell ref="AI515:AI519"/>
    <mergeCell ref="AJ515:AJ519"/>
    <mergeCell ref="AK515:AK519"/>
    <mergeCell ref="N516:N518"/>
    <mergeCell ref="O516:O518"/>
    <mergeCell ref="P516:P518"/>
    <mergeCell ref="Q516:Q518"/>
    <mergeCell ref="R516:R518"/>
    <mergeCell ref="S516:S518"/>
    <mergeCell ref="T516:T518"/>
    <mergeCell ref="U516:U518"/>
    <mergeCell ref="V516:V518"/>
    <mergeCell ref="W516:W518"/>
    <mergeCell ref="X516:X518"/>
    <mergeCell ref="Y516:Y518"/>
    <mergeCell ref="G515:G519"/>
    <mergeCell ref="H520:H524"/>
    <mergeCell ref="I520:I524"/>
    <mergeCell ref="J520:J524"/>
    <mergeCell ref="K520:K524"/>
    <mergeCell ref="L520:L524"/>
    <mergeCell ref="M520:M524"/>
    <mergeCell ref="AF520:AF524"/>
    <mergeCell ref="AG520:AG524"/>
    <mergeCell ref="AH520:AH524"/>
    <mergeCell ref="AI520:AI524"/>
    <mergeCell ref="AJ520:AJ524"/>
    <mergeCell ref="AK520:AK524"/>
    <mergeCell ref="N521:N523"/>
    <mergeCell ref="O521:O523"/>
    <mergeCell ref="P521:P523"/>
    <mergeCell ref="Q521:Q523"/>
    <mergeCell ref="R521:R523"/>
    <mergeCell ref="S521:S523"/>
    <mergeCell ref="T521:T523"/>
    <mergeCell ref="U521:U523"/>
    <mergeCell ref="V521:V523"/>
    <mergeCell ref="W521:W523"/>
    <mergeCell ref="X521:X523"/>
    <mergeCell ref="Y521:Y523"/>
    <mergeCell ref="G520:G524"/>
    <mergeCell ref="H525:H529"/>
    <mergeCell ref="I525:I529"/>
    <mergeCell ref="J525:J529"/>
    <mergeCell ref="K525:K529"/>
    <mergeCell ref="L525:L529"/>
    <mergeCell ref="M525:M529"/>
    <mergeCell ref="AF525:AF529"/>
    <mergeCell ref="AG525:AG529"/>
    <mergeCell ref="AH525:AH529"/>
    <mergeCell ref="AI525:AI529"/>
    <mergeCell ref="AJ525:AJ529"/>
    <mergeCell ref="AK525:AK529"/>
    <mergeCell ref="N526:N528"/>
    <mergeCell ref="O526:O528"/>
    <mergeCell ref="P526:P528"/>
    <mergeCell ref="Q526:Q528"/>
    <mergeCell ref="R526:R528"/>
    <mergeCell ref="S526:S528"/>
    <mergeCell ref="T526:T528"/>
    <mergeCell ref="U526:U528"/>
    <mergeCell ref="V526:V528"/>
    <mergeCell ref="W526:W528"/>
    <mergeCell ref="X526:X528"/>
    <mergeCell ref="Y526:Y528"/>
    <mergeCell ref="G525:G529"/>
    <mergeCell ref="H530:H534"/>
    <mergeCell ref="I530:I534"/>
    <mergeCell ref="J530:J534"/>
    <mergeCell ref="K530:K534"/>
    <mergeCell ref="L530:L534"/>
    <mergeCell ref="M530:M534"/>
    <mergeCell ref="AF530:AF534"/>
    <mergeCell ref="AG530:AG534"/>
    <mergeCell ref="AH530:AH534"/>
    <mergeCell ref="AI530:AI534"/>
    <mergeCell ref="AJ530:AJ534"/>
    <mergeCell ref="AK530:AK534"/>
    <mergeCell ref="N531:N533"/>
    <mergeCell ref="O531:O533"/>
    <mergeCell ref="P531:P533"/>
    <mergeCell ref="Q531:Q533"/>
    <mergeCell ref="R531:R533"/>
    <mergeCell ref="S531:S533"/>
    <mergeCell ref="T531:T533"/>
    <mergeCell ref="U531:U533"/>
    <mergeCell ref="V531:V533"/>
    <mergeCell ref="W531:W533"/>
    <mergeCell ref="X531:X533"/>
    <mergeCell ref="Y531:Y533"/>
    <mergeCell ref="G530:G534"/>
    <mergeCell ref="H535:H540"/>
    <mergeCell ref="I535:I540"/>
    <mergeCell ref="J535:J540"/>
    <mergeCell ref="K535:K540"/>
    <mergeCell ref="L535:L540"/>
    <mergeCell ref="M535:M540"/>
    <mergeCell ref="AF535:AF540"/>
    <mergeCell ref="AG535:AG540"/>
    <mergeCell ref="AH535:AH540"/>
    <mergeCell ref="AI535:AI540"/>
    <mergeCell ref="AJ535:AJ540"/>
    <mergeCell ref="AK535:AK540"/>
    <mergeCell ref="N536:N539"/>
    <mergeCell ref="O536:O539"/>
    <mergeCell ref="P536:P539"/>
    <mergeCell ref="Q536:Q539"/>
    <mergeCell ref="R536:R539"/>
    <mergeCell ref="S536:S539"/>
    <mergeCell ref="T536:T539"/>
    <mergeCell ref="U536:U539"/>
    <mergeCell ref="V536:V539"/>
    <mergeCell ref="W536:W539"/>
    <mergeCell ref="X536:X539"/>
    <mergeCell ref="Y536:Y539"/>
    <mergeCell ref="G535:G540"/>
    <mergeCell ref="H541:H545"/>
    <mergeCell ref="I541:I545"/>
    <mergeCell ref="J541:J545"/>
    <mergeCell ref="K541:K545"/>
    <mergeCell ref="L541:L545"/>
    <mergeCell ref="M541:M545"/>
    <mergeCell ref="AF541:AF545"/>
    <mergeCell ref="AG541:AG545"/>
    <mergeCell ref="AH541:AH545"/>
    <mergeCell ref="AI541:AI545"/>
    <mergeCell ref="AJ541:AJ545"/>
    <mergeCell ref="AK541:AK545"/>
    <mergeCell ref="N542:N544"/>
    <mergeCell ref="O542:O544"/>
    <mergeCell ref="P542:P544"/>
    <mergeCell ref="Q542:Q544"/>
    <mergeCell ref="R542:R544"/>
    <mergeCell ref="S542:S544"/>
    <mergeCell ref="T542:T544"/>
    <mergeCell ref="U542:U544"/>
    <mergeCell ref="V542:V544"/>
    <mergeCell ref="W542:W544"/>
    <mergeCell ref="X542:X544"/>
    <mergeCell ref="Y542:Y544"/>
    <mergeCell ref="G541:G545"/>
    <mergeCell ref="H546:H550"/>
    <mergeCell ref="I546:I550"/>
    <mergeCell ref="J546:J550"/>
    <mergeCell ref="K546:K550"/>
    <mergeCell ref="L546:L550"/>
    <mergeCell ref="M546:M550"/>
    <mergeCell ref="AF546:AF550"/>
    <mergeCell ref="AG546:AG550"/>
    <mergeCell ref="AH546:AH550"/>
    <mergeCell ref="AI546:AI550"/>
    <mergeCell ref="AJ546:AJ550"/>
    <mergeCell ref="AK546:AK550"/>
    <mergeCell ref="N547:N549"/>
    <mergeCell ref="O547:O549"/>
    <mergeCell ref="P547:P549"/>
    <mergeCell ref="Q547:Q549"/>
    <mergeCell ref="R547:R549"/>
    <mergeCell ref="S547:S549"/>
    <mergeCell ref="T547:T549"/>
    <mergeCell ref="U547:U549"/>
    <mergeCell ref="V547:V549"/>
    <mergeCell ref="W547:W549"/>
    <mergeCell ref="X547:X549"/>
    <mergeCell ref="Y547:Y549"/>
    <mergeCell ref="G546:G550"/>
    <mergeCell ref="H551:H555"/>
    <mergeCell ref="I551:I555"/>
    <mergeCell ref="J551:J555"/>
    <mergeCell ref="K551:K555"/>
    <mergeCell ref="L551:L555"/>
    <mergeCell ref="M551:M555"/>
    <mergeCell ref="AF551:AF555"/>
    <mergeCell ref="AG551:AG555"/>
    <mergeCell ref="AH551:AH555"/>
    <mergeCell ref="AI551:AI555"/>
    <mergeCell ref="AJ551:AJ555"/>
    <mergeCell ref="AK551:AK555"/>
    <mergeCell ref="N552:N554"/>
    <mergeCell ref="O552:O554"/>
    <mergeCell ref="P552:P554"/>
    <mergeCell ref="Q552:Q554"/>
    <mergeCell ref="R552:R554"/>
    <mergeCell ref="S552:S554"/>
    <mergeCell ref="T552:T554"/>
    <mergeCell ref="U552:U554"/>
    <mergeCell ref="V552:V554"/>
    <mergeCell ref="W552:W554"/>
    <mergeCell ref="X552:X554"/>
    <mergeCell ref="Y552:Y554"/>
    <mergeCell ref="G551:G555"/>
    <mergeCell ref="H556:H560"/>
    <mergeCell ref="I556:I560"/>
    <mergeCell ref="J556:J560"/>
    <mergeCell ref="K556:K560"/>
    <mergeCell ref="L556:L560"/>
    <mergeCell ref="M556:M560"/>
    <mergeCell ref="AF556:AF560"/>
    <mergeCell ref="AG556:AG560"/>
    <mergeCell ref="AH556:AH560"/>
    <mergeCell ref="AI556:AI560"/>
    <mergeCell ref="AJ556:AJ560"/>
    <mergeCell ref="AK556:AK560"/>
    <mergeCell ref="N557:N559"/>
    <mergeCell ref="O557:O559"/>
    <mergeCell ref="P557:P559"/>
    <mergeCell ref="Q557:Q559"/>
    <mergeCell ref="R557:R559"/>
    <mergeCell ref="S557:S559"/>
    <mergeCell ref="T557:T559"/>
    <mergeCell ref="U557:U559"/>
    <mergeCell ref="V557:V559"/>
    <mergeCell ref="W557:W559"/>
    <mergeCell ref="X557:X559"/>
    <mergeCell ref="Y557:Y559"/>
    <mergeCell ref="G556:G560"/>
    <mergeCell ref="H561:H565"/>
    <mergeCell ref="I561:I565"/>
    <mergeCell ref="J561:J565"/>
    <mergeCell ref="K561:K565"/>
    <mergeCell ref="L561:L565"/>
    <mergeCell ref="M561:M565"/>
    <mergeCell ref="AF561:AF565"/>
    <mergeCell ref="AG561:AG565"/>
    <mergeCell ref="AH561:AH565"/>
    <mergeCell ref="AI561:AI565"/>
    <mergeCell ref="AJ561:AJ565"/>
    <mergeCell ref="AK561:AK565"/>
    <mergeCell ref="N562:N564"/>
    <mergeCell ref="O562:O564"/>
    <mergeCell ref="P562:P564"/>
    <mergeCell ref="Q562:Q564"/>
    <mergeCell ref="R562:R564"/>
    <mergeCell ref="S562:S564"/>
    <mergeCell ref="T562:T564"/>
    <mergeCell ref="U562:U564"/>
    <mergeCell ref="V562:V564"/>
    <mergeCell ref="W562:W564"/>
    <mergeCell ref="X562:X564"/>
    <mergeCell ref="Y562:Y564"/>
    <mergeCell ref="G561:G565"/>
    <mergeCell ref="H566:H570"/>
    <mergeCell ref="I566:I570"/>
    <mergeCell ref="J566:J570"/>
    <mergeCell ref="K566:K570"/>
    <mergeCell ref="L566:L570"/>
    <mergeCell ref="M566:M570"/>
    <mergeCell ref="AF566:AF570"/>
    <mergeCell ref="AG566:AG570"/>
    <mergeCell ref="AH566:AH570"/>
    <mergeCell ref="AI566:AI570"/>
    <mergeCell ref="AJ566:AJ570"/>
    <mergeCell ref="AK566:AK570"/>
    <mergeCell ref="N567:N569"/>
    <mergeCell ref="O567:O569"/>
    <mergeCell ref="P567:P569"/>
    <mergeCell ref="Q567:Q569"/>
    <mergeCell ref="R567:R569"/>
    <mergeCell ref="S567:S569"/>
    <mergeCell ref="T567:T569"/>
    <mergeCell ref="U567:U569"/>
    <mergeCell ref="V567:V569"/>
    <mergeCell ref="W567:W569"/>
    <mergeCell ref="X567:X569"/>
    <mergeCell ref="Y567:Y569"/>
    <mergeCell ref="G566:G570"/>
    <mergeCell ref="H571:H575"/>
    <mergeCell ref="I571:I575"/>
    <mergeCell ref="J571:J575"/>
    <mergeCell ref="K571:K575"/>
    <mergeCell ref="L571:L575"/>
    <mergeCell ref="M571:M575"/>
    <mergeCell ref="AF571:AF575"/>
    <mergeCell ref="AG571:AG575"/>
    <mergeCell ref="AH571:AH575"/>
    <mergeCell ref="AI571:AI575"/>
    <mergeCell ref="AJ571:AJ575"/>
    <mergeCell ref="AK571:AK575"/>
    <mergeCell ref="N572:N574"/>
    <mergeCell ref="O572:O574"/>
    <mergeCell ref="P572:P574"/>
    <mergeCell ref="Q572:Q574"/>
    <mergeCell ref="R572:R574"/>
    <mergeCell ref="S572:S574"/>
    <mergeCell ref="T572:T574"/>
    <mergeCell ref="U572:U574"/>
    <mergeCell ref="V572:V574"/>
    <mergeCell ref="W572:W574"/>
    <mergeCell ref="X572:X574"/>
    <mergeCell ref="Y572:Y574"/>
    <mergeCell ref="G571:G575"/>
    <mergeCell ref="H576:H580"/>
    <mergeCell ref="I576:I580"/>
    <mergeCell ref="J576:J580"/>
    <mergeCell ref="K576:K580"/>
    <mergeCell ref="L576:L580"/>
    <mergeCell ref="M576:M580"/>
    <mergeCell ref="AF576:AF580"/>
    <mergeCell ref="AG576:AG580"/>
    <mergeCell ref="AH576:AH580"/>
    <mergeCell ref="AI576:AI580"/>
    <mergeCell ref="AJ576:AJ580"/>
    <mergeCell ref="AK576:AK580"/>
    <mergeCell ref="N577:N579"/>
    <mergeCell ref="O577:O579"/>
    <mergeCell ref="P577:P579"/>
    <mergeCell ref="Q577:Q579"/>
    <mergeCell ref="R577:R579"/>
    <mergeCell ref="S577:S579"/>
    <mergeCell ref="T577:T579"/>
    <mergeCell ref="U577:U579"/>
    <mergeCell ref="V577:V579"/>
    <mergeCell ref="W577:W579"/>
    <mergeCell ref="X577:X579"/>
    <mergeCell ref="Y577:Y579"/>
    <mergeCell ref="G576:G580"/>
    <mergeCell ref="H581:H585"/>
    <mergeCell ref="I581:I585"/>
    <mergeCell ref="J581:J585"/>
    <mergeCell ref="K581:K585"/>
    <mergeCell ref="L581:L585"/>
    <mergeCell ref="M581:M585"/>
    <mergeCell ref="AF581:AF585"/>
    <mergeCell ref="AG581:AG585"/>
    <mergeCell ref="AH581:AH585"/>
    <mergeCell ref="AI581:AI585"/>
    <mergeCell ref="AJ581:AJ585"/>
    <mergeCell ref="AK581:AK585"/>
    <mergeCell ref="N582:N584"/>
    <mergeCell ref="O582:O584"/>
    <mergeCell ref="P582:P584"/>
    <mergeCell ref="Q582:Q584"/>
    <mergeCell ref="R582:R584"/>
    <mergeCell ref="S582:S584"/>
    <mergeCell ref="T582:T584"/>
    <mergeCell ref="U582:U584"/>
    <mergeCell ref="V582:V584"/>
    <mergeCell ref="W582:W584"/>
    <mergeCell ref="X582:X584"/>
    <mergeCell ref="Y582:Y584"/>
    <mergeCell ref="G581:G585"/>
    <mergeCell ref="H586:H590"/>
    <mergeCell ref="I586:I590"/>
    <mergeCell ref="J586:J590"/>
    <mergeCell ref="K586:K590"/>
    <mergeCell ref="L586:L590"/>
    <mergeCell ref="M586:M590"/>
    <mergeCell ref="AF586:AF590"/>
    <mergeCell ref="AG586:AG590"/>
    <mergeCell ref="AH586:AH590"/>
    <mergeCell ref="AI586:AI590"/>
    <mergeCell ref="AJ586:AJ590"/>
    <mergeCell ref="AK586:AK590"/>
    <mergeCell ref="N587:N589"/>
    <mergeCell ref="O587:O589"/>
    <mergeCell ref="P587:P589"/>
    <mergeCell ref="Q587:Q589"/>
    <mergeCell ref="R587:R589"/>
    <mergeCell ref="S587:S589"/>
    <mergeCell ref="T587:T589"/>
    <mergeCell ref="U587:U589"/>
    <mergeCell ref="V587:V589"/>
    <mergeCell ref="W587:W589"/>
    <mergeCell ref="X587:X589"/>
    <mergeCell ref="Y587:Y589"/>
    <mergeCell ref="G586:G590"/>
    <mergeCell ref="H591:H595"/>
    <mergeCell ref="I591:I595"/>
    <mergeCell ref="J591:J595"/>
    <mergeCell ref="K591:K595"/>
    <mergeCell ref="L591:L595"/>
    <mergeCell ref="M591:M595"/>
    <mergeCell ref="AF591:AF595"/>
    <mergeCell ref="AG591:AG595"/>
    <mergeCell ref="AH591:AH595"/>
    <mergeCell ref="AI591:AI595"/>
    <mergeCell ref="AJ591:AJ595"/>
    <mergeCell ref="AK591:AK595"/>
    <mergeCell ref="N592:N594"/>
    <mergeCell ref="O592:O594"/>
    <mergeCell ref="P592:P594"/>
    <mergeCell ref="Q592:Q594"/>
    <mergeCell ref="R592:R594"/>
    <mergeCell ref="S592:S594"/>
    <mergeCell ref="T592:T594"/>
    <mergeCell ref="U592:U594"/>
    <mergeCell ref="V592:V594"/>
    <mergeCell ref="W592:W594"/>
    <mergeCell ref="X592:X594"/>
    <mergeCell ref="Y592:Y594"/>
    <mergeCell ref="G591:G595"/>
    <mergeCell ref="H596:H600"/>
    <mergeCell ref="I596:I600"/>
    <mergeCell ref="J596:J600"/>
    <mergeCell ref="K596:K600"/>
    <mergeCell ref="L596:L600"/>
    <mergeCell ref="M596:M600"/>
    <mergeCell ref="AF596:AF600"/>
    <mergeCell ref="AG596:AG600"/>
    <mergeCell ref="AH596:AH600"/>
    <mergeCell ref="AI596:AI600"/>
    <mergeCell ref="AJ596:AJ600"/>
    <mergeCell ref="AK596:AK600"/>
    <mergeCell ref="N597:N599"/>
    <mergeCell ref="O597:O599"/>
    <mergeCell ref="P597:P599"/>
    <mergeCell ref="Q597:Q599"/>
    <mergeCell ref="R597:R599"/>
    <mergeCell ref="S597:S599"/>
    <mergeCell ref="T597:T599"/>
    <mergeCell ref="U597:U599"/>
    <mergeCell ref="V597:V599"/>
    <mergeCell ref="W597:W599"/>
    <mergeCell ref="X597:X599"/>
    <mergeCell ref="Y597:Y599"/>
    <mergeCell ref="G596:G600"/>
    <mergeCell ref="H601:H605"/>
    <mergeCell ref="I601:I605"/>
    <mergeCell ref="J601:J605"/>
    <mergeCell ref="K601:K605"/>
    <mergeCell ref="L601:L605"/>
    <mergeCell ref="M601:M605"/>
    <mergeCell ref="AF601:AF605"/>
    <mergeCell ref="AG601:AG605"/>
    <mergeCell ref="AH601:AH605"/>
    <mergeCell ref="AI601:AI605"/>
    <mergeCell ref="AJ601:AJ605"/>
    <mergeCell ref="AK601:AK605"/>
    <mergeCell ref="N602:N604"/>
    <mergeCell ref="O602:O604"/>
    <mergeCell ref="P602:P604"/>
    <mergeCell ref="Q602:Q604"/>
    <mergeCell ref="R602:R604"/>
    <mergeCell ref="S602:S604"/>
    <mergeCell ref="T602:T604"/>
    <mergeCell ref="U602:U604"/>
    <mergeCell ref="V602:V604"/>
    <mergeCell ref="W602:W604"/>
    <mergeCell ref="X602:X604"/>
    <mergeCell ref="Y602:Y604"/>
    <mergeCell ref="G601:G605"/>
    <mergeCell ref="H606:H610"/>
    <mergeCell ref="I606:I610"/>
    <mergeCell ref="J606:J610"/>
    <mergeCell ref="K606:K610"/>
    <mergeCell ref="L606:L610"/>
    <mergeCell ref="M606:M610"/>
    <mergeCell ref="AF606:AF610"/>
    <mergeCell ref="AG606:AG610"/>
    <mergeCell ref="AH606:AH610"/>
    <mergeCell ref="AI606:AI610"/>
    <mergeCell ref="AJ606:AJ610"/>
    <mergeCell ref="AK606:AK610"/>
    <mergeCell ref="N607:N609"/>
    <mergeCell ref="O607:O609"/>
    <mergeCell ref="P607:P609"/>
    <mergeCell ref="Q607:Q609"/>
    <mergeCell ref="R607:R609"/>
    <mergeCell ref="S607:S609"/>
    <mergeCell ref="T607:T609"/>
    <mergeCell ref="U607:U609"/>
    <mergeCell ref="V607:V609"/>
    <mergeCell ref="W607:W609"/>
    <mergeCell ref="X607:X609"/>
    <mergeCell ref="Y607:Y609"/>
    <mergeCell ref="G606:G610"/>
    <mergeCell ref="H611:H615"/>
    <mergeCell ref="I611:I615"/>
    <mergeCell ref="J611:J615"/>
    <mergeCell ref="K611:K615"/>
    <mergeCell ref="L611:L615"/>
    <mergeCell ref="M611:M615"/>
    <mergeCell ref="AF611:AF615"/>
    <mergeCell ref="AG611:AG615"/>
    <mergeCell ref="AH611:AH615"/>
    <mergeCell ref="AI611:AI615"/>
    <mergeCell ref="AJ611:AJ615"/>
    <mergeCell ref="AK611:AK615"/>
    <mergeCell ref="N612:N614"/>
    <mergeCell ref="O612:O614"/>
    <mergeCell ref="P612:P614"/>
    <mergeCell ref="Q612:Q614"/>
    <mergeCell ref="R612:R614"/>
    <mergeCell ref="S612:S614"/>
    <mergeCell ref="T612:T614"/>
    <mergeCell ref="U612:U614"/>
    <mergeCell ref="V612:V614"/>
    <mergeCell ref="W612:W614"/>
    <mergeCell ref="X612:X614"/>
    <mergeCell ref="Y612:Y614"/>
    <mergeCell ref="G611:G615"/>
    <mergeCell ref="H616:H620"/>
    <mergeCell ref="I616:I620"/>
    <mergeCell ref="J616:J620"/>
    <mergeCell ref="K616:K620"/>
    <mergeCell ref="L616:L620"/>
    <mergeCell ref="M616:M620"/>
    <mergeCell ref="AF616:AF620"/>
    <mergeCell ref="AG616:AG620"/>
    <mergeCell ref="AH616:AH620"/>
    <mergeCell ref="AI616:AI620"/>
    <mergeCell ref="AJ616:AJ620"/>
    <mergeCell ref="AK616:AK620"/>
    <mergeCell ref="N617:N619"/>
    <mergeCell ref="O617:O619"/>
    <mergeCell ref="P617:P619"/>
    <mergeCell ref="Q617:Q619"/>
    <mergeCell ref="R617:R619"/>
    <mergeCell ref="S617:S619"/>
    <mergeCell ref="T617:T619"/>
    <mergeCell ref="U617:U619"/>
    <mergeCell ref="V617:V619"/>
    <mergeCell ref="W617:W619"/>
    <mergeCell ref="X617:X619"/>
    <mergeCell ref="Y617:Y619"/>
    <mergeCell ref="G616:G620"/>
    <mergeCell ref="H621:H625"/>
    <mergeCell ref="I621:I625"/>
    <mergeCell ref="J621:J625"/>
    <mergeCell ref="K621:K625"/>
    <mergeCell ref="L621:L625"/>
    <mergeCell ref="M621:M625"/>
    <mergeCell ref="AF621:AF625"/>
    <mergeCell ref="AG621:AG625"/>
    <mergeCell ref="AH621:AH625"/>
    <mergeCell ref="AI621:AI625"/>
    <mergeCell ref="AJ621:AJ625"/>
    <mergeCell ref="AK621:AK625"/>
    <mergeCell ref="N622:N624"/>
    <mergeCell ref="O622:O624"/>
    <mergeCell ref="P622:P624"/>
    <mergeCell ref="Q622:Q624"/>
    <mergeCell ref="R622:R624"/>
    <mergeCell ref="S622:S624"/>
    <mergeCell ref="T622:T624"/>
    <mergeCell ref="U622:U624"/>
    <mergeCell ref="V622:V624"/>
    <mergeCell ref="W622:W624"/>
    <mergeCell ref="X622:X624"/>
    <mergeCell ref="Y622:Y624"/>
    <mergeCell ref="G621:G625"/>
    <mergeCell ref="H626:H630"/>
    <mergeCell ref="I626:I630"/>
    <mergeCell ref="J626:J630"/>
    <mergeCell ref="K626:K630"/>
    <mergeCell ref="L626:L630"/>
    <mergeCell ref="M626:M630"/>
    <mergeCell ref="AF626:AF630"/>
    <mergeCell ref="AG626:AG630"/>
    <mergeCell ref="AH626:AH630"/>
    <mergeCell ref="AI626:AI630"/>
    <mergeCell ref="AJ626:AJ630"/>
    <mergeCell ref="AK626:AK630"/>
    <mergeCell ref="N627:N629"/>
    <mergeCell ref="O627:O629"/>
    <mergeCell ref="P627:P629"/>
    <mergeCell ref="Q627:Q629"/>
    <mergeCell ref="R627:R629"/>
    <mergeCell ref="S627:S629"/>
    <mergeCell ref="T627:T629"/>
    <mergeCell ref="U627:U629"/>
    <mergeCell ref="V627:V629"/>
    <mergeCell ref="W627:W629"/>
    <mergeCell ref="X627:X629"/>
    <mergeCell ref="Y627:Y629"/>
    <mergeCell ref="G626:G630"/>
    <mergeCell ref="H662:H666"/>
    <mergeCell ref="I662:I666"/>
    <mergeCell ref="J662:J666"/>
    <mergeCell ref="K662:K666"/>
    <mergeCell ref="L662:L666"/>
    <mergeCell ref="M662:M666"/>
    <mergeCell ref="AF662:AF666"/>
    <mergeCell ref="AG662:AG666"/>
    <mergeCell ref="AH662:AH666"/>
    <mergeCell ref="AI662:AI666"/>
    <mergeCell ref="AJ662:AJ666"/>
    <mergeCell ref="AK662:AK666"/>
    <mergeCell ref="N663:N665"/>
    <mergeCell ref="O663:O665"/>
    <mergeCell ref="P663:P665"/>
    <mergeCell ref="Q663:Q665"/>
    <mergeCell ref="R663:R665"/>
    <mergeCell ref="S663:S665"/>
    <mergeCell ref="T663:T665"/>
    <mergeCell ref="U663:U665"/>
    <mergeCell ref="V663:V665"/>
    <mergeCell ref="W663:W665"/>
    <mergeCell ref="X663:X665"/>
    <mergeCell ref="Y663:Y665"/>
    <mergeCell ref="G662:G666"/>
    <mergeCell ref="H667:H671"/>
    <mergeCell ref="I667:I671"/>
    <mergeCell ref="J667:J671"/>
    <mergeCell ref="K667:K671"/>
    <mergeCell ref="L667:L671"/>
    <mergeCell ref="M667:M671"/>
    <mergeCell ref="AF667:AF671"/>
    <mergeCell ref="AG667:AG671"/>
    <mergeCell ref="AH667:AH671"/>
    <mergeCell ref="AI667:AI671"/>
    <mergeCell ref="AJ667:AJ671"/>
    <mergeCell ref="AK667:AK671"/>
    <mergeCell ref="N668:N670"/>
    <mergeCell ref="O668:O670"/>
    <mergeCell ref="P668:P670"/>
    <mergeCell ref="Q668:Q670"/>
    <mergeCell ref="R668:R670"/>
    <mergeCell ref="S668:S670"/>
    <mergeCell ref="T668:T670"/>
    <mergeCell ref="U668:U670"/>
    <mergeCell ref="V668:V670"/>
    <mergeCell ref="W668:W670"/>
    <mergeCell ref="X668:X670"/>
    <mergeCell ref="Y668:Y670"/>
    <mergeCell ref="G667:G671"/>
    <mergeCell ref="H672:H676"/>
    <mergeCell ref="I672:I676"/>
    <mergeCell ref="J672:J676"/>
    <mergeCell ref="K672:K676"/>
    <mergeCell ref="L672:L676"/>
    <mergeCell ref="M672:M676"/>
    <mergeCell ref="AF672:AF676"/>
    <mergeCell ref="AG672:AG676"/>
    <mergeCell ref="AH672:AH676"/>
    <mergeCell ref="AI672:AI676"/>
    <mergeCell ref="AJ672:AJ676"/>
    <mergeCell ref="AK672:AK676"/>
    <mergeCell ref="N673:N675"/>
    <mergeCell ref="O673:O675"/>
    <mergeCell ref="P673:P675"/>
    <mergeCell ref="Q673:Q675"/>
    <mergeCell ref="R673:R675"/>
    <mergeCell ref="S673:S675"/>
    <mergeCell ref="T673:T675"/>
    <mergeCell ref="U673:U675"/>
    <mergeCell ref="V673:V675"/>
    <mergeCell ref="W673:W675"/>
    <mergeCell ref="X673:X675"/>
    <mergeCell ref="Y673:Y675"/>
    <mergeCell ref="G672:G676"/>
    <mergeCell ref="H677:H681"/>
    <mergeCell ref="I677:I681"/>
    <mergeCell ref="J677:J681"/>
    <mergeCell ref="K677:K681"/>
    <mergeCell ref="L677:L681"/>
    <mergeCell ref="M677:M681"/>
    <mergeCell ref="AF677:AF681"/>
    <mergeCell ref="AG677:AG681"/>
    <mergeCell ref="AH677:AH681"/>
    <mergeCell ref="AI677:AI681"/>
    <mergeCell ref="AJ677:AJ681"/>
    <mergeCell ref="AK677:AK681"/>
    <mergeCell ref="N678:N680"/>
    <mergeCell ref="O678:O680"/>
    <mergeCell ref="P678:P680"/>
    <mergeCell ref="Q678:Q680"/>
    <mergeCell ref="R678:R680"/>
    <mergeCell ref="S678:S680"/>
    <mergeCell ref="T678:T680"/>
    <mergeCell ref="U678:U680"/>
    <mergeCell ref="V678:V680"/>
    <mergeCell ref="W678:W680"/>
    <mergeCell ref="X678:X680"/>
    <mergeCell ref="Y678:Y680"/>
    <mergeCell ref="G677:G681"/>
    <mergeCell ref="H682:H686"/>
    <mergeCell ref="I682:I686"/>
    <mergeCell ref="J682:J686"/>
    <mergeCell ref="K682:K686"/>
    <mergeCell ref="L682:L686"/>
    <mergeCell ref="M682:M686"/>
    <mergeCell ref="AF682:AF686"/>
    <mergeCell ref="AG682:AG686"/>
    <mergeCell ref="AH682:AH686"/>
    <mergeCell ref="AI682:AI686"/>
    <mergeCell ref="AJ682:AJ686"/>
    <mergeCell ref="AK682:AK686"/>
    <mergeCell ref="N683:N685"/>
    <mergeCell ref="O683:O685"/>
    <mergeCell ref="P683:P685"/>
    <mergeCell ref="Q683:Q685"/>
    <mergeCell ref="R683:R685"/>
    <mergeCell ref="S683:S685"/>
    <mergeCell ref="T683:T685"/>
    <mergeCell ref="U683:U685"/>
    <mergeCell ref="V683:V685"/>
    <mergeCell ref="W683:W685"/>
    <mergeCell ref="X683:X685"/>
    <mergeCell ref="Y683:Y685"/>
    <mergeCell ref="G682:G686"/>
    <mergeCell ref="H687:H691"/>
    <mergeCell ref="I687:I691"/>
    <mergeCell ref="J687:J691"/>
    <mergeCell ref="K687:K691"/>
    <mergeCell ref="L687:L691"/>
    <mergeCell ref="M687:M691"/>
    <mergeCell ref="AF687:AF691"/>
    <mergeCell ref="AG687:AG691"/>
    <mergeCell ref="AH687:AH691"/>
    <mergeCell ref="AI687:AI691"/>
    <mergeCell ref="AJ687:AJ691"/>
    <mergeCell ref="AK687:AK691"/>
    <mergeCell ref="N688:N690"/>
    <mergeCell ref="O688:O690"/>
    <mergeCell ref="P688:P690"/>
    <mergeCell ref="Q688:Q690"/>
    <mergeCell ref="R688:R690"/>
    <mergeCell ref="S688:S690"/>
    <mergeCell ref="T688:T690"/>
    <mergeCell ref="U688:U690"/>
    <mergeCell ref="V688:V690"/>
    <mergeCell ref="W688:W690"/>
    <mergeCell ref="X688:X690"/>
    <mergeCell ref="Y688:Y690"/>
    <mergeCell ref="G687:G691"/>
    <mergeCell ref="H692:H696"/>
    <mergeCell ref="I692:I696"/>
    <mergeCell ref="J692:J696"/>
    <mergeCell ref="K692:K696"/>
    <mergeCell ref="L692:L696"/>
    <mergeCell ref="M692:M696"/>
    <mergeCell ref="AF692:AF696"/>
    <mergeCell ref="AG692:AG696"/>
    <mergeCell ref="AH692:AH696"/>
    <mergeCell ref="AI692:AI696"/>
    <mergeCell ref="AJ692:AJ696"/>
    <mergeCell ref="AK692:AK696"/>
    <mergeCell ref="N693:N695"/>
    <mergeCell ref="O693:O695"/>
    <mergeCell ref="P693:P695"/>
    <mergeCell ref="Q693:Q695"/>
    <mergeCell ref="R693:R695"/>
    <mergeCell ref="S693:S695"/>
    <mergeCell ref="T693:T695"/>
    <mergeCell ref="U693:U695"/>
    <mergeCell ref="V693:V695"/>
    <mergeCell ref="W693:W695"/>
    <mergeCell ref="X693:X695"/>
    <mergeCell ref="Y693:Y695"/>
    <mergeCell ref="G692:G696"/>
    <mergeCell ref="H697:H701"/>
    <mergeCell ref="I697:I701"/>
    <mergeCell ref="J697:J701"/>
    <mergeCell ref="K697:K701"/>
    <mergeCell ref="L697:L701"/>
    <mergeCell ref="M697:M701"/>
    <mergeCell ref="AF697:AF701"/>
    <mergeCell ref="AG697:AG701"/>
    <mergeCell ref="AH697:AH701"/>
    <mergeCell ref="AI697:AI701"/>
    <mergeCell ref="AJ697:AJ701"/>
    <mergeCell ref="AK697:AK701"/>
    <mergeCell ref="N698:N700"/>
    <mergeCell ref="O698:O700"/>
    <mergeCell ref="P698:P700"/>
    <mergeCell ref="Q698:Q700"/>
    <mergeCell ref="R698:R700"/>
    <mergeCell ref="S698:S700"/>
    <mergeCell ref="T698:T700"/>
    <mergeCell ref="U698:U700"/>
    <mergeCell ref="V698:V700"/>
    <mergeCell ref="W698:W700"/>
    <mergeCell ref="X698:X700"/>
    <mergeCell ref="Y698:Y700"/>
    <mergeCell ref="G697:G701"/>
    <mergeCell ref="H702:H706"/>
    <mergeCell ref="I702:I706"/>
    <mergeCell ref="J702:J706"/>
    <mergeCell ref="K702:K706"/>
    <mergeCell ref="L702:L706"/>
    <mergeCell ref="M702:M706"/>
    <mergeCell ref="AF702:AF706"/>
    <mergeCell ref="AG702:AG706"/>
    <mergeCell ref="AH702:AH706"/>
    <mergeCell ref="AI702:AI706"/>
    <mergeCell ref="AJ702:AJ706"/>
    <mergeCell ref="AK702:AK706"/>
    <mergeCell ref="N703:N705"/>
    <mergeCell ref="O703:O705"/>
    <mergeCell ref="P703:P705"/>
    <mergeCell ref="Q703:Q705"/>
    <mergeCell ref="R703:R705"/>
    <mergeCell ref="S703:S705"/>
    <mergeCell ref="T703:T705"/>
    <mergeCell ref="U703:U705"/>
    <mergeCell ref="V703:V705"/>
    <mergeCell ref="W703:W705"/>
    <mergeCell ref="X703:X705"/>
    <mergeCell ref="Y703:Y705"/>
    <mergeCell ref="G702:G706"/>
    <mergeCell ref="H707:H711"/>
    <mergeCell ref="I707:I711"/>
    <mergeCell ref="J707:J711"/>
    <mergeCell ref="K707:K711"/>
    <mergeCell ref="L707:L711"/>
    <mergeCell ref="M707:M711"/>
    <mergeCell ref="AF707:AF711"/>
    <mergeCell ref="AG707:AG711"/>
    <mergeCell ref="AH707:AH711"/>
    <mergeCell ref="AI707:AI711"/>
    <mergeCell ref="AJ707:AJ711"/>
    <mergeCell ref="AK707:AK711"/>
    <mergeCell ref="N708:N710"/>
    <mergeCell ref="O708:O710"/>
    <mergeCell ref="P708:P710"/>
    <mergeCell ref="Q708:Q710"/>
    <mergeCell ref="R708:R710"/>
    <mergeCell ref="S708:S710"/>
    <mergeCell ref="T708:T710"/>
    <mergeCell ref="U708:U710"/>
    <mergeCell ref="V708:V710"/>
    <mergeCell ref="W708:W710"/>
    <mergeCell ref="X708:X710"/>
    <mergeCell ref="Y708:Y710"/>
    <mergeCell ref="G707:G711"/>
    <mergeCell ref="H712:H716"/>
    <mergeCell ref="I712:I716"/>
    <mergeCell ref="J712:J716"/>
    <mergeCell ref="K712:K716"/>
    <mergeCell ref="L712:L716"/>
    <mergeCell ref="M712:M716"/>
    <mergeCell ref="AF712:AF716"/>
    <mergeCell ref="AG712:AG716"/>
    <mergeCell ref="AH712:AH716"/>
    <mergeCell ref="AI712:AI716"/>
    <mergeCell ref="AJ712:AJ716"/>
    <mergeCell ref="AK712:AK716"/>
    <mergeCell ref="N713:N715"/>
    <mergeCell ref="O713:O715"/>
    <mergeCell ref="P713:P715"/>
    <mergeCell ref="Q713:Q715"/>
    <mergeCell ref="R713:R715"/>
    <mergeCell ref="S713:S715"/>
    <mergeCell ref="T713:T715"/>
    <mergeCell ref="U713:U715"/>
    <mergeCell ref="V713:V715"/>
    <mergeCell ref="W713:W715"/>
    <mergeCell ref="X713:X715"/>
    <mergeCell ref="Y713:Y715"/>
    <mergeCell ref="G712:G716"/>
    <mergeCell ref="H717:H721"/>
    <mergeCell ref="I717:I721"/>
    <mergeCell ref="J717:J721"/>
    <mergeCell ref="K717:K721"/>
    <mergeCell ref="L717:L721"/>
    <mergeCell ref="M717:M721"/>
    <mergeCell ref="AF717:AF721"/>
    <mergeCell ref="AG717:AG721"/>
    <mergeCell ref="AH717:AH721"/>
    <mergeCell ref="AI717:AI721"/>
    <mergeCell ref="AJ717:AJ721"/>
    <mergeCell ref="AK717:AK721"/>
    <mergeCell ref="N718:N720"/>
    <mergeCell ref="O718:O720"/>
    <mergeCell ref="P718:P720"/>
    <mergeCell ref="Q718:Q720"/>
    <mergeCell ref="R718:R720"/>
    <mergeCell ref="S718:S720"/>
    <mergeCell ref="T718:T720"/>
    <mergeCell ref="U718:U720"/>
    <mergeCell ref="V718:V720"/>
    <mergeCell ref="W718:W720"/>
    <mergeCell ref="X718:X720"/>
    <mergeCell ref="Y718:Y720"/>
    <mergeCell ref="G717:G721"/>
    <mergeCell ref="H722:H726"/>
    <mergeCell ref="I722:I726"/>
    <mergeCell ref="J722:J726"/>
    <mergeCell ref="K722:K726"/>
    <mergeCell ref="L722:L726"/>
    <mergeCell ref="M722:M726"/>
    <mergeCell ref="AF722:AF726"/>
    <mergeCell ref="AG722:AG726"/>
    <mergeCell ref="AH722:AH726"/>
    <mergeCell ref="AI722:AI726"/>
    <mergeCell ref="AJ722:AJ726"/>
    <mergeCell ref="AK722:AK726"/>
    <mergeCell ref="N723:N725"/>
    <mergeCell ref="O723:O725"/>
    <mergeCell ref="P723:P725"/>
    <mergeCell ref="Q723:Q725"/>
    <mergeCell ref="R723:R725"/>
    <mergeCell ref="S723:S725"/>
    <mergeCell ref="T723:T725"/>
    <mergeCell ref="U723:U725"/>
    <mergeCell ref="V723:V725"/>
    <mergeCell ref="W723:W725"/>
    <mergeCell ref="X723:X725"/>
    <mergeCell ref="Y723:Y725"/>
    <mergeCell ref="G722:G726"/>
    <mergeCell ref="H727:H731"/>
    <mergeCell ref="I727:I731"/>
    <mergeCell ref="J727:J731"/>
    <mergeCell ref="K727:K731"/>
    <mergeCell ref="L727:L731"/>
    <mergeCell ref="M727:M731"/>
    <mergeCell ref="AF727:AF731"/>
    <mergeCell ref="AG727:AG731"/>
    <mergeCell ref="AH727:AH731"/>
    <mergeCell ref="AI727:AI731"/>
    <mergeCell ref="AJ727:AJ731"/>
    <mergeCell ref="AK727:AK731"/>
    <mergeCell ref="N728:N730"/>
    <mergeCell ref="O728:O730"/>
    <mergeCell ref="P728:P730"/>
    <mergeCell ref="Q728:Q730"/>
    <mergeCell ref="R728:R730"/>
    <mergeCell ref="S728:S730"/>
    <mergeCell ref="T728:T730"/>
    <mergeCell ref="U728:U730"/>
    <mergeCell ref="V728:V730"/>
    <mergeCell ref="W728:W730"/>
    <mergeCell ref="X728:X730"/>
    <mergeCell ref="Y728:Y730"/>
    <mergeCell ref="G727:G731"/>
    <mergeCell ref="H732:H736"/>
    <mergeCell ref="I732:I736"/>
    <mergeCell ref="J732:J736"/>
    <mergeCell ref="K732:K736"/>
    <mergeCell ref="L732:L736"/>
    <mergeCell ref="M732:M736"/>
    <mergeCell ref="AF732:AF736"/>
    <mergeCell ref="AG732:AG736"/>
    <mergeCell ref="AH732:AH736"/>
    <mergeCell ref="AI732:AI736"/>
    <mergeCell ref="AJ732:AJ736"/>
    <mergeCell ref="AK732:AK736"/>
    <mergeCell ref="N733:N735"/>
    <mergeCell ref="O733:O735"/>
    <mergeCell ref="P733:P735"/>
    <mergeCell ref="Q733:Q735"/>
    <mergeCell ref="R733:R735"/>
    <mergeCell ref="S733:S735"/>
    <mergeCell ref="T733:T735"/>
    <mergeCell ref="U733:U735"/>
    <mergeCell ref="V733:V735"/>
    <mergeCell ref="W733:W735"/>
    <mergeCell ref="X733:X735"/>
    <mergeCell ref="Y733:Y735"/>
    <mergeCell ref="G732:G736"/>
    <mergeCell ref="H737:H742"/>
    <mergeCell ref="I737:I742"/>
    <mergeCell ref="J737:J742"/>
    <mergeCell ref="K737:K742"/>
    <mergeCell ref="L737:L742"/>
    <mergeCell ref="M737:M742"/>
    <mergeCell ref="AF737:AF742"/>
    <mergeCell ref="AG737:AG742"/>
    <mergeCell ref="AH737:AH742"/>
    <mergeCell ref="AI737:AI742"/>
    <mergeCell ref="AJ737:AJ742"/>
    <mergeCell ref="AK737:AK742"/>
    <mergeCell ref="N738:N741"/>
    <mergeCell ref="O738:O741"/>
    <mergeCell ref="P738:P741"/>
    <mergeCell ref="Q738:Q741"/>
    <mergeCell ref="R738:R741"/>
    <mergeCell ref="S738:S741"/>
    <mergeCell ref="T738:T741"/>
    <mergeCell ref="U738:U741"/>
    <mergeCell ref="V738:V741"/>
    <mergeCell ref="W738:W741"/>
    <mergeCell ref="X738:X741"/>
    <mergeCell ref="Y738:Y741"/>
    <mergeCell ref="G737:G742"/>
    <mergeCell ref="H743:H747"/>
    <mergeCell ref="I743:I747"/>
    <mergeCell ref="J743:J747"/>
    <mergeCell ref="K743:K747"/>
    <mergeCell ref="L743:L747"/>
    <mergeCell ref="M743:M747"/>
    <mergeCell ref="AF743:AF747"/>
    <mergeCell ref="AG743:AG747"/>
    <mergeCell ref="AH743:AH747"/>
    <mergeCell ref="AI743:AI747"/>
    <mergeCell ref="AJ743:AJ747"/>
    <mergeCell ref="AK743:AK747"/>
    <mergeCell ref="N744:N746"/>
    <mergeCell ref="O744:O746"/>
    <mergeCell ref="P744:P746"/>
    <mergeCell ref="Q744:Q746"/>
    <mergeCell ref="R744:R746"/>
    <mergeCell ref="S744:S746"/>
    <mergeCell ref="T744:T746"/>
    <mergeCell ref="U744:U746"/>
    <mergeCell ref="V744:V746"/>
    <mergeCell ref="W744:W746"/>
    <mergeCell ref="X744:X746"/>
    <mergeCell ref="Y744:Y746"/>
    <mergeCell ref="G743:G747"/>
    <mergeCell ref="H748:H752"/>
    <mergeCell ref="I748:I752"/>
    <mergeCell ref="J748:J752"/>
    <mergeCell ref="K748:K752"/>
    <mergeCell ref="L748:L752"/>
    <mergeCell ref="M748:M752"/>
    <mergeCell ref="AF748:AF752"/>
    <mergeCell ref="AG748:AG752"/>
    <mergeCell ref="AH748:AH752"/>
    <mergeCell ref="AI748:AI752"/>
    <mergeCell ref="AJ748:AJ752"/>
    <mergeCell ref="AK748:AK752"/>
    <mergeCell ref="N749:N751"/>
    <mergeCell ref="O749:O751"/>
    <mergeCell ref="P749:P751"/>
    <mergeCell ref="Q749:Q751"/>
    <mergeCell ref="R749:R751"/>
    <mergeCell ref="S749:S751"/>
    <mergeCell ref="T749:T751"/>
    <mergeCell ref="U749:U751"/>
    <mergeCell ref="V749:V751"/>
    <mergeCell ref="W749:W751"/>
    <mergeCell ref="X749:X751"/>
    <mergeCell ref="Y749:Y751"/>
    <mergeCell ref="G748:G752"/>
    <mergeCell ref="H753:H757"/>
    <mergeCell ref="I753:I757"/>
    <mergeCell ref="J753:J757"/>
    <mergeCell ref="K753:K757"/>
    <mergeCell ref="L753:L757"/>
    <mergeCell ref="M753:M757"/>
    <mergeCell ref="AF753:AF757"/>
    <mergeCell ref="AG753:AG757"/>
    <mergeCell ref="AH753:AH757"/>
    <mergeCell ref="AI753:AI757"/>
    <mergeCell ref="AJ753:AJ757"/>
    <mergeCell ref="AK753:AK757"/>
    <mergeCell ref="N754:N756"/>
    <mergeCell ref="O754:O756"/>
    <mergeCell ref="P754:P756"/>
    <mergeCell ref="Q754:Q756"/>
    <mergeCell ref="R754:R756"/>
    <mergeCell ref="S754:S756"/>
    <mergeCell ref="T754:T756"/>
    <mergeCell ref="U754:U756"/>
    <mergeCell ref="V754:V756"/>
    <mergeCell ref="W754:W756"/>
    <mergeCell ref="X754:X756"/>
    <mergeCell ref="Y754:Y756"/>
    <mergeCell ref="G753:G757"/>
    <mergeCell ref="H758:H762"/>
    <mergeCell ref="I758:I762"/>
    <mergeCell ref="J758:J762"/>
    <mergeCell ref="K758:K762"/>
    <mergeCell ref="L758:L762"/>
    <mergeCell ref="M758:M762"/>
    <mergeCell ref="AF758:AF762"/>
    <mergeCell ref="AG758:AG762"/>
    <mergeCell ref="AH758:AH762"/>
    <mergeCell ref="AI758:AI762"/>
    <mergeCell ref="AJ758:AJ762"/>
    <mergeCell ref="AK758:AK762"/>
    <mergeCell ref="N759:N761"/>
    <mergeCell ref="O759:O761"/>
    <mergeCell ref="P759:P761"/>
    <mergeCell ref="Q759:Q761"/>
    <mergeCell ref="R759:R761"/>
    <mergeCell ref="S759:S761"/>
    <mergeCell ref="T759:T761"/>
    <mergeCell ref="U759:U761"/>
    <mergeCell ref="V759:V761"/>
    <mergeCell ref="W759:W761"/>
    <mergeCell ref="X759:X761"/>
    <mergeCell ref="Y759:Y761"/>
    <mergeCell ref="G758:G762"/>
    <mergeCell ref="H763:H767"/>
    <mergeCell ref="I763:I767"/>
    <mergeCell ref="J763:J767"/>
    <mergeCell ref="K763:K767"/>
    <mergeCell ref="L763:L767"/>
    <mergeCell ref="M763:M767"/>
    <mergeCell ref="AF763:AF767"/>
    <mergeCell ref="AG763:AG767"/>
    <mergeCell ref="AH763:AH767"/>
    <mergeCell ref="AI763:AI767"/>
    <mergeCell ref="AJ763:AJ767"/>
    <mergeCell ref="AK763:AK767"/>
    <mergeCell ref="N764:N766"/>
    <mergeCell ref="O764:O766"/>
    <mergeCell ref="P764:P766"/>
    <mergeCell ref="Q764:Q766"/>
    <mergeCell ref="R764:R766"/>
    <mergeCell ref="S764:S766"/>
    <mergeCell ref="T764:T766"/>
    <mergeCell ref="U764:U766"/>
    <mergeCell ref="V764:V766"/>
    <mergeCell ref="W764:W766"/>
    <mergeCell ref="X764:X766"/>
    <mergeCell ref="Y764:Y766"/>
    <mergeCell ref="G763:G767"/>
    <mergeCell ref="H844:H848"/>
    <mergeCell ref="I844:I848"/>
    <mergeCell ref="J844:J848"/>
    <mergeCell ref="K844:K848"/>
    <mergeCell ref="L844:L848"/>
    <mergeCell ref="M844:M848"/>
    <mergeCell ref="AF844:AF848"/>
    <mergeCell ref="AG844:AG848"/>
    <mergeCell ref="AH844:AH848"/>
    <mergeCell ref="AI844:AI848"/>
    <mergeCell ref="AJ844:AJ848"/>
    <mergeCell ref="AK844:AK848"/>
    <mergeCell ref="N845:N847"/>
    <mergeCell ref="O845:O847"/>
    <mergeCell ref="P845:P847"/>
    <mergeCell ref="Q845:Q847"/>
    <mergeCell ref="R845:R847"/>
    <mergeCell ref="S845:S847"/>
    <mergeCell ref="T845:T847"/>
    <mergeCell ref="U845:U847"/>
    <mergeCell ref="V845:V847"/>
    <mergeCell ref="W845:W847"/>
    <mergeCell ref="X845:X847"/>
    <mergeCell ref="Y845:Y847"/>
    <mergeCell ref="G844:G848"/>
    <mergeCell ref="H849:H853"/>
    <mergeCell ref="I849:I853"/>
    <mergeCell ref="J849:J853"/>
    <mergeCell ref="K849:K853"/>
    <mergeCell ref="L849:L853"/>
    <mergeCell ref="M849:M853"/>
    <mergeCell ref="AF849:AF853"/>
    <mergeCell ref="AG849:AG853"/>
    <mergeCell ref="AH849:AH853"/>
    <mergeCell ref="AI849:AI853"/>
    <mergeCell ref="AJ849:AJ853"/>
    <mergeCell ref="AK849:AK853"/>
    <mergeCell ref="N850:N852"/>
    <mergeCell ref="O850:O852"/>
    <mergeCell ref="P850:P852"/>
    <mergeCell ref="Q850:Q852"/>
    <mergeCell ref="R850:R852"/>
    <mergeCell ref="S850:S852"/>
    <mergeCell ref="T850:T852"/>
    <mergeCell ref="U850:U852"/>
    <mergeCell ref="V850:V852"/>
    <mergeCell ref="W850:W852"/>
    <mergeCell ref="X850:X852"/>
    <mergeCell ref="Y850:Y852"/>
    <mergeCell ref="G849:G853"/>
    <mergeCell ref="H854:H858"/>
    <mergeCell ref="I854:I858"/>
    <mergeCell ref="J854:J858"/>
    <mergeCell ref="K854:K858"/>
    <mergeCell ref="L854:L858"/>
    <mergeCell ref="M854:M858"/>
    <mergeCell ref="AF854:AF858"/>
    <mergeCell ref="AG854:AG858"/>
    <mergeCell ref="AH854:AH858"/>
    <mergeCell ref="AI854:AI858"/>
    <mergeCell ref="AJ854:AJ858"/>
    <mergeCell ref="AK854:AK858"/>
    <mergeCell ref="N855:N857"/>
    <mergeCell ref="O855:O857"/>
    <mergeCell ref="P855:P857"/>
    <mergeCell ref="Q855:Q857"/>
    <mergeCell ref="R855:R857"/>
    <mergeCell ref="S855:S857"/>
    <mergeCell ref="T855:T857"/>
    <mergeCell ref="U855:U857"/>
    <mergeCell ref="V855:V857"/>
    <mergeCell ref="W855:W857"/>
    <mergeCell ref="X855:X857"/>
    <mergeCell ref="Y855:Y857"/>
    <mergeCell ref="G854:G858"/>
    <mergeCell ref="H859:H864"/>
    <mergeCell ref="I859:I864"/>
    <mergeCell ref="J859:J864"/>
    <mergeCell ref="K859:K864"/>
    <mergeCell ref="L859:L864"/>
    <mergeCell ref="M859:M864"/>
    <mergeCell ref="AF859:AF864"/>
    <mergeCell ref="AG859:AG864"/>
    <mergeCell ref="AH859:AH864"/>
    <mergeCell ref="AI859:AI864"/>
    <mergeCell ref="AJ859:AJ864"/>
    <mergeCell ref="AK859:AK864"/>
    <mergeCell ref="N860:N863"/>
    <mergeCell ref="O860:O863"/>
    <mergeCell ref="P860:P863"/>
    <mergeCell ref="Q860:Q863"/>
    <mergeCell ref="R860:R863"/>
    <mergeCell ref="S860:S863"/>
    <mergeCell ref="T860:T863"/>
    <mergeCell ref="U860:U863"/>
    <mergeCell ref="V860:V863"/>
    <mergeCell ref="W860:W863"/>
    <mergeCell ref="X860:X863"/>
    <mergeCell ref="Y860:Y863"/>
    <mergeCell ref="G859:G864"/>
    <mergeCell ref="H865:H869"/>
    <mergeCell ref="I865:I869"/>
    <mergeCell ref="J865:J869"/>
    <mergeCell ref="K865:K869"/>
    <mergeCell ref="L865:L869"/>
    <mergeCell ref="M865:M869"/>
    <mergeCell ref="AF865:AF869"/>
    <mergeCell ref="AG865:AG869"/>
    <mergeCell ref="AH865:AH869"/>
    <mergeCell ref="AI865:AI869"/>
    <mergeCell ref="AJ865:AJ869"/>
    <mergeCell ref="AK865:AK869"/>
    <mergeCell ref="N866:N868"/>
    <mergeCell ref="O866:O868"/>
    <mergeCell ref="P866:P868"/>
    <mergeCell ref="Q866:Q868"/>
    <mergeCell ref="R866:R868"/>
    <mergeCell ref="S866:S868"/>
    <mergeCell ref="T866:T868"/>
    <mergeCell ref="U866:U868"/>
    <mergeCell ref="V866:V868"/>
    <mergeCell ref="W866:W868"/>
    <mergeCell ref="X866:X868"/>
    <mergeCell ref="Y866:Y868"/>
    <mergeCell ref="G865:G869"/>
    <mergeCell ref="H870:H874"/>
    <mergeCell ref="I870:I874"/>
    <mergeCell ref="J870:J874"/>
    <mergeCell ref="K870:K874"/>
    <mergeCell ref="L870:L874"/>
    <mergeCell ref="M870:M874"/>
    <mergeCell ref="AF870:AF874"/>
    <mergeCell ref="AG870:AG874"/>
    <mergeCell ref="AH870:AH874"/>
    <mergeCell ref="AI870:AI874"/>
    <mergeCell ref="AJ870:AJ874"/>
    <mergeCell ref="AK870:AK874"/>
    <mergeCell ref="N871:N873"/>
    <mergeCell ref="O871:O873"/>
    <mergeCell ref="P871:P873"/>
    <mergeCell ref="Q871:Q873"/>
    <mergeCell ref="R871:R873"/>
    <mergeCell ref="S871:S873"/>
    <mergeCell ref="T871:T873"/>
    <mergeCell ref="U871:U873"/>
    <mergeCell ref="V871:V873"/>
    <mergeCell ref="W871:W873"/>
    <mergeCell ref="X871:X873"/>
    <mergeCell ref="Y871:Y873"/>
    <mergeCell ref="G870:G874"/>
    <mergeCell ref="H875:H879"/>
    <mergeCell ref="I875:I879"/>
    <mergeCell ref="J875:J879"/>
    <mergeCell ref="K875:K879"/>
    <mergeCell ref="L875:L879"/>
    <mergeCell ref="M875:M879"/>
    <mergeCell ref="AF875:AF879"/>
    <mergeCell ref="AG875:AG879"/>
    <mergeCell ref="AH875:AH879"/>
    <mergeCell ref="AI875:AI879"/>
    <mergeCell ref="AJ875:AJ879"/>
    <mergeCell ref="AK875:AK879"/>
    <mergeCell ref="N876:N878"/>
    <mergeCell ref="O876:O878"/>
    <mergeCell ref="P876:P878"/>
    <mergeCell ref="Q876:Q878"/>
    <mergeCell ref="R876:R878"/>
    <mergeCell ref="S876:S878"/>
    <mergeCell ref="T876:T878"/>
    <mergeCell ref="U876:U878"/>
    <mergeCell ref="V876:V878"/>
    <mergeCell ref="W876:W878"/>
    <mergeCell ref="X876:X878"/>
    <mergeCell ref="Y876:Y878"/>
    <mergeCell ref="G875:G879"/>
    <mergeCell ref="H880:H884"/>
    <mergeCell ref="I880:I884"/>
    <mergeCell ref="J880:J884"/>
    <mergeCell ref="K880:K884"/>
    <mergeCell ref="L880:L884"/>
    <mergeCell ref="M880:M884"/>
    <mergeCell ref="AF880:AF884"/>
    <mergeCell ref="AG880:AG884"/>
    <mergeCell ref="AH880:AH884"/>
    <mergeCell ref="AI880:AI884"/>
    <mergeCell ref="AJ880:AJ884"/>
    <mergeCell ref="AK880:AK884"/>
    <mergeCell ref="N881:N883"/>
    <mergeCell ref="O881:O883"/>
    <mergeCell ref="P881:P883"/>
    <mergeCell ref="Q881:Q883"/>
    <mergeCell ref="R881:R883"/>
    <mergeCell ref="S881:S883"/>
    <mergeCell ref="T881:T883"/>
    <mergeCell ref="U881:U883"/>
    <mergeCell ref="V881:V883"/>
    <mergeCell ref="W881:W883"/>
    <mergeCell ref="X881:X883"/>
    <mergeCell ref="Y881:Y883"/>
    <mergeCell ref="G880:G884"/>
    <mergeCell ref="H885:H889"/>
    <mergeCell ref="I885:I889"/>
    <mergeCell ref="J885:J889"/>
    <mergeCell ref="K885:K889"/>
    <mergeCell ref="L885:L889"/>
    <mergeCell ref="M885:M889"/>
    <mergeCell ref="AF885:AF889"/>
    <mergeCell ref="AG885:AG889"/>
    <mergeCell ref="AH885:AH889"/>
    <mergeCell ref="AI885:AI889"/>
    <mergeCell ref="AJ885:AJ889"/>
    <mergeCell ref="AK885:AK889"/>
    <mergeCell ref="N886:N888"/>
    <mergeCell ref="O886:O888"/>
    <mergeCell ref="P886:P888"/>
    <mergeCell ref="Q886:Q888"/>
    <mergeCell ref="R886:R888"/>
    <mergeCell ref="S886:S888"/>
    <mergeCell ref="T886:T888"/>
    <mergeCell ref="U886:U888"/>
    <mergeCell ref="V886:V888"/>
    <mergeCell ref="W886:W888"/>
    <mergeCell ref="X886:X888"/>
    <mergeCell ref="Y886:Y888"/>
    <mergeCell ref="G885:G889"/>
    <mergeCell ref="H890:H894"/>
    <mergeCell ref="I890:I894"/>
    <mergeCell ref="J890:J894"/>
    <mergeCell ref="K890:K894"/>
    <mergeCell ref="L890:L894"/>
    <mergeCell ref="M890:M894"/>
    <mergeCell ref="AF890:AF894"/>
    <mergeCell ref="AG890:AG894"/>
    <mergeCell ref="AH890:AH894"/>
    <mergeCell ref="AI890:AI894"/>
    <mergeCell ref="AJ890:AJ894"/>
    <mergeCell ref="AK890:AK894"/>
    <mergeCell ref="N891:N893"/>
    <mergeCell ref="O891:O893"/>
    <mergeCell ref="P891:P893"/>
    <mergeCell ref="Q891:Q893"/>
    <mergeCell ref="R891:R893"/>
    <mergeCell ref="S891:S893"/>
    <mergeCell ref="T891:T893"/>
    <mergeCell ref="U891:U893"/>
    <mergeCell ref="V891:V893"/>
    <mergeCell ref="W891:W893"/>
    <mergeCell ref="X891:X893"/>
    <mergeCell ref="Y891:Y893"/>
    <mergeCell ref="G890:G894"/>
    <mergeCell ref="H895:H899"/>
    <mergeCell ref="I895:I899"/>
    <mergeCell ref="J895:J899"/>
    <mergeCell ref="K895:K899"/>
    <mergeCell ref="L895:L899"/>
    <mergeCell ref="M895:M899"/>
    <mergeCell ref="AF895:AF899"/>
    <mergeCell ref="AG895:AG899"/>
    <mergeCell ref="AH895:AH899"/>
    <mergeCell ref="AI895:AI899"/>
    <mergeCell ref="AJ895:AJ899"/>
    <mergeCell ref="AK895:AK899"/>
    <mergeCell ref="N896:N898"/>
    <mergeCell ref="O896:O898"/>
    <mergeCell ref="P896:P898"/>
    <mergeCell ref="Q896:Q898"/>
    <mergeCell ref="R896:R898"/>
    <mergeCell ref="S896:S898"/>
    <mergeCell ref="T896:T898"/>
    <mergeCell ref="U896:U898"/>
    <mergeCell ref="V896:V898"/>
    <mergeCell ref="W896:W898"/>
    <mergeCell ref="X896:X898"/>
    <mergeCell ref="Y896:Y898"/>
    <mergeCell ref="G895:G899"/>
    <mergeCell ref="H900:H904"/>
    <mergeCell ref="I900:I904"/>
    <mergeCell ref="J900:J904"/>
    <mergeCell ref="K900:K904"/>
    <mergeCell ref="L900:L904"/>
    <mergeCell ref="M900:M904"/>
    <mergeCell ref="AF900:AF904"/>
    <mergeCell ref="AG900:AG904"/>
    <mergeCell ref="AH900:AH904"/>
    <mergeCell ref="AI900:AI904"/>
    <mergeCell ref="AJ900:AJ904"/>
    <mergeCell ref="AK900:AK904"/>
    <mergeCell ref="N901:N903"/>
    <mergeCell ref="O901:O903"/>
    <mergeCell ref="P901:P903"/>
    <mergeCell ref="Q901:Q903"/>
    <mergeCell ref="R901:R903"/>
    <mergeCell ref="S901:S903"/>
    <mergeCell ref="T901:T903"/>
    <mergeCell ref="U901:U903"/>
    <mergeCell ref="V901:V903"/>
    <mergeCell ref="W901:W903"/>
    <mergeCell ref="X901:X903"/>
    <mergeCell ref="Y901:Y903"/>
    <mergeCell ref="G900:G904"/>
    <mergeCell ref="H905:H909"/>
    <mergeCell ref="I905:I909"/>
    <mergeCell ref="J905:J909"/>
    <mergeCell ref="K905:K909"/>
    <mergeCell ref="L905:L909"/>
    <mergeCell ref="M905:M909"/>
    <mergeCell ref="AF905:AF909"/>
    <mergeCell ref="AG905:AG909"/>
    <mergeCell ref="AH905:AH909"/>
    <mergeCell ref="AI905:AI909"/>
    <mergeCell ref="AJ905:AJ909"/>
    <mergeCell ref="AK905:AK909"/>
    <mergeCell ref="N906:N908"/>
    <mergeCell ref="O906:O908"/>
    <mergeCell ref="P906:P908"/>
    <mergeCell ref="Q906:Q908"/>
    <mergeCell ref="R906:R908"/>
    <mergeCell ref="S906:S908"/>
    <mergeCell ref="T906:T908"/>
    <mergeCell ref="U906:U908"/>
    <mergeCell ref="V906:V908"/>
    <mergeCell ref="W906:W908"/>
    <mergeCell ref="X906:X908"/>
    <mergeCell ref="Y906:Y908"/>
    <mergeCell ref="G905:G909"/>
    <mergeCell ref="H910:H914"/>
    <mergeCell ref="I910:I914"/>
    <mergeCell ref="J910:J914"/>
    <mergeCell ref="K910:K914"/>
    <mergeCell ref="L910:L914"/>
    <mergeCell ref="M910:M914"/>
    <mergeCell ref="AF910:AF914"/>
    <mergeCell ref="AG910:AG914"/>
    <mergeCell ref="AH910:AH914"/>
    <mergeCell ref="AI910:AI914"/>
    <mergeCell ref="AJ910:AJ914"/>
    <mergeCell ref="AK910:AK914"/>
    <mergeCell ref="N911:N913"/>
    <mergeCell ref="O911:O913"/>
    <mergeCell ref="P911:P913"/>
    <mergeCell ref="Q911:Q913"/>
    <mergeCell ref="R911:R913"/>
    <mergeCell ref="S911:S913"/>
    <mergeCell ref="T911:T913"/>
    <mergeCell ref="U911:U913"/>
    <mergeCell ref="V911:V913"/>
    <mergeCell ref="W911:W913"/>
    <mergeCell ref="X911:X913"/>
    <mergeCell ref="Y911:Y913"/>
    <mergeCell ref="G910:G914"/>
    <mergeCell ref="H915:H919"/>
    <mergeCell ref="I915:I919"/>
    <mergeCell ref="J915:J919"/>
    <mergeCell ref="K915:K919"/>
    <mergeCell ref="L915:L919"/>
    <mergeCell ref="M915:M919"/>
    <mergeCell ref="AF915:AF919"/>
    <mergeCell ref="AG915:AG919"/>
    <mergeCell ref="AH915:AH919"/>
    <mergeCell ref="AI915:AI919"/>
    <mergeCell ref="AJ915:AJ919"/>
    <mergeCell ref="AK915:AK919"/>
    <mergeCell ref="N916:N918"/>
    <mergeCell ref="O916:O918"/>
    <mergeCell ref="P916:P918"/>
    <mergeCell ref="Q916:Q918"/>
    <mergeCell ref="R916:R918"/>
    <mergeCell ref="S916:S918"/>
    <mergeCell ref="T916:T918"/>
    <mergeCell ref="U916:U918"/>
    <mergeCell ref="V916:V918"/>
    <mergeCell ref="W916:W918"/>
    <mergeCell ref="X916:X918"/>
    <mergeCell ref="Y916:Y918"/>
    <mergeCell ref="G915:G919"/>
    <mergeCell ref="H920:H924"/>
    <mergeCell ref="I920:I924"/>
    <mergeCell ref="J920:J924"/>
    <mergeCell ref="K920:K924"/>
    <mergeCell ref="L920:L924"/>
    <mergeCell ref="M920:M924"/>
    <mergeCell ref="AF920:AF924"/>
    <mergeCell ref="AG920:AG924"/>
    <mergeCell ref="AH920:AH924"/>
    <mergeCell ref="AI920:AI924"/>
    <mergeCell ref="AJ920:AJ924"/>
    <mergeCell ref="AK920:AK924"/>
    <mergeCell ref="N921:N923"/>
    <mergeCell ref="O921:O923"/>
    <mergeCell ref="P921:P923"/>
    <mergeCell ref="Q921:Q923"/>
    <mergeCell ref="R921:R923"/>
    <mergeCell ref="S921:S923"/>
    <mergeCell ref="T921:T923"/>
    <mergeCell ref="U921:U923"/>
    <mergeCell ref="V921:V923"/>
    <mergeCell ref="W921:W923"/>
    <mergeCell ref="X921:X923"/>
    <mergeCell ref="Y921:Y923"/>
    <mergeCell ref="G920:G924"/>
    <mergeCell ref="H925:H929"/>
    <mergeCell ref="I925:I929"/>
    <mergeCell ref="J925:J929"/>
    <mergeCell ref="K925:K929"/>
    <mergeCell ref="L925:L929"/>
    <mergeCell ref="M925:M929"/>
    <mergeCell ref="AF925:AF929"/>
    <mergeCell ref="AG925:AG929"/>
    <mergeCell ref="AH925:AH929"/>
    <mergeCell ref="AI925:AI929"/>
    <mergeCell ref="AJ925:AJ929"/>
    <mergeCell ref="AK925:AK929"/>
    <mergeCell ref="N926:N928"/>
    <mergeCell ref="O926:O928"/>
    <mergeCell ref="P926:P928"/>
    <mergeCell ref="Q926:Q928"/>
    <mergeCell ref="R926:R928"/>
    <mergeCell ref="S926:S928"/>
    <mergeCell ref="T926:T928"/>
    <mergeCell ref="U926:U928"/>
    <mergeCell ref="V926:V928"/>
    <mergeCell ref="W926:W928"/>
    <mergeCell ref="X926:X928"/>
    <mergeCell ref="Y926:Y928"/>
    <mergeCell ref="G925:G929"/>
    <mergeCell ref="H930:H934"/>
    <mergeCell ref="I930:I934"/>
    <mergeCell ref="J930:J934"/>
    <mergeCell ref="K930:K934"/>
    <mergeCell ref="L930:L934"/>
    <mergeCell ref="M930:M934"/>
    <mergeCell ref="AF930:AF934"/>
    <mergeCell ref="AG930:AG934"/>
    <mergeCell ref="AH930:AH934"/>
    <mergeCell ref="AI930:AI934"/>
    <mergeCell ref="AJ930:AJ934"/>
    <mergeCell ref="AK930:AK934"/>
    <mergeCell ref="N931:N933"/>
    <mergeCell ref="O931:O933"/>
    <mergeCell ref="P931:P933"/>
    <mergeCell ref="Q931:Q933"/>
    <mergeCell ref="R931:R933"/>
    <mergeCell ref="S931:S933"/>
    <mergeCell ref="T931:T933"/>
    <mergeCell ref="U931:U933"/>
    <mergeCell ref="V931:V933"/>
    <mergeCell ref="W931:W933"/>
    <mergeCell ref="X931:X933"/>
    <mergeCell ref="Y931:Y933"/>
    <mergeCell ref="G930:G934"/>
    <mergeCell ref="H935:H939"/>
    <mergeCell ref="I935:I939"/>
    <mergeCell ref="J935:J939"/>
    <mergeCell ref="K935:K939"/>
    <mergeCell ref="L935:L939"/>
    <mergeCell ref="M935:M939"/>
    <mergeCell ref="AF935:AF939"/>
    <mergeCell ref="AG935:AG939"/>
    <mergeCell ref="AH935:AH939"/>
    <mergeCell ref="AI935:AI939"/>
    <mergeCell ref="AJ935:AJ939"/>
    <mergeCell ref="AK935:AK939"/>
    <mergeCell ref="N936:N938"/>
    <mergeCell ref="O936:O938"/>
    <mergeCell ref="P936:P938"/>
    <mergeCell ref="Q936:Q938"/>
    <mergeCell ref="R936:R938"/>
    <mergeCell ref="S936:S938"/>
    <mergeCell ref="T936:T938"/>
    <mergeCell ref="U936:U938"/>
    <mergeCell ref="V936:V938"/>
    <mergeCell ref="W936:W938"/>
    <mergeCell ref="X936:X938"/>
    <mergeCell ref="Y936:Y938"/>
    <mergeCell ref="G935:G939"/>
    <mergeCell ref="H940:H944"/>
    <mergeCell ref="I940:I944"/>
    <mergeCell ref="J940:J944"/>
    <mergeCell ref="K940:K944"/>
    <mergeCell ref="L940:L944"/>
    <mergeCell ref="M940:M944"/>
    <mergeCell ref="AF940:AF944"/>
    <mergeCell ref="AG940:AG944"/>
    <mergeCell ref="AH940:AH944"/>
    <mergeCell ref="AI940:AI944"/>
    <mergeCell ref="AJ940:AJ944"/>
    <mergeCell ref="AK940:AK944"/>
    <mergeCell ref="N941:N943"/>
    <mergeCell ref="O941:O943"/>
    <mergeCell ref="P941:P943"/>
    <mergeCell ref="Q941:Q943"/>
    <mergeCell ref="R941:R943"/>
    <mergeCell ref="S941:S943"/>
    <mergeCell ref="T941:T943"/>
    <mergeCell ref="U941:U943"/>
    <mergeCell ref="V941:V943"/>
    <mergeCell ref="W941:W943"/>
    <mergeCell ref="X941:X943"/>
    <mergeCell ref="Y941:Y943"/>
    <mergeCell ref="G940:G944"/>
    <mergeCell ref="H945:H949"/>
    <mergeCell ref="I945:I949"/>
    <mergeCell ref="J945:J949"/>
    <mergeCell ref="K945:K949"/>
    <mergeCell ref="L945:L949"/>
    <mergeCell ref="M945:M949"/>
    <mergeCell ref="AF945:AF949"/>
    <mergeCell ref="AG945:AG949"/>
    <mergeCell ref="AH945:AH949"/>
    <mergeCell ref="AI945:AI949"/>
    <mergeCell ref="AJ945:AJ949"/>
    <mergeCell ref="AK945:AK949"/>
    <mergeCell ref="N946:N948"/>
    <mergeCell ref="O946:O948"/>
    <mergeCell ref="P946:P948"/>
    <mergeCell ref="Q946:Q948"/>
    <mergeCell ref="R946:R948"/>
    <mergeCell ref="S946:S948"/>
    <mergeCell ref="T946:T948"/>
    <mergeCell ref="U946:U948"/>
    <mergeCell ref="V946:V948"/>
    <mergeCell ref="W946:W948"/>
    <mergeCell ref="X946:X948"/>
    <mergeCell ref="Y946:Y948"/>
    <mergeCell ref="G945:G949"/>
    <mergeCell ref="H950:H954"/>
    <mergeCell ref="I950:I954"/>
    <mergeCell ref="J950:J954"/>
    <mergeCell ref="K950:K954"/>
    <mergeCell ref="L950:L954"/>
    <mergeCell ref="M950:M954"/>
    <mergeCell ref="AF950:AF954"/>
    <mergeCell ref="AG950:AG954"/>
    <mergeCell ref="AH950:AH954"/>
    <mergeCell ref="AI950:AI954"/>
    <mergeCell ref="AJ950:AJ954"/>
    <mergeCell ref="AK950:AK954"/>
    <mergeCell ref="N951:N953"/>
    <mergeCell ref="O951:O953"/>
    <mergeCell ref="P951:P953"/>
    <mergeCell ref="Q951:Q953"/>
    <mergeCell ref="R951:R953"/>
    <mergeCell ref="S951:S953"/>
    <mergeCell ref="T951:T953"/>
    <mergeCell ref="U951:U953"/>
    <mergeCell ref="V951:V953"/>
    <mergeCell ref="W951:W953"/>
    <mergeCell ref="X951:X953"/>
    <mergeCell ref="Y951:Y953"/>
    <mergeCell ref="G950:G954"/>
    <mergeCell ref="H955:H959"/>
    <mergeCell ref="I955:I959"/>
    <mergeCell ref="J955:J959"/>
    <mergeCell ref="K955:K959"/>
    <mergeCell ref="L955:L959"/>
    <mergeCell ref="M955:M959"/>
    <mergeCell ref="AF955:AF959"/>
    <mergeCell ref="AG955:AG959"/>
    <mergeCell ref="AH955:AH959"/>
    <mergeCell ref="AI955:AI959"/>
    <mergeCell ref="AJ955:AJ959"/>
    <mergeCell ref="AK955:AK959"/>
    <mergeCell ref="N956:N958"/>
    <mergeCell ref="O956:O958"/>
    <mergeCell ref="P956:P958"/>
    <mergeCell ref="Q956:Q958"/>
    <mergeCell ref="R956:R958"/>
    <mergeCell ref="S956:S958"/>
    <mergeCell ref="T956:T958"/>
    <mergeCell ref="U956:U958"/>
    <mergeCell ref="V956:V958"/>
    <mergeCell ref="W956:W958"/>
    <mergeCell ref="X956:X958"/>
    <mergeCell ref="Y956:Y958"/>
    <mergeCell ref="G955:G959"/>
    <mergeCell ref="H960:H964"/>
    <mergeCell ref="I960:I964"/>
    <mergeCell ref="J960:J964"/>
    <mergeCell ref="K960:K964"/>
    <mergeCell ref="L960:L964"/>
    <mergeCell ref="M960:M964"/>
    <mergeCell ref="AF960:AF964"/>
    <mergeCell ref="AG960:AG964"/>
    <mergeCell ref="AH960:AH964"/>
    <mergeCell ref="AI960:AI964"/>
    <mergeCell ref="AJ960:AJ964"/>
    <mergeCell ref="AK960:AK964"/>
    <mergeCell ref="N961:N963"/>
    <mergeCell ref="O961:O963"/>
    <mergeCell ref="P961:P963"/>
    <mergeCell ref="Q961:Q963"/>
    <mergeCell ref="R961:R963"/>
    <mergeCell ref="S961:S963"/>
    <mergeCell ref="T961:T963"/>
    <mergeCell ref="U961:U963"/>
    <mergeCell ref="V961:V963"/>
    <mergeCell ref="W961:W963"/>
    <mergeCell ref="X961:X963"/>
    <mergeCell ref="Y961:Y963"/>
    <mergeCell ref="G960:G964"/>
    <mergeCell ref="H965:H969"/>
    <mergeCell ref="I965:I969"/>
    <mergeCell ref="J965:J969"/>
    <mergeCell ref="K965:K969"/>
    <mergeCell ref="L965:L969"/>
    <mergeCell ref="M965:M969"/>
    <mergeCell ref="AF965:AF969"/>
    <mergeCell ref="AG965:AG969"/>
    <mergeCell ref="AH965:AH969"/>
    <mergeCell ref="AI965:AI969"/>
    <mergeCell ref="AJ965:AJ969"/>
    <mergeCell ref="AK965:AK969"/>
    <mergeCell ref="N966:N968"/>
    <mergeCell ref="O966:O968"/>
    <mergeCell ref="P966:P968"/>
    <mergeCell ref="Q966:Q968"/>
    <mergeCell ref="R966:R968"/>
    <mergeCell ref="S966:S968"/>
    <mergeCell ref="T966:T968"/>
    <mergeCell ref="U966:U968"/>
    <mergeCell ref="V966:V968"/>
    <mergeCell ref="W966:W968"/>
    <mergeCell ref="X966:X968"/>
    <mergeCell ref="Y966:Y968"/>
    <mergeCell ref="G965:G969"/>
    <mergeCell ref="H970:H974"/>
    <mergeCell ref="I970:I974"/>
    <mergeCell ref="J970:J974"/>
    <mergeCell ref="K970:K974"/>
    <mergeCell ref="L970:L974"/>
    <mergeCell ref="M970:M974"/>
    <mergeCell ref="AF970:AF974"/>
    <mergeCell ref="AG970:AG974"/>
    <mergeCell ref="AH970:AH974"/>
    <mergeCell ref="AI970:AI974"/>
    <mergeCell ref="AJ970:AJ974"/>
    <mergeCell ref="AK970:AK974"/>
    <mergeCell ref="N971:N973"/>
    <mergeCell ref="O971:O973"/>
    <mergeCell ref="P971:P973"/>
    <mergeCell ref="Q971:Q973"/>
    <mergeCell ref="R971:R973"/>
    <mergeCell ref="S971:S973"/>
    <mergeCell ref="T971:T973"/>
    <mergeCell ref="U971:U973"/>
    <mergeCell ref="V971:V973"/>
    <mergeCell ref="W971:W973"/>
    <mergeCell ref="X971:X973"/>
    <mergeCell ref="Y971:Y973"/>
    <mergeCell ref="G970:G974"/>
    <mergeCell ref="H986:H990"/>
    <mergeCell ref="I986:I990"/>
    <mergeCell ref="J986:J990"/>
    <mergeCell ref="K986:K990"/>
    <mergeCell ref="L986:L990"/>
    <mergeCell ref="M986:M990"/>
    <mergeCell ref="AF986:AF990"/>
    <mergeCell ref="AG986:AG990"/>
    <mergeCell ref="AH986:AH990"/>
    <mergeCell ref="AI986:AI990"/>
    <mergeCell ref="AJ986:AJ990"/>
    <mergeCell ref="AK986:AK990"/>
    <mergeCell ref="N987:N989"/>
    <mergeCell ref="O987:O989"/>
    <mergeCell ref="P987:P989"/>
    <mergeCell ref="Q987:Q989"/>
    <mergeCell ref="R987:R989"/>
    <mergeCell ref="S987:S989"/>
    <mergeCell ref="T987:T989"/>
    <mergeCell ref="U987:U989"/>
    <mergeCell ref="V987:V989"/>
    <mergeCell ref="W987:W989"/>
    <mergeCell ref="X987:X989"/>
    <mergeCell ref="Y987:Y989"/>
    <mergeCell ref="G986:G990"/>
    <mergeCell ref="H991:H995"/>
    <mergeCell ref="I991:I995"/>
    <mergeCell ref="J991:J995"/>
    <mergeCell ref="K991:K995"/>
    <mergeCell ref="L991:L995"/>
    <mergeCell ref="M991:M995"/>
    <mergeCell ref="AF991:AF995"/>
    <mergeCell ref="AG991:AG995"/>
    <mergeCell ref="AH991:AH995"/>
    <mergeCell ref="AI991:AI995"/>
    <mergeCell ref="AJ991:AJ995"/>
    <mergeCell ref="AK991:AK995"/>
    <mergeCell ref="N992:N994"/>
    <mergeCell ref="O992:O994"/>
    <mergeCell ref="P992:P994"/>
    <mergeCell ref="Q992:Q994"/>
    <mergeCell ref="R992:R994"/>
    <mergeCell ref="S992:S994"/>
    <mergeCell ref="T992:T994"/>
    <mergeCell ref="U992:U994"/>
    <mergeCell ref="V992:V994"/>
    <mergeCell ref="W992:W994"/>
    <mergeCell ref="X992:X994"/>
    <mergeCell ref="Y992:Y994"/>
    <mergeCell ref="G991:G995"/>
    <mergeCell ref="H996:H1000"/>
    <mergeCell ref="I996:I1000"/>
    <mergeCell ref="J996:J1000"/>
    <mergeCell ref="K996:K1000"/>
    <mergeCell ref="L996:L1000"/>
    <mergeCell ref="M996:M1000"/>
    <mergeCell ref="AF996:AF1000"/>
    <mergeCell ref="AG996:AG1000"/>
    <mergeCell ref="AH996:AH1000"/>
    <mergeCell ref="AI996:AI1000"/>
    <mergeCell ref="AJ996:AJ1000"/>
    <mergeCell ref="AK996:AK1000"/>
    <mergeCell ref="N997:N999"/>
    <mergeCell ref="O997:O999"/>
    <mergeCell ref="P997:P999"/>
    <mergeCell ref="Q997:Q999"/>
    <mergeCell ref="R997:R999"/>
    <mergeCell ref="S997:S999"/>
    <mergeCell ref="T997:T999"/>
    <mergeCell ref="U997:U999"/>
    <mergeCell ref="V997:V999"/>
    <mergeCell ref="W997:W999"/>
    <mergeCell ref="X997:X999"/>
    <mergeCell ref="Y997:Y999"/>
    <mergeCell ref="G996:G1000"/>
    <mergeCell ref="H1001:H1005"/>
    <mergeCell ref="I1001:I1005"/>
    <mergeCell ref="J1001:J1005"/>
    <mergeCell ref="K1001:K1005"/>
    <mergeCell ref="L1001:L1005"/>
    <mergeCell ref="M1001:M1005"/>
    <mergeCell ref="AF1001:AF1005"/>
    <mergeCell ref="AG1001:AG1005"/>
    <mergeCell ref="AH1001:AH1005"/>
    <mergeCell ref="AI1001:AI1005"/>
    <mergeCell ref="AJ1001:AJ1005"/>
    <mergeCell ref="AK1001:AK1005"/>
    <mergeCell ref="N1002:N1004"/>
    <mergeCell ref="O1002:O1004"/>
    <mergeCell ref="P1002:P1004"/>
    <mergeCell ref="Q1002:Q1004"/>
    <mergeCell ref="R1002:R1004"/>
    <mergeCell ref="S1002:S1004"/>
    <mergeCell ref="T1002:T1004"/>
    <mergeCell ref="U1002:U1004"/>
    <mergeCell ref="V1002:V1004"/>
    <mergeCell ref="W1002:W1004"/>
    <mergeCell ref="X1002:X1004"/>
    <mergeCell ref="Y1002:Y1004"/>
    <mergeCell ref="G1001:G1005"/>
    <mergeCell ref="H1006:H1010"/>
    <mergeCell ref="I1006:I1010"/>
    <mergeCell ref="J1006:J1010"/>
    <mergeCell ref="K1006:K1010"/>
    <mergeCell ref="L1006:L1010"/>
    <mergeCell ref="M1006:M1010"/>
    <mergeCell ref="AF1006:AF1010"/>
    <mergeCell ref="AG1006:AG1010"/>
    <mergeCell ref="AH1006:AH1010"/>
    <mergeCell ref="AI1006:AI1010"/>
    <mergeCell ref="AJ1006:AJ1010"/>
    <mergeCell ref="AK1006:AK1010"/>
    <mergeCell ref="N1007:N1009"/>
    <mergeCell ref="O1007:O1009"/>
    <mergeCell ref="P1007:P1009"/>
    <mergeCell ref="Q1007:Q1009"/>
    <mergeCell ref="R1007:R1009"/>
    <mergeCell ref="S1007:S1009"/>
    <mergeCell ref="T1007:T1009"/>
    <mergeCell ref="U1007:U1009"/>
    <mergeCell ref="V1007:V1009"/>
    <mergeCell ref="W1007:W1009"/>
    <mergeCell ref="X1007:X1009"/>
    <mergeCell ref="Y1007:Y1009"/>
    <mergeCell ref="G1006:G1010"/>
    <mergeCell ref="H1011:H1015"/>
    <mergeCell ref="I1011:I1015"/>
    <mergeCell ref="J1011:J1015"/>
    <mergeCell ref="K1011:K1015"/>
    <mergeCell ref="L1011:L1015"/>
    <mergeCell ref="M1011:M1015"/>
    <mergeCell ref="AF1011:AF1015"/>
    <mergeCell ref="AG1011:AG1015"/>
    <mergeCell ref="AH1011:AH1015"/>
    <mergeCell ref="AI1011:AI1015"/>
    <mergeCell ref="AJ1011:AJ1015"/>
    <mergeCell ref="AK1011:AK1015"/>
    <mergeCell ref="N1012:N1014"/>
    <mergeCell ref="O1012:O1014"/>
    <mergeCell ref="P1012:P1014"/>
    <mergeCell ref="Q1012:Q1014"/>
    <mergeCell ref="R1012:R1014"/>
    <mergeCell ref="S1012:S1014"/>
    <mergeCell ref="T1012:T1014"/>
    <mergeCell ref="U1012:U1014"/>
    <mergeCell ref="V1012:V1014"/>
    <mergeCell ref="W1012:W1014"/>
    <mergeCell ref="X1012:X1014"/>
    <mergeCell ref="Y1012:Y1014"/>
    <mergeCell ref="G1011:G1015"/>
    <mergeCell ref="H1016:H1021"/>
    <mergeCell ref="I1016:I1021"/>
    <mergeCell ref="J1016:J1021"/>
    <mergeCell ref="K1016:K1021"/>
    <mergeCell ref="L1016:L1021"/>
    <mergeCell ref="M1016:M1021"/>
    <mergeCell ref="AF1016:AF1021"/>
    <mergeCell ref="AG1016:AG1021"/>
    <mergeCell ref="AH1016:AH1021"/>
    <mergeCell ref="AI1016:AI1021"/>
    <mergeCell ref="AJ1016:AJ1021"/>
    <mergeCell ref="AK1016:AK1021"/>
    <mergeCell ref="N1017:N1020"/>
    <mergeCell ref="O1017:O1020"/>
    <mergeCell ref="P1017:P1020"/>
    <mergeCell ref="Q1017:Q1020"/>
    <mergeCell ref="R1017:R1020"/>
    <mergeCell ref="S1017:S1020"/>
    <mergeCell ref="T1017:T1020"/>
    <mergeCell ref="U1017:U1020"/>
    <mergeCell ref="V1017:V1020"/>
    <mergeCell ref="W1017:W1020"/>
    <mergeCell ref="X1017:X1020"/>
    <mergeCell ref="Y1017:Y1020"/>
    <mergeCell ref="G1016:G1021"/>
    <mergeCell ref="H1022:H1026"/>
    <mergeCell ref="I1022:I1026"/>
    <mergeCell ref="J1022:J1026"/>
    <mergeCell ref="K1022:K1026"/>
    <mergeCell ref="L1022:L1026"/>
    <mergeCell ref="M1022:M1026"/>
    <mergeCell ref="AF1022:AF1026"/>
    <mergeCell ref="AG1022:AG1026"/>
    <mergeCell ref="AH1022:AH1026"/>
    <mergeCell ref="AI1022:AI1026"/>
    <mergeCell ref="AJ1022:AJ1026"/>
    <mergeCell ref="AK1022:AK1026"/>
    <mergeCell ref="N1023:N1025"/>
    <mergeCell ref="O1023:O1025"/>
    <mergeCell ref="P1023:P1025"/>
    <mergeCell ref="Q1023:Q1025"/>
    <mergeCell ref="R1023:R1025"/>
    <mergeCell ref="S1023:S1025"/>
    <mergeCell ref="T1023:T1025"/>
    <mergeCell ref="U1023:U1025"/>
    <mergeCell ref="V1023:V1025"/>
    <mergeCell ref="W1023:W1025"/>
    <mergeCell ref="X1023:X1025"/>
    <mergeCell ref="Y1023:Y1025"/>
    <mergeCell ref="G1022:G1026"/>
    <mergeCell ref="H1027:H1031"/>
    <mergeCell ref="I1027:I1031"/>
    <mergeCell ref="J1027:J1031"/>
    <mergeCell ref="K1027:K1031"/>
    <mergeCell ref="L1027:L1031"/>
    <mergeCell ref="M1027:M1031"/>
    <mergeCell ref="AF1027:AF1031"/>
    <mergeCell ref="AG1027:AG1031"/>
    <mergeCell ref="AH1027:AH1031"/>
    <mergeCell ref="AI1027:AI1031"/>
    <mergeCell ref="AJ1027:AJ1031"/>
    <mergeCell ref="AK1027:AK1031"/>
    <mergeCell ref="N1028:N1030"/>
    <mergeCell ref="O1028:O1030"/>
    <mergeCell ref="P1028:P1030"/>
    <mergeCell ref="Q1028:Q1030"/>
    <mergeCell ref="R1028:R1030"/>
    <mergeCell ref="S1028:S1030"/>
    <mergeCell ref="T1028:T1030"/>
    <mergeCell ref="U1028:U1030"/>
    <mergeCell ref="V1028:V1030"/>
    <mergeCell ref="W1028:W1030"/>
    <mergeCell ref="X1028:X1030"/>
    <mergeCell ref="Y1028:Y1030"/>
    <mergeCell ref="G1027:G1031"/>
    <mergeCell ref="H1032:H1036"/>
    <mergeCell ref="I1032:I1036"/>
    <mergeCell ref="J1032:J1036"/>
    <mergeCell ref="K1032:K1036"/>
    <mergeCell ref="L1032:L1036"/>
    <mergeCell ref="M1032:M1036"/>
    <mergeCell ref="AF1032:AF1036"/>
    <mergeCell ref="AG1032:AG1036"/>
    <mergeCell ref="AH1032:AH1036"/>
    <mergeCell ref="AI1032:AI1036"/>
    <mergeCell ref="AJ1032:AJ1036"/>
    <mergeCell ref="AK1032:AK1036"/>
    <mergeCell ref="N1033:N1035"/>
    <mergeCell ref="O1033:O1035"/>
    <mergeCell ref="P1033:P1035"/>
    <mergeCell ref="Q1033:Q1035"/>
    <mergeCell ref="R1033:R1035"/>
    <mergeCell ref="S1033:S1035"/>
    <mergeCell ref="T1033:T1035"/>
    <mergeCell ref="U1033:U1035"/>
    <mergeCell ref="V1033:V1035"/>
    <mergeCell ref="W1033:W1035"/>
    <mergeCell ref="X1033:X1035"/>
    <mergeCell ref="Y1033:Y1035"/>
    <mergeCell ref="G1032:G1036"/>
    <mergeCell ref="H1037:H1041"/>
    <mergeCell ref="I1037:I1041"/>
    <mergeCell ref="J1037:J1041"/>
    <mergeCell ref="K1037:K1041"/>
    <mergeCell ref="L1037:L1041"/>
    <mergeCell ref="M1037:M1041"/>
    <mergeCell ref="AF1037:AF1041"/>
    <mergeCell ref="AG1037:AG1041"/>
    <mergeCell ref="AH1037:AH1041"/>
    <mergeCell ref="AI1037:AI1041"/>
    <mergeCell ref="AJ1037:AJ1041"/>
    <mergeCell ref="AK1037:AK1041"/>
    <mergeCell ref="N1038:N1040"/>
    <mergeCell ref="O1038:O1040"/>
    <mergeCell ref="P1038:P1040"/>
    <mergeCell ref="Q1038:Q1040"/>
    <mergeCell ref="R1038:R1040"/>
    <mergeCell ref="S1038:S1040"/>
    <mergeCell ref="T1038:T1040"/>
    <mergeCell ref="U1038:U1040"/>
    <mergeCell ref="V1038:V1040"/>
    <mergeCell ref="W1038:W1040"/>
    <mergeCell ref="X1038:X1040"/>
    <mergeCell ref="Y1038:Y1040"/>
    <mergeCell ref="G1037:G1041"/>
    <mergeCell ref="H1042:H1046"/>
    <mergeCell ref="I1042:I1046"/>
    <mergeCell ref="J1042:J1046"/>
    <mergeCell ref="K1042:K1046"/>
    <mergeCell ref="L1042:L1046"/>
    <mergeCell ref="M1042:M1046"/>
    <mergeCell ref="AF1042:AF1046"/>
    <mergeCell ref="AG1042:AG1046"/>
    <mergeCell ref="AH1042:AH1046"/>
    <mergeCell ref="AI1042:AI1046"/>
    <mergeCell ref="AJ1042:AJ1046"/>
    <mergeCell ref="AK1042:AK1046"/>
    <mergeCell ref="N1043:N1045"/>
    <mergeCell ref="O1043:O1045"/>
    <mergeCell ref="P1043:P1045"/>
    <mergeCell ref="Q1043:Q1045"/>
    <mergeCell ref="R1043:R1045"/>
    <mergeCell ref="S1043:S1045"/>
    <mergeCell ref="T1043:T1045"/>
    <mergeCell ref="U1043:U1045"/>
    <mergeCell ref="V1043:V1045"/>
    <mergeCell ref="W1043:W1045"/>
    <mergeCell ref="X1043:X1045"/>
    <mergeCell ref="Y1043:Y1045"/>
    <mergeCell ref="G1042:G1046"/>
    <mergeCell ref="H1047:H1051"/>
    <mergeCell ref="I1047:I1051"/>
    <mergeCell ref="J1047:J1051"/>
    <mergeCell ref="K1047:K1051"/>
    <mergeCell ref="L1047:L1051"/>
    <mergeCell ref="M1047:M1051"/>
    <mergeCell ref="AF1047:AF1051"/>
    <mergeCell ref="AG1047:AG1051"/>
    <mergeCell ref="AH1047:AH1051"/>
    <mergeCell ref="AI1047:AI1051"/>
    <mergeCell ref="AJ1047:AJ1051"/>
    <mergeCell ref="AK1047:AK1051"/>
    <mergeCell ref="N1048:N1050"/>
    <mergeCell ref="O1048:O1050"/>
    <mergeCell ref="P1048:P1050"/>
    <mergeCell ref="Q1048:Q1050"/>
    <mergeCell ref="R1048:R1050"/>
    <mergeCell ref="S1048:S1050"/>
    <mergeCell ref="T1048:T1050"/>
    <mergeCell ref="U1048:U1050"/>
    <mergeCell ref="V1048:V1050"/>
    <mergeCell ref="W1048:W1050"/>
    <mergeCell ref="X1048:X1050"/>
    <mergeCell ref="Y1048:Y1050"/>
    <mergeCell ref="G1047:G1051"/>
    <mergeCell ref="H1052:H1056"/>
    <mergeCell ref="I1052:I1056"/>
    <mergeCell ref="J1052:J1056"/>
    <mergeCell ref="K1052:K1056"/>
    <mergeCell ref="L1052:L1056"/>
    <mergeCell ref="M1052:M1056"/>
    <mergeCell ref="AF1052:AF1056"/>
    <mergeCell ref="AG1052:AG1056"/>
    <mergeCell ref="AH1052:AH1056"/>
    <mergeCell ref="AI1052:AI1056"/>
    <mergeCell ref="AJ1052:AJ1056"/>
    <mergeCell ref="AK1052:AK1056"/>
    <mergeCell ref="N1053:N1055"/>
    <mergeCell ref="O1053:O1055"/>
    <mergeCell ref="P1053:P1055"/>
    <mergeCell ref="Q1053:Q1055"/>
    <mergeCell ref="R1053:R1055"/>
    <mergeCell ref="S1053:S1055"/>
    <mergeCell ref="T1053:T1055"/>
    <mergeCell ref="U1053:U1055"/>
    <mergeCell ref="V1053:V1055"/>
    <mergeCell ref="W1053:W1055"/>
    <mergeCell ref="X1053:X1055"/>
    <mergeCell ref="Y1053:Y1055"/>
    <mergeCell ref="G1052:G1056"/>
    <mergeCell ref="H1057:H1061"/>
    <mergeCell ref="I1057:I1061"/>
    <mergeCell ref="J1057:J1061"/>
    <mergeCell ref="K1057:K1061"/>
    <mergeCell ref="L1057:L1061"/>
    <mergeCell ref="M1057:M1061"/>
    <mergeCell ref="AF1057:AF1061"/>
    <mergeCell ref="AG1057:AG1061"/>
    <mergeCell ref="AH1057:AH1061"/>
    <mergeCell ref="AI1057:AI1061"/>
    <mergeCell ref="AJ1057:AJ1061"/>
    <mergeCell ref="AK1057:AK1061"/>
    <mergeCell ref="N1058:N1060"/>
    <mergeCell ref="O1058:O1060"/>
    <mergeCell ref="P1058:P1060"/>
    <mergeCell ref="Q1058:Q1060"/>
    <mergeCell ref="R1058:R1060"/>
    <mergeCell ref="S1058:S1060"/>
    <mergeCell ref="T1058:T1060"/>
    <mergeCell ref="U1058:U1060"/>
    <mergeCell ref="V1058:V1060"/>
    <mergeCell ref="W1058:W1060"/>
    <mergeCell ref="X1058:X1060"/>
    <mergeCell ref="Y1058:Y1060"/>
    <mergeCell ref="G1057:G1061"/>
    <mergeCell ref="H768:H772"/>
    <mergeCell ref="I768:I772"/>
    <mergeCell ref="J768:J772"/>
    <mergeCell ref="K768:K772"/>
    <mergeCell ref="L768:L772"/>
    <mergeCell ref="M768:M772"/>
    <mergeCell ref="AF768:AF772"/>
    <mergeCell ref="AG768:AG772"/>
    <mergeCell ref="AH768:AH772"/>
    <mergeCell ref="AI768:AI772"/>
    <mergeCell ref="AJ768:AJ772"/>
    <mergeCell ref="AK768:AK772"/>
    <mergeCell ref="N769:N771"/>
    <mergeCell ref="O769:O771"/>
    <mergeCell ref="P769:P771"/>
    <mergeCell ref="Q769:Q771"/>
    <mergeCell ref="R769:R771"/>
    <mergeCell ref="S769:S771"/>
    <mergeCell ref="T769:T771"/>
    <mergeCell ref="U769:U771"/>
    <mergeCell ref="V769:V771"/>
    <mergeCell ref="W769:W771"/>
    <mergeCell ref="X769:X771"/>
    <mergeCell ref="Y769:Y771"/>
    <mergeCell ref="G768:G772"/>
    <mergeCell ref="H773:H777"/>
    <mergeCell ref="I773:I777"/>
    <mergeCell ref="J773:J777"/>
    <mergeCell ref="K773:K777"/>
    <mergeCell ref="L773:L777"/>
    <mergeCell ref="M773:M777"/>
    <mergeCell ref="AF773:AF777"/>
    <mergeCell ref="AG773:AG777"/>
    <mergeCell ref="AH773:AH777"/>
    <mergeCell ref="AI773:AI777"/>
    <mergeCell ref="AJ773:AJ777"/>
    <mergeCell ref="AK773:AK777"/>
    <mergeCell ref="N774:N776"/>
    <mergeCell ref="O774:O776"/>
    <mergeCell ref="P774:P776"/>
    <mergeCell ref="Q774:Q776"/>
    <mergeCell ref="R774:R776"/>
    <mergeCell ref="S774:S776"/>
    <mergeCell ref="T774:T776"/>
    <mergeCell ref="U774:U776"/>
    <mergeCell ref="V774:V776"/>
    <mergeCell ref="W774:W776"/>
    <mergeCell ref="X774:X776"/>
    <mergeCell ref="Y774:Y776"/>
    <mergeCell ref="G773:G777"/>
    <mergeCell ref="H778:H782"/>
    <mergeCell ref="I778:I782"/>
    <mergeCell ref="J778:J782"/>
    <mergeCell ref="K778:K782"/>
    <mergeCell ref="L778:L782"/>
    <mergeCell ref="M778:M782"/>
    <mergeCell ref="AF778:AF782"/>
    <mergeCell ref="AG778:AG782"/>
    <mergeCell ref="AH778:AH782"/>
    <mergeCell ref="AI778:AI782"/>
    <mergeCell ref="AJ778:AJ782"/>
    <mergeCell ref="AK778:AK782"/>
    <mergeCell ref="N779:N781"/>
    <mergeCell ref="O779:O781"/>
    <mergeCell ref="P779:P781"/>
    <mergeCell ref="Q779:Q781"/>
    <mergeCell ref="R779:R781"/>
    <mergeCell ref="S779:S781"/>
    <mergeCell ref="T779:T781"/>
    <mergeCell ref="U779:U781"/>
    <mergeCell ref="V779:V781"/>
    <mergeCell ref="W779:W781"/>
    <mergeCell ref="X779:X781"/>
    <mergeCell ref="Y779:Y781"/>
    <mergeCell ref="G778:G782"/>
    <mergeCell ref="H783:H787"/>
    <mergeCell ref="I783:I787"/>
    <mergeCell ref="J783:J787"/>
    <mergeCell ref="K783:K787"/>
    <mergeCell ref="L783:L787"/>
    <mergeCell ref="M783:M787"/>
    <mergeCell ref="AF783:AF787"/>
    <mergeCell ref="AG783:AG787"/>
    <mergeCell ref="AH783:AH787"/>
    <mergeCell ref="AI783:AI787"/>
    <mergeCell ref="AJ783:AJ787"/>
    <mergeCell ref="AK783:AK787"/>
    <mergeCell ref="N784:N786"/>
    <mergeCell ref="O784:O786"/>
    <mergeCell ref="P784:P786"/>
    <mergeCell ref="Q784:Q786"/>
    <mergeCell ref="R784:R786"/>
    <mergeCell ref="S784:S786"/>
    <mergeCell ref="T784:T786"/>
    <mergeCell ref="U784:U786"/>
    <mergeCell ref="V784:V786"/>
    <mergeCell ref="W784:W786"/>
    <mergeCell ref="X784:X786"/>
    <mergeCell ref="Y784:Y786"/>
    <mergeCell ref="G783:G787"/>
    <mergeCell ref="H788:H792"/>
    <mergeCell ref="I788:I792"/>
    <mergeCell ref="J788:J792"/>
    <mergeCell ref="K788:K792"/>
    <mergeCell ref="L788:L792"/>
    <mergeCell ref="M788:M792"/>
    <mergeCell ref="AF788:AF792"/>
    <mergeCell ref="AG788:AG792"/>
    <mergeCell ref="AH788:AH792"/>
    <mergeCell ref="AI788:AI792"/>
    <mergeCell ref="AJ788:AJ792"/>
    <mergeCell ref="AK788:AK792"/>
    <mergeCell ref="N789:N791"/>
    <mergeCell ref="O789:O791"/>
    <mergeCell ref="P789:P791"/>
    <mergeCell ref="Q789:Q791"/>
    <mergeCell ref="R789:R791"/>
    <mergeCell ref="S789:S791"/>
    <mergeCell ref="T789:T791"/>
    <mergeCell ref="U789:U791"/>
    <mergeCell ref="V789:V791"/>
    <mergeCell ref="W789:W791"/>
    <mergeCell ref="X789:X791"/>
    <mergeCell ref="Y789:Y791"/>
    <mergeCell ref="G788:G792"/>
    <mergeCell ref="H793:H797"/>
    <mergeCell ref="I793:I797"/>
    <mergeCell ref="J793:J797"/>
    <mergeCell ref="K793:K797"/>
    <mergeCell ref="L793:L797"/>
    <mergeCell ref="M793:M797"/>
    <mergeCell ref="AF793:AF797"/>
    <mergeCell ref="AG793:AG797"/>
    <mergeCell ref="AH793:AH797"/>
    <mergeCell ref="AI793:AI797"/>
    <mergeCell ref="AJ793:AJ797"/>
    <mergeCell ref="AK793:AK797"/>
    <mergeCell ref="N794:N796"/>
    <mergeCell ref="O794:O796"/>
    <mergeCell ref="P794:P796"/>
    <mergeCell ref="Q794:Q796"/>
    <mergeCell ref="R794:R796"/>
    <mergeCell ref="S794:S796"/>
    <mergeCell ref="T794:T796"/>
    <mergeCell ref="U794:U796"/>
    <mergeCell ref="V794:V796"/>
    <mergeCell ref="W794:W796"/>
    <mergeCell ref="X794:X796"/>
    <mergeCell ref="Y794:Y796"/>
    <mergeCell ref="G793:G797"/>
    <mergeCell ref="H798:H802"/>
    <mergeCell ref="I798:I802"/>
    <mergeCell ref="J798:J802"/>
    <mergeCell ref="K798:K802"/>
    <mergeCell ref="L798:L802"/>
    <mergeCell ref="M798:M802"/>
    <mergeCell ref="AF798:AF802"/>
    <mergeCell ref="AG798:AG802"/>
    <mergeCell ref="AH798:AH802"/>
    <mergeCell ref="AI798:AI802"/>
    <mergeCell ref="AJ798:AJ802"/>
    <mergeCell ref="AK798:AK802"/>
    <mergeCell ref="N799:N801"/>
    <mergeCell ref="O799:O801"/>
    <mergeCell ref="P799:P801"/>
    <mergeCell ref="Q799:Q801"/>
    <mergeCell ref="R799:R801"/>
    <mergeCell ref="S799:S801"/>
    <mergeCell ref="T799:T801"/>
    <mergeCell ref="U799:U801"/>
    <mergeCell ref="V799:V801"/>
    <mergeCell ref="W799:W801"/>
    <mergeCell ref="X799:X801"/>
    <mergeCell ref="Y799:Y801"/>
    <mergeCell ref="G798:G802"/>
    <mergeCell ref="H803:H807"/>
    <mergeCell ref="I803:I807"/>
    <mergeCell ref="J803:J807"/>
    <mergeCell ref="K803:K807"/>
    <mergeCell ref="L803:L807"/>
    <mergeCell ref="M803:M807"/>
    <mergeCell ref="AF803:AF807"/>
    <mergeCell ref="AG803:AG807"/>
    <mergeCell ref="AH803:AH807"/>
    <mergeCell ref="AI803:AI807"/>
    <mergeCell ref="AJ803:AJ807"/>
    <mergeCell ref="AK803:AK807"/>
    <mergeCell ref="N804:N806"/>
    <mergeCell ref="O804:O806"/>
    <mergeCell ref="P804:P806"/>
    <mergeCell ref="Q804:Q806"/>
    <mergeCell ref="R804:R806"/>
    <mergeCell ref="S804:S806"/>
    <mergeCell ref="T804:T806"/>
    <mergeCell ref="U804:U806"/>
    <mergeCell ref="V804:V806"/>
    <mergeCell ref="W804:W806"/>
    <mergeCell ref="X804:X806"/>
    <mergeCell ref="Y804:Y806"/>
    <mergeCell ref="G803:G807"/>
    <mergeCell ref="H808:H812"/>
    <mergeCell ref="I808:I812"/>
    <mergeCell ref="J808:J812"/>
    <mergeCell ref="K808:K812"/>
    <mergeCell ref="L808:L812"/>
    <mergeCell ref="M808:M812"/>
    <mergeCell ref="AF808:AF812"/>
    <mergeCell ref="AG808:AG812"/>
    <mergeCell ref="AH808:AH812"/>
    <mergeCell ref="AI808:AI812"/>
    <mergeCell ref="AJ808:AJ812"/>
    <mergeCell ref="AK808:AK812"/>
    <mergeCell ref="N809:N811"/>
    <mergeCell ref="O809:O811"/>
    <mergeCell ref="P809:P811"/>
    <mergeCell ref="Q809:Q811"/>
    <mergeCell ref="R809:R811"/>
    <mergeCell ref="S809:S811"/>
    <mergeCell ref="T809:T811"/>
    <mergeCell ref="U809:U811"/>
    <mergeCell ref="V809:V811"/>
    <mergeCell ref="W809:W811"/>
    <mergeCell ref="X809:X811"/>
    <mergeCell ref="Y809:Y811"/>
    <mergeCell ref="G808:G812"/>
    <mergeCell ref="H813:H817"/>
    <mergeCell ref="I813:I817"/>
    <mergeCell ref="J813:J817"/>
    <mergeCell ref="K813:K817"/>
    <mergeCell ref="L813:L817"/>
    <mergeCell ref="M813:M817"/>
    <mergeCell ref="AF813:AF817"/>
    <mergeCell ref="AG813:AG817"/>
    <mergeCell ref="AH813:AH817"/>
    <mergeCell ref="AI813:AI817"/>
    <mergeCell ref="AJ813:AJ817"/>
    <mergeCell ref="AK813:AK817"/>
    <mergeCell ref="N814:N816"/>
    <mergeCell ref="O814:O816"/>
    <mergeCell ref="P814:P816"/>
    <mergeCell ref="Q814:Q816"/>
    <mergeCell ref="R814:R816"/>
    <mergeCell ref="S814:S816"/>
    <mergeCell ref="T814:T816"/>
    <mergeCell ref="U814:U816"/>
    <mergeCell ref="V814:V816"/>
    <mergeCell ref="W814:W816"/>
    <mergeCell ref="X814:X816"/>
    <mergeCell ref="Y814:Y816"/>
    <mergeCell ref="G813:G817"/>
    <mergeCell ref="H818:H822"/>
    <mergeCell ref="I818:I822"/>
    <mergeCell ref="J818:J822"/>
    <mergeCell ref="K818:K822"/>
    <mergeCell ref="L818:L822"/>
    <mergeCell ref="M818:M822"/>
    <mergeCell ref="AF818:AF822"/>
    <mergeCell ref="AG818:AG822"/>
    <mergeCell ref="AH818:AH822"/>
    <mergeCell ref="AI818:AI822"/>
    <mergeCell ref="AJ818:AJ822"/>
    <mergeCell ref="AK818:AK822"/>
    <mergeCell ref="N819:N821"/>
    <mergeCell ref="O819:O821"/>
    <mergeCell ref="P819:P821"/>
    <mergeCell ref="Q819:Q821"/>
    <mergeCell ref="R819:R821"/>
    <mergeCell ref="S819:S821"/>
    <mergeCell ref="T819:T821"/>
    <mergeCell ref="U819:U821"/>
    <mergeCell ref="V819:V821"/>
    <mergeCell ref="W819:W821"/>
    <mergeCell ref="X819:X821"/>
    <mergeCell ref="Y819:Y821"/>
    <mergeCell ref="G818:G822"/>
    <mergeCell ref="H823:H827"/>
    <mergeCell ref="I823:I827"/>
    <mergeCell ref="J823:J827"/>
    <mergeCell ref="K823:K827"/>
    <mergeCell ref="L823:L827"/>
    <mergeCell ref="M823:M827"/>
    <mergeCell ref="AF823:AF827"/>
    <mergeCell ref="AG823:AG827"/>
    <mergeCell ref="AH823:AH827"/>
    <mergeCell ref="AI823:AI827"/>
    <mergeCell ref="AJ823:AJ827"/>
    <mergeCell ref="AK823:AK827"/>
    <mergeCell ref="N824:N826"/>
    <mergeCell ref="O824:O826"/>
    <mergeCell ref="P824:P826"/>
    <mergeCell ref="Q824:Q826"/>
    <mergeCell ref="R824:R826"/>
    <mergeCell ref="S824:S826"/>
    <mergeCell ref="T824:T826"/>
    <mergeCell ref="U824:U826"/>
    <mergeCell ref="V824:V826"/>
    <mergeCell ref="W824:W826"/>
    <mergeCell ref="X824:X826"/>
    <mergeCell ref="Y824:Y826"/>
    <mergeCell ref="G823:G827"/>
    <mergeCell ref="H828:H832"/>
    <mergeCell ref="I828:I832"/>
    <mergeCell ref="J828:J832"/>
    <mergeCell ref="K828:K832"/>
    <mergeCell ref="L828:L832"/>
    <mergeCell ref="M828:M832"/>
    <mergeCell ref="AF828:AF832"/>
    <mergeCell ref="AG828:AG832"/>
    <mergeCell ref="AH828:AH832"/>
    <mergeCell ref="AI828:AI832"/>
    <mergeCell ref="AJ828:AJ832"/>
    <mergeCell ref="AK828:AK832"/>
    <mergeCell ref="N829:N831"/>
    <mergeCell ref="O829:O831"/>
    <mergeCell ref="P829:P831"/>
    <mergeCell ref="Q829:Q831"/>
    <mergeCell ref="R829:R831"/>
    <mergeCell ref="S829:S831"/>
    <mergeCell ref="T829:T831"/>
    <mergeCell ref="U829:U831"/>
    <mergeCell ref="V829:V831"/>
    <mergeCell ref="W829:W831"/>
    <mergeCell ref="X829:X831"/>
    <mergeCell ref="Y829:Y831"/>
    <mergeCell ref="G828:G832"/>
    <mergeCell ref="H833:H837"/>
    <mergeCell ref="I833:I837"/>
    <mergeCell ref="J833:J837"/>
    <mergeCell ref="K833:K837"/>
    <mergeCell ref="L833:L837"/>
    <mergeCell ref="M833:M837"/>
    <mergeCell ref="AF833:AF837"/>
    <mergeCell ref="AG833:AG837"/>
    <mergeCell ref="AH833:AH837"/>
    <mergeCell ref="AI833:AI837"/>
    <mergeCell ref="AJ833:AJ837"/>
    <mergeCell ref="AK833:AK837"/>
    <mergeCell ref="N834:N836"/>
    <mergeCell ref="O834:O836"/>
    <mergeCell ref="P834:P836"/>
    <mergeCell ref="Q834:Q836"/>
    <mergeCell ref="R834:R836"/>
    <mergeCell ref="S834:S836"/>
    <mergeCell ref="T834:T836"/>
    <mergeCell ref="U834:U836"/>
    <mergeCell ref="V834:V836"/>
    <mergeCell ref="W834:W836"/>
    <mergeCell ref="X834:X836"/>
    <mergeCell ref="Y834:Y836"/>
    <mergeCell ref="G833:G837"/>
    <mergeCell ref="H975:H979"/>
    <mergeCell ref="I975:I979"/>
    <mergeCell ref="J975:J979"/>
    <mergeCell ref="K975:K979"/>
    <mergeCell ref="L975:L979"/>
    <mergeCell ref="M975:M979"/>
    <mergeCell ref="AF975:AF979"/>
    <mergeCell ref="AG975:AG979"/>
    <mergeCell ref="AH975:AH979"/>
    <mergeCell ref="AI975:AI979"/>
    <mergeCell ref="AJ975:AJ979"/>
    <mergeCell ref="AK975:AK979"/>
    <mergeCell ref="N976:N978"/>
    <mergeCell ref="O976:O978"/>
    <mergeCell ref="P976:P978"/>
    <mergeCell ref="Q976:Q978"/>
    <mergeCell ref="R976:R978"/>
    <mergeCell ref="S976:S978"/>
    <mergeCell ref="T976:T978"/>
    <mergeCell ref="U976:U978"/>
    <mergeCell ref="V976:V978"/>
    <mergeCell ref="W976:W978"/>
    <mergeCell ref="X976:X978"/>
    <mergeCell ref="Y976:Y978"/>
    <mergeCell ref="G975:G979"/>
    <mergeCell ref="H1062:H1066"/>
    <mergeCell ref="I1062:I1066"/>
    <mergeCell ref="J1062:J1066"/>
    <mergeCell ref="K1062:K1066"/>
    <mergeCell ref="L1062:L1066"/>
    <mergeCell ref="M1062:M1066"/>
    <mergeCell ref="AF1062:AF1066"/>
    <mergeCell ref="AG1062:AG1066"/>
    <mergeCell ref="AH1062:AH1066"/>
    <mergeCell ref="AI1062:AI1066"/>
    <mergeCell ref="AJ1062:AJ1066"/>
    <mergeCell ref="AK1062:AK1066"/>
    <mergeCell ref="N1063:N1065"/>
    <mergeCell ref="O1063:O1065"/>
    <mergeCell ref="P1063:P1065"/>
    <mergeCell ref="Q1063:Q1065"/>
    <mergeCell ref="R1063:R1065"/>
    <mergeCell ref="S1063:S1065"/>
    <mergeCell ref="T1063:T1065"/>
    <mergeCell ref="U1063:U1065"/>
    <mergeCell ref="V1063:V1065"/>
    <mergeCell ref="W1063:W1065"/>
    <mergeCell ref="X1063:X1065"/>
    <mergeCell ref="Y1063:Y1065"/>
    <mergeCell ref="G1062:G1066"/>
    <mergeCell ref="H1067:H1071"/>
    <mergeCell ref="I1067:I1071"/>
    <mergeCell ref="J1067:J1071"/>
    <mergeCell ref="K1067:K1071"/>
    <mergeCell ref="L1067:L1071"/>
    <mergeCell ref="M1067:M1071"/>
    <mergeCell ref="AF1067:AF1071"/>
    <mergeCell ref="AG1067:AG1071"/>
    <mergeCell ref="AH1067:AH1071"/>
    <mergeCell ref="AI1067:AI1071"/>
    <mergeCell ref="AJ1067:AJ1071"/>
    <mergeCell ref="AK1067:AK1071"/>
    <mergeCell ref="N1068:N1070"/>
    <mergeCell ref="O1068:O1070"/>
    <mergeCell ref="P1068:P1070"/>
    <mergeCell ref="Q1068:Q1070"/>
    <mergeCell ref="R1068:R1070"/>
    <mergeCell ref="S1068:S1070"/>
    <mergeCell ref="T1068:T1070"/>
    <mergeCell ref="U1068:U1070"/>
    <mergeCell ref="V1068:V1070"/>
    <mergeCell ref="W1068:W1070"/>
    <mergeCell ref="X1068:X1070"/>
    <mergeCell ref="Y1068:Y1070"/>
    <mergeCell ref="G1067:G1071"/>
    <mergeCell ref="H1072:H1076"/>
    <mergeCell ref="I1072:I1076"/>
    <mergeCell ref="J1072:J1076"/>
    <mergeCell ref="K1072:K1076"/>
    <mergeCell ref="L1072:L1076"/>
    <mergeCell ref="M1072:M1076"/>
    <mergeCell ref="AF1072:AF1076"/>
    <mergeCell ref="AG1072:AG1076"/>
    <mergeCell ref="AH1072:AH1076"/>
    <mergeCell ref="AI1072:AI1076"/>
    <mergeCell ref="AJ1072:AJ1076"/>
    <mergeCell ref="AK1072:AK1076"/>
    <mergeCell ref="N1073:N1075"/>
    <mergeCell ref="O1073:O1075"/>
    <mergeCell ref="P1073:P1075"/>
    <mergeCell ref="Q1073:Q1075"/>
    <mergeCell ref="R1073:R1075"/>
    <mergeCell ref="S1073:S1075"/>
    <mergeCell ref="T1073:T1075"/>
    <mergeCell ref="U1073:U1075"/>
    <mergeCell ref="V1073:V1075"/>
    <mergeCell ref="W1073:W1075"/>
    <mergeCell ref="X1073:X1075"/>
    <mergeCell ref="Y1073:Y1075"/>
    <mergeCell ref="G1072:G1076"/>
    <mergeCell ref="H151:H155"/>
    <mergeCell ref="I151:I155"/>
    <mergeCell ref="J151:J155"/>
    <mergeCell ref="K151:K155"/>
    <mergeCell ref="L151:L155"/>
    <mergeCell ref="M151:M155"/>
    <mergeCell ref="AF151:AF155"/>
    <mergeCell ref="AG151:AG155"/>
    <mergeCell ref="AH151:AH155"/>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G151:G155"/>
    <mergeCell ref="H631:H635"/>
    <mergeCell ref="I631:I635"/>
    <mergeCell ref="J631:J635"/>
    <mergeCell ref="K631:K635"/>
    <mergeCell ref="L631:L635"/>
    <mergeCell ref="M631:M635"/>
    <mergeCell ref="AF631:AF635"/>
    <mergeCell ref="AG631:AG635"/>
    <mergeCell ref="AH631:AH635"/>
    <mergeCell ref="AI631:AI635"/>
    <mergeCell ref="AJ631:AJ635"/>
    <mergeCell ref="AK631:AK635"/>
    <mergeCell ref="N632:N634"/>
    <mergeCell ref="O632:O634"/>
    <mergeCell ref="P632:P634"/>
    <mergeCell ref="Q632:Q634"/>
    <mergeCell ref="R632:R634"/>
    <mergeCell ref="S632:S634"/>
    <mergeCell ref="T632:T634"/>
    <mergeCell ref="U632:U634"/>
    <mergeCell ref="V632:V634"/>
    <mergeCell ref="W632:W634"/>
    <mergeCell ref="X632:X634"/>
    <mergeCell ref="Y632:Y634"/>
    <mergeCell ref="G631:G635"/>
    <mergeCell ref="H636:H640"/>
    <mergeCell ref="I636:I640"/>
    <mergeCell ref="J636:J640"/>
    <mergeCell ref="K636:K640"/>
    <mergeCell ref="L636:L640"/>
    <mergeCell ref="M636:M640"/>
    <mergeCell ref="AF636:AF640"/>
    <mergeCell ref="AG636:AG640"/>
    <mergeCell ref="AH636:AH640"/>
    <mergeCell ref="AI636:AI640"/>
    <mergeCell ref="AJ636:AJ640"/>
    <mergeCell ref="AK636:AK640"/>
    <mergeCell ref="N637:N639"/>
    <mergeCell ref="O637:O639"/>
    <mergeCell ref="P637:P639"/>
    <mergeCell ref="Q637:Q639"/>
    <mergeCell ref="R637:R639"/>
    <mergeCell ref="S637:S639"/>
    <mergeCell ref="T637:T639"/>
    <mergeCell ref="U637:U639"/>
    <mergeCell ref="V637:V639"/>
    <mergeCell ref="W637:W639"/>
    <mergeCell ref="X637:X639"/>
    <mergeCell ref="Y637:Y639"/>
    <mergeCell ref="G636:G640"/>
    <mergeCell ref="H641:H645"/>
    <mergeCell ref="I641:I645"/>
    <mergeCell ref="J641:J645"/>
    <mergeCell ref="K641:K645"/>
    <mergeCell ref="L641:L645"/>
    <mergeCell ref="M641:M645"/>
    <mergeCell ref="AF641:AF645"/>
    <mergeCell ref="AG641:AG645"/>
    <mergeCell ref="AH641:AH645"/>
    <mergeCell ref="AI641:AI645"/>
    <mergeCell ref="AJ641:AJ645"/>
    <mergeCell ref="AK641:AK645"/>
    <mergeCell ref="N642:N644"/>
    <mergeCell ref="O642:O644"/>
    <mergeCell ref="P642:P644"/>
    <mergeCell ref="Q642:Q644"/>
    <mergeCell ref="R642:R644"/>
    <mergeCell ref="S642:S644"/>
    <mergeCell ref="T642:T644"/>
    <mergeCell ref="U642:U644"/>
    <mergeCell ref="V642:V644"/>
    <mergeCell ref="W642:W644"/>
    <mergeCell ref="X642:X644"/>
    <mergeCell ref="Y642:Y644"/>
    <mergeCell ref="G641:G645"/>
    <mergeCell ref="H646:H650"/>
    <mergeCell ref="I646:I650"/>
    <mergeCell ref="J646:J650"/>
    <mergeCell ref="K646:K650"/>
    <mergeCell ref="L646:L650"/>
    <mergeCell ref="M646:M650"/>
    <mergeCell ref="AF646:AF650"/>
    <mergeCell ref="AG646:AG650"/>
    <mergeCell ref="AH646:AH650"/>
    <mergeCell ref="AI646:AI650"/>
    <mergeCell ref="AJ646:AJ650"/>
    <mergeCell ref="AK646:AK650"/>
    <mergeCell ref="N647:N649"/>
    <mergeCell ref="O647:O649"/>
    <mergeCell ref="P647:P649"/>
    <mergeCell ref="Q647:Q649"/>
    <mergeCell ref="R647:R649"/>
    <mergeCell ref="S647:S649"/>
    <mergeCell ref="T647:T649"/>
    <mergeCell ref="U647:U649"/>
    <mergeCell ref="V647:V649"/>
    <mergeCell ref="W647:W649"/>
    <mergeCell ref="X647:X649"/>
    <mergeCell ref="Y647:Y649"/>
    <mergeCell ref="G646:G650"/>
    <mergeCell ref="H651:H655"/>
    <mergeCell ref="I651:I655"/>
    <mergeCell ref="J651:J655"/>
    <mergeCell ref="K651:K655"/>
    <mergeCell ref="L651:L655"/>
    <mergeCell ref="M651:M655"/>
    <mergeCell ref="AF651:AF655"/>
    <mergeCell ref="AG651:AG655"/>
    <mergeCell ref="AH651:AH655"/>
    <mergeCell ref="AI651:AI655"/>
    <mergeCell ref="AJ651:AJ655"/>
    <mergeCell ref="AK651:AK655"/>
    <mergeCell ref="N652:N654"/>
    <mergeCell ref="O652:O654"/>
    <mergeCell ref="P652:P654"/>
    <mergeCell ref="Q652:Q654"/>
    <mergeCell ref="R652:R654"/>
    <mergeCell ref="S652:S654"/>
    <mergeCell ref="T652:T654"/>
    <mergeCell ref="U652:U654"/>
    <mergeCell ref="V652:V654"/>
    <mergeCell ref="W652:W654"/>
    <mergeCell ref="X652:X654"/>
    <mergeCell ref="Y652:Y654"/>
    <mergeCell ref="G651:G655"/>
  </mergeCells>
  <dataValidations count="5259">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textLength" operator="lessThanOrEqual" allowBlank="1" showInputMessage="1" showErrorMessage="1" errorTitle="Ошибка" error="Допускается ввод не более 900 символов!" sqref="M651">
      <formula1>900</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decimal" allowBlank="1" showErrorMessage="1" errorTitle="Ошибка" error="Допускается ввод только неотрицательных чисел!" sqref="AE648">
      <formula1>0</formula1>
      <formula2>9.99999999999999E+23</formula2>
    </dataValidation>
    <dataValidation type="decimal" allowBlank="1" showErrorMessage="1" errorTitle="Ошибка" error="Допускается ввод только неотрицательных чисел!" sqref="AC648">
      <formula1>0</formula1>
      <formula2>9.99999999999999E+23</formula2>
    </dataValidation>
    <dataValidation type="textLength" operator="lessThanOrEqual" allowBlank="1" showInputMessage="1" showErrorMessage="1" errorTitle="Ошибка" error="Допускается ввод не более 900 символов!" sqref="K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M646">
      <formula1>900</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decimal" allowBlank="1" showErrorMessage="1" errorTitle="Ошибка" error="Допускается ввод только неотрицательных чисел!" sqref="AE643">
      <formula1>0</formula1>
      <formula2>9.99999999999999E+23</formula2>
    </dataValidation>
    <dataValidation type="decimal" allowBlank="1" showErrorMessage="1" errorTitle="Ошибка" error="Допускается ввод только неотрицательных чисел!" sqref="AC643">
      <formula1>0</formula1>
      <formula2>9.99999999999999E+23</formula2>
    </dataValidation>
    <dataValidation type="textLength" operator="lessThanOrEqual" allowBlank="1" showInputMessage="1" showErrorMessage="1" errorTitle="Ошибка" error="Допускается ввод не более 900 символов!" sqref="K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textLength" operator="lessThanOrEqual" allowBlank="1" showInputMessage="1" showErrorMessage="1" errorTitle="Ошибка" error="Допускается ввод не более 900 символов!" sqref="K6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textLength" operator="lessThanOrEqual" allowBlank="1" showInputMessage="1" showErrorMessage="1" errorTitle="Ошибка" error="Допускается ввод не более 900 символов!" sqref="M641">
      <formula1>900</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decimal" allowBlank="1" showErrorMessage="1" errorTitle="Ошибка" error="Допускается ввод только неотрицательных чисел!" sqref="AE638">
      <formula1>0</formula1>
      <formula2>9.99999999999999E+23</formula2>
    </dataValidation>
    <dataValidation type="decimal" allowBlank="1" showErrorMessage="1" errorTitle="Ошибка" error="Допускается ввод только неотрицательных чисел!" sqref="AC638">
      <formula1>0</formula1>
      <formula2>9.99999999999999E+23</formula2>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textLength" operator="lessThanOrEqual" allowBlank="1" showInputMessage="1" showErrorMessage="1" errorTitle="Ошибка" error="Допускается ввод не более 900 символов!" sqref="M636">
      <formula1>900</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decimal" allowBlank="1" showErrorMessage="1" errorTitle="Ошибка" error="Допускается ввод только неотрицательных чисел!" sqref="AE633">
      <formula1>0</formula1>
      <formula2>9.99999999999999E+23</formula2>
    </dataValidation>
    <dataValidation type="decimal" allowBlank="1" showErrorMessage="1" errorTitle="Ошибка" error="Допускается ввод только неотрицательных чисел!" sqref="AC633">
      <formula1>0</formula1>
      <formula2>9.99999999999999E+23</formula2>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M631">
      <formula1>900</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M151">
      <formula1>900</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076">
      <formula1>0</formula1>
      <formula2>9.99999999999999E+23</formula2>
    </dataValidation>
    <dataValidation type="whole" allowBlank="1" showErrorMessage="1" errorTitle="Ошибка" error="Допускается ввод только неотрицательных целых чисел!" sqref="AF1076">
      <formula1>0</formula1>
      <formula2>9.99999999999999E+23</formula2>
    </dataValidation>
    <dataValidation type="whole" allowBlank="1" showErrorMessage="1" errorTitle="Ошибка" error="Допускается ввод только неотрицательных целых чисел!" sqref="AI1075">
      <formula1>0</formula1>
      <formula2>9.99999999999999E+23</formula2>
    </dataValidation>
    <dataValidation type="whole" allowBlank="1" showErrorMessage="1" errorTitle="Ошибка" error="Допускается ввод только неотрицательных целых чисел!" sqref="AF1075">
      <formula1>0</formula1>
      <formula2>9.99999999999999E+23</formula2>
    </dataValidation>
    <dataValidation type="textLength" operator="lessThanOrEqual" allowBlank="1" showInputMessage="1" showErrorMessage="1" errorTitle="Ошибка" error="Допускается ввод не более 900 символов!" sqref="K10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5">
      <formula1>"a"</formula1>
    </dataValidation>
    <dataValidation type="whole" allowBlank="1" showErrorMessage="1" errorTitle="Ошибка" error="Допускается ввод только неотрицательных целых чисел!" sqref="AI1074">
      <formula1>0</formula1>
      <formula2>9.99999999999999E+23</formula2>
    </dataValidation>
    <dataValidation type="whole" allowBlank="1" showErrorMessage="1" errorTitle="Ошибка" error="Допускается ввод только неотрицательных целых чисел!" sqref="AF1074">
      <formula1>0</formula1>
      <formula2>9.99999999999999E+23</formula2>
    </dataValidation>
    <dataValidation type="decimal" allowBlank="1" showErrorMessage="1" errorTitle="Ошибка" error="Допускается ввод только неотрицательных чисел!" sqref="AE1074">
      <formula1>0</formula1>
      <formula2>9.99999999999999E+23</formula2>
    </dataValidation>
    <dataValidation type="decimal" allowBlank="1" showErrorMessage="1" errorTitle="Ошибка" error="Допускается ввод только неотрицательных чисел!" sqref="AC1074">
      <formula1>0</formula1>
      <formula2>9.99999999999999E+23</formula2>
    </dataValidation>
    <dataValidation type="textLength" operator="lessThanOrEqual" allowBlank="1" showInputMessage="1" showErrorMessage="1" errorTitle="Ошибка" error="Допускается ввод не более 900 символов!" sqref="K10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4">
      <formula1>"a"</formula1>
    </dataValidation>
    <dataValidation type="whole" allowBlank="1" showErrorMessage="1" errorTitle="Ошибка" error="Допускается ввод только неотрицательных целых чисел!" sqref="AI1073">
      <formula1>0</formula1>
      <formula2>9.99999999999999E+23</formula2>
    </dataValidation>
    <dataValidation type="whole" allowBlank="1" showErrorMessage="1" errorTitle="Ошибка" error="Допускается ввод только неотрицательных целых чисел!" sqref="AF1073">
      <formula1>0</formula1>
      <formula2>9.99999999999999E+23</formula2>
    </dataValidation>
    <dataValidation type="textLength" operator="lessThanOrEqual" allowBlank="1" showInputMessage="1" showErrorMessage="1" errorTitle="Ошибка" error="Допускается ввод не более 900 символов!" sqref="K10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3">
      <formula1>"a"</formula1>
    </dataValidation>
    <dataValidation type="whole" allowBlank="1" showErrorMessage="1" errorTitle="Ошибка" error="Допускается ввод только неотрицательных целых чисел!" sqref="AI1072">
      <formula1>0</formula1>
      <formula2>9.99999999999999E+23</formula2>
    </dataValidation>
    <dataValidation type="whole" allowBlank="1" showErrorMessage="1" errorTitle="Ошибка" error="Допускается ввод только неотрицательных целых чисел!" sqref="AF1072">
      <formula1>0</formula1>
      <formula2>9.99999999999999E+23</formula2>
    </dataValidation>
    <dataValidation type="textLength" operator="lessThanOrEqual" allowBlank="1" showInputMessage="1" showErrorMessage="1" errorTitle="Ошибка" error="Допускается ввод не более 900 символов!" sqref="M1072">
      <formula1>900</formula1>
    </dataValidation>
    <dataValidation type="textLength" operator="lessThanOrEqual" allowBlank="1" showInputMessage="1" showErrorMessage="1" errorTitle="Ошибка" error="Допускается ввод не более 900 символов!" sqref="K10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2">
      <formula1>"a"</formula1>
    </dataValidation>
    <dataValidation type="whole" allowBlank="1" showErrorMessage="1" errorTitle="Ошибка" error="Допускается ввод только неотрицательных целых чисел!" sqref="AI1071">
      <formula1>0</formula1>
      <formula2>9.99999999999999E+23</formula2>
    </dataValidation>
    <dataValidation type="whole" allowBlank="1" showErrorMessage="1" errorTitle="Ошибка" error="Допускается ввод только неотрицательных целых чисел!" sqref="AF1071">
      <formula1>0</formula1>
      <formula2>9.99999999999999E+23</formula2>
    </dataValidation>
    <dataValidation type="whole" allowBlank="1" showErrorMessage="1" errorTitle="Ошибка" error="Допускается ввод только неотрицательных целых чисел!" sqref="AI1070">
      <formula1>0</formula1>
      <formula2>9.99999999999999E+23</formula2>
    </dataValidation>
    <dataValidation type="whole" allowBlank="1" showErrorMessage="1" errorTitle="Ошибка" error="Допускается ввод только неотрицательных целых чисел!" sqref="AF1070">
      <formula1>0</formula1>
      <formula2>9.99999999999999E+23</formula2>
    </dataValidation>
    <dataValidation type="textLength" operator="lessThanOrEqual" allowBlank="1" showInputMessage="1" showErrorMessage="1" errorTitle="Ошибка" error="Допускается ввод не более 900 символов!" sqref="K10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0">
      <formula1>"a"</formula1>
    </dataValidation>
    <dataValidation type="whole" allowBlank="1" showErrorMessage="1" errorTitle="Ошибка" error="Допускается ввод только неотрицательных целых чисел!" sqref="AI1069">
      <formula1>0</formula1>
      <formula2>9.99999999999999E+23</formula2>
    </dataValidation>
    <dataValidation type="whole" allowBlank="1" showErrorMessage="1" errorTitle="Ошибка" error="Допускается ввод только неотрицательных целых чисел!" sqref="AF1069">
      <formula1>0</formula1>
      <formula2>9.99999999999999E+23</formula2>
    </dataValidation>
    <dataValidation type="decimal" allowBlank="1" showErrorMessage="1" errorTitle="Ошибка" error="Допускается ввод только неотрицательных чисел!" sqref="AE1069">
      <formula1>0</formula1>
      <formula2>9.99999999999999E+23</formula2>
    </dataValidation>
    <dataValidation type="decimal" allowBlank="1" showErrorMessage="1" errorTitle="Ошибка" error="Допускается ввод только неотрицательных чисел!" sqref="AC1069">
      <formula1>0</formula1>
      <formula2>9.99999999999999E+23</formula2>
    </dataValidation>
    <dataValidation type="textLength" operator="lessThanOrEqual" allowBlank="1" showInputMessage="1" showErrorMessage="1" errorTitle="Ошибка" error="Допускается ввод не более 900 символов!" sqref="K10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9">
      <formula1>"a"</formula1>
    </dataValidation>
    <dataValidation type="whole" allowBlank="1" showErrorMessage="1" errorTitle="Ошибка" error="Допускается ввод только неотрицательных целых чисел!" sqref="AI1068">
      <formula1>0</formula1>
      <formula2>9.99999999999999E+23</formula2>
    </dataValidation>
    <dataValidation type="whole" allowBlank="1" showErrorMessage="1" errorTitle="Ошибка" error="Допускается ввод только неотрицательных целых чисел!" sqref="AF1068">
      <formula1>0</formula1>
      <formula2>9.99999999999999E+23</formula2>
    </dataValidation>
    <dataValidation type="textLength" operator="lessThanOrEqual" allowBlank="1" showInputMessage="1" showErrorMessage="1" errorTitle="Ошибка" error="Допускается ввод не более 900 символов!" sqref="K10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8">
      <formula1>"a"</formula1>
    </dataValidation>
    <dataValidation type="whole" allowBlank="1" showErrorMessage="1" errorTitle="Ошибка" error="Допускается ввод только неотрицательных целых чисел!" sqref="AI1067">
      <formula1>0</formula1>
      <formula2>9.99999999999999E+23</formula2>
    </dataValidation>
    <dataValidation type="whole" allowBlank="1" showErrorMessage="1" errorTitle="Ошибка" error="Допускается ввод только неотрицательных целых чисел!" sqref="AF1067">
      <formula1>0</formula1>
      <formula2>9.99999999999999E+23</formula2>
    </dataValidation>
    <dataValidation type="textLength" operator="lessThanOrEqual" allowBlank="1" showInputMessage="1" showErrorMessage="1" errorTitle="Ошибка" error="Допускается ввод не более 900 символов!" sqref="M1067">
      <formula1>900</formula1>
    </dataValidation>
    <dataValidation type="textLength" operator="lessThanOrEqual" allowBlank="1" showInputMessage="1" showErrorMessage="1" errorTitle="Ошибка" error="Допускается ввод не более 900 символов!" sqref="K10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7">
      <formula1>"a"</formula1>
    </dataValidation>
    <dataValidation type="whole" allowBlank="1" showErrorMessage="1" errorTitle="Ошибка" error="Допускается ввод только неотрицательных целых чисел!" sqref="AI1066">
      <formula1>0</formula1>
      <formula2>9.99999999999999E+23</formula2>
    </dataValidation>
    <dataValidation type="whole" allowBlank="1" showErrorMessage="1" errorTitle="Ошибка" error="Допускается ввод только неотрицательных целых чисел!" sqref="AF1066">
      <formula1>0</formula1>
      <formula2>9.99999999999999E+23</formula2>
    </dataValidation>
    <dataValidation type="whole" allowBlank="1" showErrorMessage="1" errorTitle="Ошибка" error="Допускается ввод только неотрицательных целых чисел!" sqref="AI1065">
      <formula1>0</formula1>
      <formula2>9.99999999999999E+23</formula2>
    </dataValidation>
    <dataValidation type="whole" allowBlank="1" showErrorMessage="1" errorTitle="Ошибка" error="Допускается ввод только неотрицательных целых чисел!" sqref="AF1065">
      <formula1>0</formula1>
      <formula2>9.99999999999999E+23</formula2>
    </dataValidation>
    <dataValidation type="textLength" operator="lessThanOrEqual" allowBlank="1" showInputMessage="1" showErrorMessage="1" errorTitle="Ошибка" error="Допускается ввод не более 900 символов!" sqref="K10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5">
      <formula1>"a"</formula1>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decimal" allowBlank="1" showErrorMessage="1" errorTitle="Ошибка" error="Допускается ввод только неотрицательных чисел!" sqref="AE1064">
      <formula1>0</formula1>
      <formula2>9.99999999999999E+23</formula2>
    </dataValidation>
    <dataValidation type="decimal" allowBlank="1" showErrorMessage="1" errorTitle="Ошибка" error="Допускается ввод только неотрицательных чисел!" sqref="AC1064">
      <formula1>0</formula1>
      <formula2>9.99999999999999E+23</formula2>
    </dataValidation>
    <dataValidation type="textLength" operator="lessThanOrEqual" allowBlank="1" showInputMessage="1" showErrorMessage="1" errorTitle="Ошибка" error="Допускается ввод не более 900 символов!" sqref="K10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4">
      <formula1>"a"</formula1>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textLength" operator="lessThanOrEqual" allowBlank="1" showInputMessage="1" showErrorMessage="1" errorTitle="Ошибка" error="Допускается ввод не более 900 символов!" sqref="K10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3">
      <formula1>"a"</formula1>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textLength" operator="lessThanOrEqual" allowBlank="1" showInputMessage="1" showErrorMessage="1" errorTitle="Ошибка" error="Допускается ввод не более 900 символов!" sqref="M1062">
      <formula1>900</formula1>
    </dataValidation>
    <dataValidation type="textLength" operator="lessThanOrEqual" allowBlank="1" showInputMessage="1" showErrorMessage="1" errorTitle="Ошибка" error="Допускается ввод не более 900 символов!" sqref="K10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2">
      <formula1>"a"</formula1>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textLength" operator="lessThanOrEqual" allowBlank="1" showInputMessage="1" showErrorMessage="1" errorTitle="Ошибка" error="Допускается ввод не более 900 символов!" sqref="K9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decimal" allowBlank="1" showErrorMessage="1" errorTitle="Ошибка" error="Допускается ввод только неотрицательных чисел!" sqref="AE977">
      <formula1>0</formula1>
      <formula2>9.99999999999999E+23</formula2>
    </dataValidation>
    <dataValidation type="decimal" allowBlank="1" showErrorMessage="1" errorTitle="Ошибка" error="Допускается ввод только неотрицательных чисел!" sqref="AC977">
      <formula1>0</formula1>
      <formula2>9.99999999999999E+23</formula2>
    </dataValidation>
    <dataValidation type="textLength" operator="lessThanOrEqual" allowBlank="1" showInputMessage="1" showErrorMessage="1" errorTitle="Ошибка" error="Допускается ввод не более 900 символов!" sqref="K9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textLength" operator="lessThanOrEqual" allowBlank="1" showInputMessage="1" showErrorMessage="1" errorTitle="Ошибка" error="Допускается ввод не более 900 символов!" sqref="M975">
      <formula1>900</formula1>
    </dataValidation>
    <dataValidation type="textLength" operator="lessThanOrEqual" allowBlank="1" showInputMessage="1" showErrorMessage="1" errorTitle="Ошибка" error="Допускается ввод не более 900 символов!" sqref="K9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textLength" operator="lessThanOrEqual" allowBlank="1" showInputMessage="1" showErrorMessage="1" errorTitle="Ошибка" error="Допускается ввод не более 900 символов!" sqref="K10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0">
      <formula1>"a"</formula1>
    </dataValidation>
    <dataValidation type="whole" allowBlank="1" showErrorMessage="1" errorTitle="Ошибка" error="Допускается ввод только неотрицательных целых чисел!" sqref="AI1059">
      <formula1>0</formula1>
      <formula2>9.99999999999999E+23</formula2>
    </dataValidation>
    <dataValidation type="whole" allowBlank="1" showErrorMessage="1" errorTitle="Ошибка" error="Допускается ввод только неотрицательных целых чисел!" sqref="AF1059">
      <formula1>0</formula1>
      <formula2>9.99999999999999E+23</formula2>
    </dataValidation>
    <dataValidation type="decimal" allowBlank="1" showErrorMessage="1" errorTitle="Ошибка" error="Допускается ввод только неотрицательных чисел!" sqref="AE1059">
      <formula1>0</formula1>
      <formula2>9.99999999999999E+23</formula2>
    </dataValidation>
    <dataValidation type="decimal" allowBlank="1" showErrorMessage="1" errorTitle="Ошибка" error="Допускается ввод только неотрицательных чисел!" sqref="AC1059">
      <formula1>0</formula1>
      <formula2>9.99999999999999E+23</formula2>
    </dataValidation>
    <dataValidation type="textLength" operator="lessThanOrEqual" allowBlank="1" showInputMessage="1" showErrorMessage="1" errorTitle="Ошибка" error="Допускается ввод не более 900 символов!" sqref="K10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9">
      <formula1>"a"</formula1>
    </dataValidation>
    <dataValidation type="whole" allowBlank="1" showErrorMessage="1" errorTitle="Ошибка" error="Допускается ввод только неотрицательных целых чисел!" sqref="AI1058">
      <formula1>0</formula1>
      <formula2>9.99999999999999E+23</formula2>
    </dataValidation>
    <dataValidation type="whole" allowBlank="1" showErrorMessage="1" errorTitle="Ошибка" error="Допускается ввод только неотрицательных целых чисел!" sqref="AF1058">
      <formula1>0</formula1>
      <formula2>9.99999999999999E+23</formula2>
    </dataValidation>
    <dataValidation type="textLength" operator="lessThanOrEqual" allowBlank="1" showInputMessage="1" showErrorMessage="1" errorTitle="Ошибка" error="Допускается ввод не более 900 символов!" sqref="K10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8">
      <formula1>"a"</formula1>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textLength" operator="lessThanOrEqual" allowBlank="1" showInputMessage="1" showErrorMessage="1" errorTitle="Ошибка" error="Допускается ввод не более 900 символов!" sqref="M1057">
      <formula1>900</formula1>
    </dataValidation>
    <dataValidation type="textLength" operator="lessThanOrEqual" allowBlank="1" showInputMessage="1" showErrorMessage="1" errorTitle="Ошибка" error="Допускается ввод не более 900 символов!" sqref="K10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7">
      <formula1>"a"</formula1>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whole" allowBlank="1" showErrorMessage="1" errorTitle="Ошибка" error="Допускается ввод только неотрицательных целых чисел!" sqref="AI1054">
      <formula1>0</formula1>
      <formula2>9.99999999999999E+23</formula2>
    </dataValidation>
    <dataValidation type="whole" allowBlank="1" showErrorMessage="1" errorTitle="Ошибка" error="Допускается ввод только неотрицательных целых чисел!" sqref="AF1054">
      <formula1>0</formula1>
      <formula2>9.99999999999999E+23</formula2>
    </dataValidation>
    <dataValidation type="decimal" allowBlank="1" showErrorMessage="1" errorTitle="Ошибка" error="Допускается ввод только неотрицательных чисел!" sqref="AE1054">
      <formula1>0</formula1>
      <formula2>9.99999999999999E+23</formula2>
    </dataValidation>
    <dataValidation type="decimal" allowBlank="1" showErrorMessage="1" errorTitle="Ошибка" error="Допускается ввод только неотрицательных чисел!" sqref="AC1054">
      <formula1>0</formula1>
      <formula2>9.99999999999999E+23</formula2>
    </dataValidation>
    <dataValidation type="textLength" operator="lessThanOrEqual" allowBlank="1" showInputMessage="1" showErrorMessage="1" errorTitle="Ошибка" error="Допускается ввод не более 900 символов!" sqref="K10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4">
      <formula1>"a"</formula1>
    </dataValidation>
    <dataValidation type="whole" allowBlank="1" showErrorMessage="1" errorTitle="Ошибка" error="Допускается ввод только неотрицательных целых чисел!" sqref="AI1053">
      <formula1>0</formula1>
      <formula2>9.99999999999999E+23</formula2>
    </dataValidation>
    <dataValidation type="whole" allowBlank="1" showErrorMessage="1" errorTitle="Ошибка" error="Допускается ввод только неотрицательных целых чисел!" sqref="AF1053">
      <formula1>0</formula1>
      <formula2>9.99999999999999E+23</formula2>
    </dataValidation>
    <dataValidation type="textLength" operator="lessThanOrEqual" allowBlank="1" showInputMessage="1" showErrorMessage="1" errorTitle="Ошибка" error="Допускается ввод не более 900 символов!" sqref="K10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3">
      <formula1>"a"</formula1>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textLength" operator="lessThanOrEqual" allowBlank="1" showInputMessage="1" showErrorMessage="1" errorTitle="Ошибка" error="Допускается ввод не более 900 символов!" sqref="M1052">
      <formula1>900</formula1>
    </dataValidation>
    <dataValidation type="textLength" operator="lessThanOrEqual" allowBlank="1" showInputMessage="1" showErrorMessage="1" errorTitle="Ошибка" error="Допускается ввод не более 900 символов!" sqref="K10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2">
      <formula1>"a"</formula1>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textLength" operator="lessThanOrEqual" allowBlank="1" showInputMessage="1" showErrorMessage="1" errorTitle="Ошибка" error="Допускается ввод не более 900 символов!" sqref="K10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0">
      <formula1>"a"</formula1>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decimal" allowBlank="1" showErrorMessage="1" errorTitle="Ошибка" error="Допускается ввод только неотрицательных чисел!" sqref="AE1049">
      <formula1>0</formula1>
      <formula2>9.99999999999999E+23</formula2>
    </dataValidation>
    <dataValidation type="decimal" allowBlank="1" showErrorMessage="1" errorTitle="Ошибка" error="Допускается ввод только неотрицательных чисел!" sqref="AC1049">
      <formula1>0</formula1>
      <formula2>9.99999999999999E+23</formula2>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textLength" operator="lessThanOrEqual" allowBlank="1" showInputMessage="1" showErrorMessage="1" errorTitle="Ошибка" error="Допускается ввод не более 900 символов!" sqref="K10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8">
      <formula1>"a"</formula1>
    </dataValidation>
    <dataValidation type="whole" allowBlank="1" showErrorMessage="1" errorTitle="Ошибка" error="Допускается ввод только неотрицательных целых чисел!" sqref="AI1047">
      <formula1>0</formula1>
      <formula2>9.99999999999999E+23</formula2>
    </dataValidation>
    <dataValidation type="whole" allowBlank="1" showErrorMessage="1" errorTitle="Ошибка" error="Допускается ввод только неотрицательных целых чисел!" sqref="AF1047">
      <formula1>0</formula1>
      <formula2>9.99999999999999E+23</formula2>
    </dataValidation>
    <dataValidation type="textLength" operator="lessThanOrEqual" allowBlank="1" showInputMessage="1" showErrorMessage="1" errorTitle="Ошибка" error="Допускается ввод не более 900 символов!" sqref="M1047">
      <formula1>900</formula1>
    </dataValidation>
    <dataValidation type="textLength" operator="lessThanOrEqual" allowBlank="1" showInputMessage="1" showErrorMessage="1" errorTitle="Ошибка" error="Допускается ввод не более 900 символов!" sqref="K10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7">
      <formula1>"a"</formula1>
    </dataValidation>
    <dataValidation type="whole" allowBlank="1" showErrorMessage="1" errorTitle="Ошибка" error="Допускается ввод только неотрицательных целых чисел!" sqref="AI1046">
      <formula1>0</formula1>
      <formula2>9.99999999999999E+23</formula2>
    </dataValidation>
    <dataValidation type="whole" allowBlank="1" showErrorMessage="1" errorTitle="Ошибка" error="Допускается ввод только неотрицательных целых чисел!" sqref="AF1046">
      <formula1>0</formula1>
      <formula2>9.99999999999999E+23</formula2>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textLength" operator="lessThanOrEqual" allowBlank="1" showInputMessage="1" showErrorMessage="1" errorTitle="Ошибка" error="Допускается ввод не более 900 символов!" sqref="K10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5">
      <formula1>"a"</formula1>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decimal" allowBlank="1" showErrorMessage="1" errorTitle="Ошибка" error="Допускается ввод только неотрицательных чисел!" sqref="AE1044">
      <formula1>0</formula1>
      <formula2>9.99999999999999E+23</formula2>
    </dataValidation>
    <dataValidation type="decimal" allowBlank="1" showErrorMessage="1" errorTitle="Ошибка" error="Допускается ввод только неотрицательных чисел!" sqref="AC1044">
      <formula1>0</formula1>
      <formula2>9.99999999999999E+23</formula2>
    </dataValidation>
    <dataValidation type="textLength" operator="lessThanOrEqual" allowBlank="1" showInputMessage="1" showErrorMessage="1" errorTitle="Ошибка" error="Допускается ввод не более 900 символов!" sqref="K10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4">
      <formula1>"a"</formula1>
    </dataValidation>
    <dataValidation type="whole" allowBlank="1" showErrorMessage="1" errorTitle="Ошибка" error="Допускается ввод только неотрицательных целых чисел!" sqref="AI1043">
      <formula1>0</formula1>
      <formula2>9.99999999999999E+23</formula2>
    </dataValidation>
    <dataValidation type="whole" allowBlank="1" showErrorMessage="1" errorTitle="Ошибка" error="Допускается ввод только неотрицательных целых чисел!" sqref="AF1043">
      <formula1>0</formula1>
      <formula2>9.99999999999999E+23</formula2>
    </dataValidation>
    <dataValidation type="textLength" operator="lessThanOrEqual" allowBlank="1" showInputMessage="1" showErrorMessage="1" errorTitle="Ошибка" error="Допускается ввод не более 900 символов!" sqref="K10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3">
      <formula1>"a"</formula1>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textLength" operator="lessThanOrEqual" allowBlank="1" showInputMessage="1" showErrorMessage="1" errorTitle="Ошибка" error="Допускается ввод не более 900 символов!" sqref="M1042">
      <formula1>900</formula1>
    </dataValidation>
    <dataValidation type="textLength" operator="lessThanOrEqual" allowBlank="1" showInputMessage="1" showErrorMessage="1" errorTitle="Ошибка" error="Допускается ввод не более 900 символов!" sqref="K10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2">
      <formula1>"a"</formula1>
    </dataValidation>
    <dataValidation type="whole" allowBlank="1" showErrorMessage="1" errorTitle="Ошибка" error="Допускается ввод только неотрицательных целых чисел!" sqref="AI1041">
      <formula1>0</formula1>
      <formula2>9.99999999999999E+23</formula2>
    </dataValidation>
    <dataValidation type="whole" allowBlank="1" showErrorMessage="1" errorTitle="Ошибка" error="Допускается ввод только неотрицательных целых чисел!" sqref="AF1041">
      <formula1>0</formula1>
      <formula2>9.99999999999999E+23</formula2>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textLength" operator="lessThanOrEqual" allowBlank="1" showInputMessage="1" showErrorMessage="1" errorTitle="Ошибка" error="Допускается ввод не более 900 символов!" sqref="K10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0">
      <formula1>"a"</formula1>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decimal" allowBlank="1" showErrorMessage="1" errorTitle="Ошибка" error="Допускается ввод только неотрицательных чисел!" sqref="AE1039">
      <formula1>0</formula1>
      <formula2>9.99999999999999E+23</formula2>
    </dataValidation>
    <dataValidation type="decimal" allowBlank="1" showErrorMessage="1" errorTitle="Ошибка" error="Допускается ввод только неотрицательных чисел!" sqref="AC1039">
      <formula1>0</formula1>
      <formula2>9.99999999999999E+23</formula2>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textLength" operator="lessThanOrEqual" allowBlank="1" showInputMessage="1" showErrorMessage="1" errorTitle="Ошибка" error="Допускается ввод не более 900 символов!" sqref="M1037">
      <formula1>900</formula1>
    </dataValidation>
    <dataValidation type="textLength" operator="lessThanOrEqual" allowBlank="1" showInputMessage="1" showErrorMessage="1" errorTitle="Ошибка" error="Допускается ввод не более 900 символов!" sqref="K10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7">
      <formula1>"a"</formula1>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whole" allowBlank="1" showErrorMessage="1" errorTitle="Ошибка" error="Допускается ввод только неотрицательных целых чисел!" sqref="AI1035">
      <formula1>0</formula1>
      <formula2>9.99999999999999E+23</formula2>
    </dataValidation>
    <dataValidation type="whole" allowBlank="1" showErrorMessage="1" errorTitle="Ошибка" error="Допускается ввод только неотрицательных целых чисел!" sqref="AF1035">
      <formula1>0</formula1>
      <formula2>9.99999999999999E+23</formula2>
    </dataValidation>
    <dataValidation type="textLength" operator="lessThanOrEqual" allowBlank="1" showInputMessage="1" showErrorMessage="1" errorTitle="Ошибка" error="Допускается ввод не более 900 символов!" sqref="K10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5">
      <formula1>"a"</formula1>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decimal" allowBlank="1" showErrorMessage="1" errorTitle="Ошибка" error="Допускается ввод только неотрицательных чисел!" sqref="AE1034">
      <formula1>0</formula1>
      <formula2>9.99999999999999E+23</formula2>
    </dataValidation>
    <dataValidation type="decimal" allowBlank="1" showErrorMessage="1" errorTitle="Ошибка" error="Допускается ввод только неотрицательных чисел!" sqref="AC1034">
      <formula1>0</formula1>
      <formula2>9.99999999999999E+23</formula2>
    </dataValidation>
    <dataValidation type="textLength" operator="lessThanOrEqual" allowBlank="1" showInputMessage="1" showErrorMessage="1" errorTitle="Ошибка" error="Допускается ввод не более 900 символов!" sqref="K10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4">
      <formula1>"a"</formula1>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whole" allowBlank="1" showErrorMessage="1" errorTitle="Ошибка" error="Допускается ввод только неотрицательных целых чисел!" sqref="AI1032">
      <formula1>0</formula1>
      <formula2>9.99999999999999E+23</formula2>
    </dataValidation>
    <dataValidation type="whole" allowBlank="1" showErrorMessage="1" errorTitle="Ошибка" error="Допускается ввод только неотрицательных целых чисел!" sqref="AF1032">
      <formula1>0</formula1>
      <formula2>9.99999999999999E+23</formula2>
    </dataValidation>
    <dataValidation type="textLength" operator="lessThanOrEqual" allowBlank="1" showInputMessage="1" showErrorMessage="1" errorTitle="Ошибка" error="Допускается ввод не более 900 символов!" sqref="M1032">
      <formula1>900</formula1>
    </dataValidation>
    <dataValidation type="textLength" operator="lessThanOrEqual" allowBlank="1" showInputMessage="1" showErrorMessage="1" errorTitle="Ошибка" error="Допускается ввод не более 900 символов!" sqref="K10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2">
      <formula1>"a"</formula1>
    </dataValidation>
    <dataValidation type="whole" allowBlank="1" showErrorMessage="1" errorTitle="Ошибка" error="Допускается ввод только неотрицательных целых чисел!" sqref="AI1031">
      <formula1>0</formula1>
      <formula2>9.99999999999999E+23</formula2>
    </dataValidation>
    <dataValidation type="whole" allowBlank="1" showErrorMessage="1" errorTitle="Ошибка" error="Допускается ввод только неотрицательных целых чисел!" sqref="AF1031">
      <formula1>0</formula1>
      <formula2>9.99999999999999E+23</formula2>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textLength" operator="lessThanOrEqual" allowBlank="1" showInputMessage="1" showErrorMessage="1" errorTitle="Ошибка" error="Допускается ввод не более 900 символов!" sqref="K10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0">
      <formula1>"a"</formula1>
    </dataValidation>
    <dataValidation type="whole" allowBlank="1" showErrorMessage="1" errorTitle="Ошибка" error="Допускается ввод только неотрицательных целых чисел!" sqref="AI1029">
      <formula1>0</formula1>
      <formula2>9.99999999999999E+23</formula2>
    </dataValidation>
    <dataValidation type="whole" allowBlank="1" showErrorMessage="1" errorTitle="Ошибка" error="Допускается ввод только неотрицательных целых чисел!" sqref="AF1029">
      <formula1>0</formula1>
      <formula2>9.99999999999999E+23</formula2>
    </dataValidation>
    <dataValidation type="decimal" allowBlank="1" showErrorMessage="1" errorTitle="Ошибка" error="Допускается ввод только неотрицательных чисел!" sqref="AE1029">
      <formula1>0</formula1>
      <formula2>9.99999999999999E+23</formula2>
    </dataValidation>
    <dataValidation type="decimal" allowBlank="1" showErrorMessage="1" errorTitle="Ошибка" error="Допускается ввод только неотрицательных чисел!" sqref="AC1029">
      <formula1>0</formula1>
      <formula2>9.99999999999999E+23</formula2>
    </dataValidation>
    <dataValidation type="textLength" operator="lessThanOrEqual" allowBlank="1" showInputMessage="1" showErrorMessage="1" errorTitle="Ошибка" error="Допускается ввод не более 900 символов!" sqref="K10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9">
      <formula1>"a"</formula1>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textLength" operator="lessThanOrEqual" allowBlank="1" showInputMessage="1" showErrorMessage="1" errorTitle="Ошибка" error="Допускается ввод не более 900 символов!" sqref="K10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8">
      <formula1>"a"</formula1>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textLength" operator="lessThanOrEqual" allowBlank="1" showInputMessage="1" showErrorMessage="1" errorTitle="Ошибка" error="Допускается ввод не более 900 символов!" sqref="M1027">
      <formula1>900</formula1>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textLength" operator="lessThanOrEqual" allowBlank="1" showInputMessage="1" showErrorMessage="1" errorTitle="Ошибка" error="Допускается ввод не более 900 символов!" sqref="K10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5">
      <formula1>"a"</formula1>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decimal" allowBlank="1" showErrorMessage="1" errorTitle="Ошибка" error="Допускается ввод только неотрицательных чисел!" sqref="AE1024">
      <formula1>0</formula1>
      <formula2>9.99999999999999E+23</formula2>
    </dataValidation>
    <dataValidation type="decimal" allowBlank="1" showErrorMessage="1" errorTitle="Ошибка" error="Допускается ввод только неотрицательных чисел!" sqref="AC1024">
      <formula1>0</formula1>
      <formula2>9.99999999999999E+23</formula2>
    </dataValidation>
    <dataValidation type="textLength" operator="lessThanOrEqual" allowBlank="1" showInputMessage="1" showErrorMessage="1" errorTitle="Ошибка" error="Допускается ввод не более 900 символов!" sqref="K10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4">
      <formula1>"a"</formula1>
    </dataValidation>
    <dataValidation type="whole" allowBlank="1" showErrorMessage="1" errorTitle="Ошибка" error="Допускается ввод только неотрицательных целых чисел!" sqref="AI1023">
      <formula1>0</formula1>
      <formula2>9.99999999999999E+23</formula2>
    </dataValidation>
    <dataValidation type="whole" allowBlank="1" showErrorMessage="1" errorTitle="Ошибка" error="Допускается ввод только неотрицательных целых чисел!" sqref="AF1023">
      <formula1>0</formula1>
      <formula2>9.99999999999999E+23</formula2>
    </dataValidation>
    <dataValidation type="textLength" operator="lessThanOrEqual" allowBlank="1" showInputMessage="1" showErrorMessage="1" errorTitle="Ошибка" error="Допускается ввод не более 900 символов!" sqref="K10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3">
      <formula1>"a"</formula1>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textLength" operator="lessThanOrEqual" allowBlank="1" showInputMessage="1" showErrorMessage="1" errorTitle="Ошибка" error="Допускается ввод не более 900 символов!" sqref="M1022">
      <formula1>900</formula1>
    </dataValidation>
    <dataValidation type="textLength" operator="lessThanOrEqual" allowBlank="1" showInputMessage="1" showErrorMessage="1" errorTitle="Ошибка" error="Допускается ввод не более 900 символов!" sqref="K10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2">
      <formula1>"a"</formula1>
    </dataValidation>
    <dataValidation type="whole" allowBlank="1" showErrorMessage="1" errorTitle="Ошибка" error="Допускается ввод только неотрицательных целых чисел!" sqref="AI1019">
      <formula1>0</formula1>
      <formula2>9.99999999999999E+23</formula2>
    </dataValidation>
    <dataValidation type="whole" allowBlank="1" showErrorMessage="1" errorTitle="Ошибка" error="Допускается ввод только неотрицательных целых чисел!" sqref="AF1019">
      <formula1>0</formula1>
      <formula2>9.99999999999999E+23</formula2>
    </dataValidation>
    <dataValidation type="decimal" allowBlank="1" showErrorMessage="1" errorTitle="Ошибка" error="Допускается ввод только неотрицательных чисел!" sqref="AE1019">
      <formula1>0</formula1>
      <formula2>9.99999999999999E+23</formula2>
    </dataValidation>
    <dataValidation type="decimal" allowBlank="1" showErrorMessage="1" errorTitle="Ошибка" error="Допускается ввод только неотрицательных чисел!" sqref="AC1019">
      <formula1>0</formula1>
      <formula2>9.99999999999999E+23</formula2>
    </dataValidation>
    <dataValidation type="textLength" operator="lessThanOrEqual" allowBlank="1" showInputMessage="1" showErrorMessage="1" errorTitle="Ошибка" error="Допускается ввод не более 900 символов!" sqref="K10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9">
      <formula1>"a"</formula1>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textLength" operator="lessThanOrEqual" allowBlank="1" showInputMessage="1" showErrorMessage="1" errorTitle="Ошибка" error="Допускается ввод не более 900 символов!" sqref="K10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0">
      <formula1>"a"</formula1>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decimal" allowBlank="1" showErrorMessage="1" errorTitle="Ошибка" error="Допускается ввод только неотрицательных чисел!" sqref="AE1018">
      <formula1>0</formula1>
      <formula2>9.99999999999999E+23</formula2>
    </dataValidation>
    <dataValidation type="decimal" allowBlank="1" showErrorMessage="1" errorTitle="Ошибка" error="Допускается ввод только неотрицательных чисел!" sqref="AC1018">
      <formula1>0</formula1>
      <formula2>9.99999999999999E+23</formula2>
    </dataValidation>
    <dataValidation type="textLength" operator="lessThanOrEqual" allowBlank="1" showInputMessage="1" showErrorMessage="1" errorTitle="Ошибка" error="Допускается ввод не более 900 символов!" sqref="K10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8">
      <formula1>"a"</formula1>
    </dataValidation>
    <dataValidation type="whole" allowBlank="1" showErrorMessage="1" errorTitle="Ошибка" error="Допускается ввод только неотрицательных целых чисел!" sqref="AI1017">
      <formula1>0</formula1>
      <formula2>9.99999999999999E+23</formula2>
    </dataValidation>
    <dataValidation type="whole" allowBlank="1" showErrorMessage="1" errorTitle="Ошибка" error="Допускается ввод только неотрицательных целых чисел!" sqref="AF1017">
      <formula1>0</formula1>
      <formula2>9.99999999999999E+23</formula2>
    </dataValidation>
    <dataValidation type="textLength" operator="lessThanOrEqual" allowBlank="1" showInputMessage="1" showErrorMessage="1" errorTitle="Ошибка" error="Допускается ввод не более 900 символов!" sqref="K10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7">
      <formula1>"a"</formula1>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textLength" operator="lessThanOrEqual" allowBlank="1" showInputMessage="1" showErrorMessage="1" errorTitle="Ошибка" error="Допускается ввод не более 900 символов!" sqref="M1016">
      <formula1>900</formula1>
    </dataValidation>
    <dataValidation type="textLength" operator="lessThanOrEqual" allowBlank="1" showInputMessage="1" showErrorMessage="1" errorTitle="Ошибка" error="Допускается ввод не более 900 символов!" sqref="K10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6">
      <formula1>"a"</formula1>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decimal" allowBlank="1" showErrorMessage="1" errorTitle="Ошибка" error="Допускается ввод только неотрицательных чисел!" sqref="AE1013">
      <formula1>0</formula1>
      <formula2>9.99999999999999E+23</formula2>
    </dataValidation>
    <dataValidation type="decimal" allowBlank="1" showErrorMessage="1" errorTitle="Ошибка" error="Допускается ввод только неотрицательных чисел!" sqref="AC1013">
      <formula1>0</formula1>
      <formula2>9.99999999999999E+23</formula2>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textLength" operator="lessThanOrEqual" allowBlank="1" showInputMessage="1" showErrorMessage="1" errorTitle="Ошибка" error="Допускается ввод не более 900 символов!" sqref="K10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2">
      <formula1>"a"</formula1>
    </dataValidation>
    <dataValidation type="whole" allowBlank="1" showErrorMessage="1" errorTitle="Ошибка" error="Допускается ввод только неотрицательных целых чисел!" sqref="AI1011">
      <formula1>0</formula1>
      <formula2>9.99999999999999E+23</formula2>
    </dataValidation>
    <dataValidation type="whole" allowBlank="1" showErrorMessage="1" errorTitle="Ошибка" error="Допускается ввод только неотрицательных целых чисел!" sqref="AF1011">
      <formula1>0</formula1>
      <formula2>9.99999999999999E+23</formula2>
    </dataValidation>
    <dataValidation type="textLength" operator="lessThanOrEqual" allowBlank="1" showInputMessage="1" showErrorMessage="1" errorTitle="Ошибка" error="Допускается ввод не более 900 символов!" sqref="M1011">
      <formula1>900</formula1>
    </dataValidation>
    <dataValidation type="textLength" operator="lessThanOrEqual" allowBlank="1" showInputMessage="1" showErrorMessage="1" errorTitle="Ошибка" error="Допускается ввод не более 900 символов!" sqref="K10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1">
      <formula1>"a"</formula1>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textLength" operator="lessThanOrEqual" allowBlank="1" showInputMessage="1" showErrorMessage="1" errorTitle="Ошибка" error="Допускается ввод не более 900 символов!" sqref="K10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9">
      <formula1>"a"</formula1>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decimal" allowBlank="1" showErrorMessage="1" errorTitle="Ошибка" error="Допускается ввод только неотрицательных чисел!" sqref="AE1008">
      <formula1>0</formula1>
      <formula2>9.99999999999999E+23</formula2>
    </dataValidation>
    <dataValidation type="decimal" allowBlank="1" showErrorMessage="1" errorTitle="Ошибка" error="Допускается ввод только неотрицательных чисел!" sqref="AC1008">
      <formula1>0</formula1>
      <formula2>9.99999999999999E+23</formula2>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textLength" operator="lessThanOrEqual" allowBlank="1" showInputMessage="1" showErrorMessage="1" errorTitle="Ошибка" error="Допускается ввод не более 900 символов!" sqref="K10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7">
      <formula1>"a"</formula1>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textLength" operator="lessThanOrEqual" allowBlank="1" showInputMessage="1" showErrorMessage="1" errorTitle="Ошибка" error="Допускается ввод не более 900 символов!" sqref="M1006">
      <formula1>900</formula1>
    </dataValidation>
    <dataValidation type="textLength" operator="lessThanOrEqual" allowBlank="1" showInputMessage="1" showErrorMessage="1" errorTitle="Ошибка" error="Допускается ввод не более 900 символов!" sqref="K10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6">
      <formula1>"a"</formula1>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textLength" operator="lessThanOrEqual" allowBlank="1" showInputMessage="1" showErrorMessage="1" errorTitle="Ошибка" error="Допускается ввод не более 900 символов!" sqref="K10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4">
      <formula1>"a"</formula1>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decimal" allowBlank="1" showErrorMessage="1" errorTitle="Ошибка" error="Допускается ввод только неотрицательных чисел!" sqref="AE1003">
      <formula1>0</formula1>
      <formula2>9.99999999999999E+23</formula2>
    </dataValidation>
    <dataValidation type="decimal" allowBlank="1" showErrorMessage="1" errorTitle="Ошибка" error="Допускается ввод только неотрицательных чисел!" sqref="AC1003">
      <formula1>0</formula1>
      <formula2>9.99999999999999E+23</formula2>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textLength" operator="lessThanOrEqual" allowBlank="1" showInputMessage="1" showErrorMessage="1" errorTitle="Ошибка" error="Допускается ввод не более 900 символов!" sqref="K10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2">
      <formula1>"a"</formula1>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textLength" operator="lessThanOrEqual" allowBlank="1" showInputMessage="1" showErrorMessage="1" errorTitle="Ошибка" error="Допускается ввод не более 900 символов!" sqref="M1001">
      <formula1>900</formula1>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whole" allowBlank="1" showErrorMessage="1" errorTitle="Ошибка" error="Допускается ввод только неотрицательных целых чисел!" sqref="AI999">
      <formula1>0</formula1>
      <formula2>9.99999999999999E+23</formula2>
    </dataValidation>
    <dataValidation type="whole" allowBlank="1" showErrorMessage="1" errorTitle="Ошибка" error="Допускается ввод только неотрицательных целых чисел!" sqref="AF999">
      <formula1>0</formula1>
      <formula2>9.99999999999999E+23</formula2>
    </dataValidation>
    <dataValidation type="textLength" operator="lessThanOrEqual" allowBlank="1" showInputMessage="1" showErrorMessage="1" errorTitle="Ошибка" error="Допускается ввод не более 900 символов!" sqref="K9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9">
      <formula1>"a"</formula1>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decimal" allowBlank="1" showErrorMessage="1" errorTitle="Ошибка" error="Допускается ввод только неотрицательных чисел!" sqref="AE998">
      <formula1>0</formula1>
      <formula2>9.99999999999999E+23</formula2>
    </dataValidation>
    <dataValidation type="decimal" allowBlank="1" showErrorMessage="1" errorTitle="Ошибка" error="Допускается ввод только неотрицательных чисел!" sqref="AC998">
      <formula1>0</formula1>
      <formula2>9.99999999999999E+23</formula2>
    </dataValidation>
    <dataValidation type="textLength" operator="lessThanOrEqual" allowBlank="1" showInputMessage="1" showErrorMessage="1" errorTitle="Ошибка" error="Допускается ввод не более 900 символов!" sqref="K9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8">
      <formula1>"a"</formula1>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textLength" operator="lessThanOrEqual" allowBlank="1" showInputMessage="1" showErrorMessage="1" errorTitle="Ошибка" error="Допускается ввод не более 900 символов!" sqref="K9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7">
      <formula1>"a"</formula1>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textLength" operator="lessThanOrEqual" allowBlank="1" showInputMessage="1" showErrorMessage="1" errorTitle="Ошибка" error="Допускается ввод не более 900 символов!" sqref="M996">
      <formula1>900</formula1>
    </dataValidation>
    <dataValidation type="textLength" operator="lessThanOrEqual" allowBlank="1" showInputMessage="1" showErrorMessage="1" errorTitle="Ошибка" error="Допускается ввод не более 900 символов!" sqref="K9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textLength" operator="lessThanOrEqual" allowBlank="1" showInputMessage="1" showErrorMessage="1" errorTitle="Ошибка" error="Допускается ввод не более 900 символов!" sqref="K9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decimal" allowBlank="1" showErrorMessage="1" errorTitle="Ошибка" error="Допускается ввод только неотрицательных чисел!" sqref="AE993">
      <formula1>0</formula1>
      <formula2>9.99999999999999E+23</formula2>
    </dataValidation>
    <dataValidation type="decimal" allowBlank="1" showErrorMessage="1" errorTitle="Ошибка" error="Допускается ввод только неотрицательных чисел!" sqref="AC993">
      <formula1>0</formula1>
      <formula2>9.99999999999999E+23</formula2>
    </dataValidation>
    <dataValidation type="textLength" operator="lessThanOrEqual" allowBlank="1" showInputMessage="1" showErrorMessage="1" errorTitle="Ошибка" error="Допускается ввод не более 900 символов!" sqref="K9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textLength" operator="lessThanOrEqual" allowBlank="1" showInputMessage="1" showErrorMessage="1" errorTitle="Ошибка" error="Допускается ввод не более 900 символов!" sqref="M991">
      <formula1>900</formula1>
    </dataValidation>
    <dataValidation type="textLength" operator="lessThanOrEqual" allowBlank="1" showInputMessage="1" showErrorMessage="1" errorTitle="Ошибка" error="Допускается ввод не более 900 символов!" sqref="K9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textLength" operator="lessThanOrEqual" allowBlank="1" showInputMessage="1" showErrorMessage="1" errorTitle="Ошибка" error="Допускается ввод не более 900 символов!" sqref="K9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decimal" allowBlank="1" showErrorMessage="1" errorTitle="Ошибка" error="Допускается ввод только неотрицательных чисел!" sqref="AE988">
      <formula1>0</formula1>
      <formula2>9.99999999999999E+23</formula2>
    </dataValidation>
    <dataValidation type="decimal" allowBlank="1" showErrorMessage="1" errorTitle="Ошибка" error="Допускается ввод только неотрицательных чисел!" sqref="AC988">
      <formula1>0</formula1>
      <formula2>9.99999999999999E+23</formula2>
    </dataValidation>
    <dataValidation type="textLength" operator="lessThanOrEqual" allowBlank="1" showInputMessage="1" showErrorMessage="1" errorTitle="Ошибка" error="Допускается ввод не более 900 символов!" sqref="K9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textLength" operator="lessThanOrEqual" allowBlank="1" showInputMessage="1" showErrorMessage="1" errorTitle="Ошибка" error="Допускается ввод не более 900 символов!" sqref="M986">
      <formula1>900</formula1>
    </dataValidation>
    <dataValidation type="textLength" operator="lessThanOrEqual" allowBlank="1" showInputMessage="1" showErrorMessage="1" errorTitle="Ошибка" error="Допускается ввод не более 900 символов!" sqref="K9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textLength" operator="lessThanOrEqual" allowBlank="1" showInputMessage="1" showErrorMessage="1" errorTitle="Ошибка" error="Допускается ввод не более 900 символов!" sqref="K9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decimal" allowBlank="1" showErrorMessage="1" errorTitle="Ошибка" error="Допускается ввод только неотрицательных чисел!" sqref="AE972">
      <formula1>0</formula1>
      <formula2>9.99999999999999E+23</formula2>
    </dataValidation>
    <dataValidation type="decimal" allowBlank="1" showErrorMessage="1" errorTitle="Ошибка" error="Допускается ввод только неотрицательных чисел!" sqref="AC972">
      <formula1>0</formula1>
      <formula2>9.99999999999999E+23</formula2>
    </dataValidation>
    <dataValidation type="textLength" operator="lessThanOrEqual" allowBlank="1" showInputMessage="1" showErrorMessage="1" errorTitle="Ошибка" error="Допускается ввод не более 900 символов!" sqref="K9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textLength" operator="lessThanOrEqual" allowBlank="1" showInputMessage="1" showErrorMessage="1" errorTitle="Ошибка" error="Допускается ввод не более 900 символов!" sqref="K9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textLength" operator="lessThanOrEqual" allowBlank="1" showInputMessage="1" showErrorMessage="1" errorTitle="Ошибка" error="Допускается ввод не более 900 символов!" sqref="M970">
      <formula1>900</formula1>
    </dataValidation>
    <dataValidation type="textLength" operator="lessThanOrEqual" allowBlank="1" showInputMessage="1" showErrorMessage="1" errorTitle="Ошибка" error="Допускается ввод не более 900 символов!" sqref="K9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decimal" allowBlank="1" showErrorMessage="1" errorTitle="Ошибка" error="Допускается ввод только неотрицательных чисел!" sqref="AE967">
      <formula1>0</formula1>
      <formula2>9.99999999999999E+23</formula2>
    </dataValidation>
    <dataValidation type="decimal" allowBlank="1" showErrorMessage="1" errorTitle="Ошибка" error="Допускается ввод только неотрицательных чисел!" sqref="AC967">
      <formula1>0</formula1>
      <formula2>9.99999999999999E+23</formula2>
    </dataValidation>
    <dataValidation type="textLength" operator="lessThanOrEqual" allowBlank="1" showInputMessage="1" showErrorMessage="1" errorTitle="Ошибка" error="Допускается ввод не более 900 символов!" sqref="K9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textLength" operator="lessThanOrEqual" allowBlank="1" showInputMessage="1" showErrorMessage="1" errorTitle="Ошибка" error="Допускается ввод не более 900 символов!" sqref="M965">
      <formula1>900</formula1>
    </dataValidation>
    <dataValidation type="textLength" operator="lessThanOrEqual" allowBlank="1" showInputMessage="1" showErrorMessage="1" errorTitle="Ошибка" error="Допускается ввод не более 900 символов!" sqref="K9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textLength" operator="lessThanOrEqual" allowBlank="1" showInputMessage="1" showErrorMessage="1" errorTitle="Ошибка" error="Допускается ввод не более 900 символов!" sqref="K9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decimal" allowBlank="1" showErrorMessage="1" errorTitle="Ошибка" error="Допускается ввод только неотрицательных чисел!" sqref="AE962">
      <formula1>0</formula1>
      <formula2>9.99999999999999E+23</formula2>
    </dataValidation>
    <dataValidation type="decimal" allowBlank="1" showErrorMessage="1" errorTitle="Ошибка" error="Допускается ввод только неотрицательных чисел!" sqref="AC962">
      <formula1>0</formula1>
      <formula2>9.99999999999999E+23</formula2>
    </dataValidation>
    <dataValidation type="textLength" operator="lessThanOrEqual" allowBlank="1" showInputMessage="1" showErrorMessage="1" errorTitle="Ошибка" error="Допускается ввод не более 900 символов!" sqref="K9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textLength" operator="lessThanOrEqual" allowBlank="1" showInputMessage="1" showErrorMessage="1" errorTitle="Ошибка" error="Допускается ввод не более 900 символов!" sqref="K9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textLength" operator="lessThanOrEqual" allowBlank="1" showInputMessage="1" showErrorMessage="1" errorTitle="Ошибка" error="Допускается ввод не более 900 символов!" sqref="M960">
      <formula1>900</formula1>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textLength" operator="lessThanOrEqual" allowBlank="1" showInputMessage="1" showErrorMessage="1" errorTitle="Ошибка" error="Допускается ввод не более 900 символов!" sqref="K9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decimal" allowBlank="1" showErrorMessage="1" errorTitle="Ошибка" error="Допускается ввод только неотрицательных чисел!" sqref="AE957">
      <formula1>0</formula1>
      <formula2>9.99999999999999E+23</formula2>
    </dataValidation>
    <dataValidation type="decimal" allowBlank="1" showErrorMessage="1" errorTitle="Ошибка" error="Допускается ввод только неотрицательных чисел!" sqref="AC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textLength" operator="lessThanOrEqual" allowBlank="1" showInputMessage="1" showErrorMessage="1" errorTitle="Ошибка" error="Допускается ввод не более 900 символов!" sqref="M955">
      <formula1>900</formula1>
    </dataValidation>
    <dataValidation type="textLength" operator="lessThanOrEqual" allowBlank="1" showInputMessage="1" showErrorMessage="1" errorTitle="Ошибка" error="Допускается ввод не более 900 символов!" sqref="K9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textLength" operator="lessThanOrEqual" allowBlank="1" showInputMessage="1" showErrorMessage="1" errorTitle="Ошибка" error="Допускается ввод не более 900 символов!" sqref="K9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decimal" allowBlank="1" showErrorMessage="1" errorTitle="Ошибка" error="Допускается ввод только неотрицательных чисел!" sqref="AE952">
      <formula1>0</formula1>
      <formula2>9.99999999999999E+23</formula2>
    </dataValidation>
    <dataValidation type="decimal" allowBlank="1" showErrorMessage="1" errorTitle="Ошибка" error="Допускается ввод только неотрицательных чисел!" sqref="AC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textLength" operator="lessThanOrEqual" allowBlank="1" showInputMessage="1" showErrorMessage="1" errorTitle="Ошибка" error="Допускается ввод не более 900 символов!" sqref="M950">
      <formula1>900</formula1>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decimal" allowBlank="1" showErrorMessage="1" errorTitle="Ошибка" error="Допускается ввод только неотрицательных чисел!" sqref="AE947">
      <formula1>0</formula1>
      <formula2>9.99999999999999E+23</formula2>
    </dataValidation>
    <dataValidation type="decimal" allowBlank="1" showErrorMessage="1" errorTitle="Ошибка" error="Допускается ввод только неотрицательных чисел!" sqref="AC947">
      <formula1>0</formula1>
      <formula2>9.99999999999999E+23</formula2>
    </dataValidation>
    <dataValidation type="textLength" operator="lessThanOrEqual" allowBlank="1" showInputMessage="1" showErrorMessage="1" errorTitle="Ошибка" error="Допускается ввод не более 900 символов!" sqref="K9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textLength" operator="lessThanOrEqual" allowBlank="1" showInputMessage="1" showErrorMessage="1" errorTitle="Ошибка" error="Допускается ввод не более 900 символов!" sqref="M945">
      <formula1>900</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decimal" allowBlank="1" showErrorMessage="1" errorTitle="Ошибка" error="Допускается ввод только неотрицательных чисел!" sqref="AE942">
      <formula1>0</formula1>
      <formula2>9.99999999999999E+23</formula2>
    </dataValidation>
    <dataValidation type="decimal" allowBlank="1" showErrorMessage="1" errorTitle="Ошибка" error="Допускается ввод только неотрицательных чисел!" sqref="AC942">
      <formula1>0</formula1>
      <formula2>9.99999999999999E+23</formula2>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M940">
      <formula1>900</formula1>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decimal" allowBlank="1" showErrorMessage="1" errorTitle="Ошибка" error="Допускается ввод только неотрицательных чисел!" sqref="AE937">
      <formula1>0</formula1>
      <formula2>9.99999999999999E+23</formula2>
    </dataValidation>
    <dataValidation type="decimal" allowBlank="1" showErrorMessage="1" errorTitle="Ошибка" error="Допускается ввод только неотрицательных чисел!" sqref="AC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textLength" operator="lessThanOrEqual" allowBlank="1" showInputMessage="1" showErrorMessage="1" errorTitle="Ошибка" error="Допускается ввод не более 900 символов!" sqref="M935">
      <formula1>900</formula1>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decimal" allowBlank="1" showErrorMessage="1" errorTitle="Ошибка" error="Допускается ввод только неотрицательных чисел!" sqref="AE932">
      <formula1>0</formula1>
      <formula2>9.99999999999999E+23</formula2>
    </dataValidation>
    <dataValidation type="decimal" allowBlank="1" showErrorMessage="1" errorTitle="Ошибка" error="Допускается ввод только неотрицательных чисел!" sqref="AC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M930">
      <formula1>900</formula1>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decimal" allowBlank="1" showErrorMessage="1" errorTitle="Ошибка" error="Допускается ввод только неотрицательных чисел!" sqref="AE927">
      <formula1>0</formula1>
      <formula2>9.99999999999999E+23</formula2>
    </dataValidation>
    <dataValidation type="decimal" allowBlank="1" showErrorMessage="1" errorTitle="Ошибка" error="Допускается ввод только неотрицательных чисел!" sqref="AC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textLength" operator="lessThanOrEqual" allowBlank="1" showInputMessage="1" showErrorMessage="1" errorTitle="Ошибка" error="Допускается ввод не более 900 символов!" sqref="M925">
      <formula1>900</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decimal" allowBlank="1" showErrorMessage="1" errorTitle="Ошибка" error="Допускается ввод только неотрицательных чисел!" sqref="AE922">
      <formula1>0</formula1>
      <formula2>9.99999999999999E+23</formula2>
    </dataValidation>
    <dataValidation type="decimal" allowBlank="1" showErrorMessage="1" errorTitle="Ошибка" error="Допускается ввод только неотрицательных чисел!" sqref="AC922">
      <formula1>0</formula1>
      <formula2>9.99999999999999E+23</formula2>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textLength" operator="lessThanOrEqual" allowBlank="1" showInputMessage="1" showErrorMessage="1" errorTitle="Ошибка" error="Допускается ввод не более 900 символов!" sqref="M920">
      <formula1>900</formula1>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decimal" allowBlank="1" showErrorMessage="1" errorTitle="Ошибка" error="Допускается ввод только неотрицательных чисел!" sqref="AE917">
      <formula1>0</formula1>
      <formula2>9.99999999999999E+23</formula2>
    </dataValidation>
    <dataValidation type="decimal" allowBlank="1" showErrorMessage="1" errorTitle="Ошибка" error="Допускается ввод только неотрицательных чисел!" sqref="AC917">
      <formula1>0</formula1>
      <formula2>9.99999999999999E+23</formula2>
    </dataValidation>
    <dataValidation type="textLength" operator="lessThanOrEqual" allowBlank="1" showInputMessage="1" showErrorMessage="1" errorTitle="Ошибка" error="Допускается ввод не более 900 символов!" sqref="K9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textLength" operator="lessThanOrEqual" allowBlank="1" showInputMessage="1" showErrorMessage="1" errorTitle="Ошибка" error="Допускается ввод не более 900 символов!" sqref="M915">
      <formula1>900</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M910">
      <formula1>900</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decimal" allowBlank="1" showErrorMessage="1" errorTitle="Ошибка" error="Допускается ввод только неотрицательных чисел!" sqref="AE907">
      <formula1>0</formula1>
      <formula2>9.99999999999999E+23</formula2>
    </dataValidation>
    <dataValidation type="decimal" allowBlank="1" showErrorMessage="1" errorTitle="Ошибка" error="Допускается ввод только неотрицательных чисел!" sqref="AC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textLength" operator="lessThanOrEqual" allowBlank="1" showInputMessage="1" showErrorMessage="1" errorTitle="Ошибка" error="Допускается ввод не более 900 символов!" sqref="M905">
      <formula1>900</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decimal" allowBlank="1" showErrorMessage="1" errorTitle="Ошибка" error="Допускается ввод только неотрицательных чисел!" sqref="AE902">
      <formula1>0</formula1>
      <formula2>9.99999999999999E+23</formula2>
    </dataValidation>
    <dataValidation type="decimal" allowBlank="1" showErrorMessage="1" errorTitle="Ошибка" error="Допускается ввод только неотрицательных чисел!" sqref="AC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textLength" operator="lessThanOrEqual" allowBlank="1" showInputMessage="1" showErrorMessage="1" errorTitle="Ошибка" error="Допускается ввод не более 900 символов!" sqref="M900">
      <formula1>900</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decimal" allowBlank="1" showErrorMessage="1" errorTitle="Ошибка" error="Допускается ввод только неотрицательных чисел!" sqref="AE897">
      <formula1>0</formula1>
      <formula2>9.99999999999999E+23</formula2>
    </dataValidation>
    <dataValidation type="decimal" allowBlank="1" showErrorMessage="1" errorTitle="Ошибка" error="Допускается ввод только неотрицательных чисел!" sqref="AC897">
      <formula1>0</formula1>
      <formula2>9.99999999999999E+23</formula2>
    </dataValidation>
    <dataValidation type="textLength" operator="lessThanOrEqual" allowBlank="1" showInputMessage="1" showErrorMessage="1" errorTitle="Ошибка" error="Допускается ввод не более 900 символов!" sqref="K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textLength" operator="lessThanOrEqual" allowBlank="1" showInputMessage="1" showErrorMessage="1" errorTitle="Ошибка" error="Допускается ввод не более 900 символов!" sqref="M895">
      <formula1>900</formula1>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decimal" allowBlank="1" showErrorMessage="1" errorTitle="Ошибка" error="Допускается ввод только неотрицательных чисел!" sqref="AE892">
      <formula1>0</formula1>
      <formula2>9.99999999999999E+23</formula2>
    </dataValidation>
    <dataValidation type="decimal" allowBlank="1" showErrorMessage="1" errorTitle="Ошибка" error="Допускается ввод только неотрицательных чисел!" sqref="AC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M890">
      <formula1>900</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decimal" allowBlank="1" showErrorMessage="1" errorTitle="Ошибка" error="Допускается ввод только неотрицательных чисел!" sqref="AE887">
      <formula1>0</formula1>
      <formula2>9.99999999999999E+23</formula2>
    </dataValidation>
    <dataValidation type="decimal" allowBlank="1" showErrorMessage="1" errorTitle="Ошибка" error="Допускается ввод только неотрицательных чисел!" sqref="AC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textLength" operator="lessThanOrEqual" allowBlank="1" showInputMessage="1" showErrorMessage="1" errorTitle="Ошибка" error="Допускается ввод не более 900 символов!" sqref="M885">
      <formula1>900</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textLength" operator="lessThanOrEqual" allowBlank="1" showInputMessage="1" showErrorMessage="1" errorTitle="Ошибка" error="Допускается ввод не более 900 символов!" sqref="K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decimal" allowBlank="1" showErrorMessage="1" errorTitle="Ошибка" error="Допускается ввод только неотрицательных чисел!" sqref="AE882">
      <formula1>0</formula1>
      <formula2>9.99999999999999E+23</formula2>
    </dataValidation>
    <dataValidation type="decimal" allowBlank="1" showErrorMessage="1" errorTitle="Ошибка" error="Допускается ввод только неотрицательных чисел!" sqref="AC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textLength" operator="lessThanOrEqual" allowBlank="1" showInputMessage="1" showErrorMessage="1" errorTitle="Ошибка" error="Допускается ввод не более 900 символов!" sqref="M880">
      <formula1>900</formula1>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decimal" allowBlank="1" showErrorMessage="1" errorTitle="Ошибка" error="Допускается ввод только неотрицательных чисел!" sqref="AE877">
      <formula1>0</formula1>
      <formula2>9.99999999999999E+23</formula2>
    </dataValidation>
    <dataValidation type="decimal" allowBlank="1" showErrorMessage="1" errorTitle="Ошибка" error="Допускается ввод только неотрицательных чисел!" sqref="AC877">
      <formula1>0</formula1>
      <formula2>9.99999999999999E+23</formula2>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textLength" operator="lessThanOrEqual" allowBlank="1" showInputMessage="1" showErrorMessage="1" errorTitle="Ошибка" error="Допускается ввод не более 900 символов!" sqref="M875">
      <formula1>900</formula1>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M267">
      <formula1>900</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decimal" allowBlank="1" showErrorMessage="1" errorTitle="Ошибка" error="Допускается ввод только неотрицательных чисел!" sqref="AE264">
      <formula1>0</formula1>
      <formula2>9.99999999999999E+23</formula2>
    </dataValidation>
    <dataValidation type="decimal" allowBlank="1" showErrorMessage="1" errorTitle="Ошибка" error="Допускается ввод только неотрицательных чисел!" sqref="AC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M262">
      <formula1>900</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M257">
      <formula1>900</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M252">
      <formula1>900</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M247">
      <formula1>900</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M242">
      <formula1>900</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M237">
      <formula1>900</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decimal" allowBlank="1" showErrorMessage="1" errorTitle="Ошибка" error="Допускается ввод только неотрицательных чисел!" sqref="AE234">
      <formula1>0</formula1>
      <formula2>9.99999999999999E+23</formula2>
    </dataValidation>
    <dataValidation type="decimal" allowBlank="1" showErrorMessage="1" errorTitle="Ошибка" error="Допускается ввод только неотрицательных чисел!" sqref="AC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M232">
      <formula1>900</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M227">
      <formula1>900</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M222">
      <formula1>900</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M212">
      <formula1>900</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M207">
      <formula1>900</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textLength" operator="lessThanOrEqual" allowBlank="1" showInputMessage="1" showErrorMessage="1" errorTitle="Ошибка" error="Допускается ввод не более 900 символов!" sqref="M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textLength" operator="lessThanOrEqual" allowBlank="1" showInputMessage="1" showErrorMessage="1" errorTitle="Ошибка" error="Допускается ввод не более 900 символов!" sqref="M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textLength" operator="lessThanOrEqual" allowBlank="1" showInputMessage="1" showErrorMessage="1" errorTitle="Ошибка" error="Допускается ввод не более 900 символов!" sqref="M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decimal" allowBlank="1" showErrorMessage="1" errorTitle="Ошибка" error="Допускается ввод только неотрицательных чисел!" sqref="AC175">
      <formula1>0</formula1>
      <formula2>9.99999999999999E+23</formula2>
    </dataValidation>
    <dataValidation type="decimal" allowBlank="1" showErrorMessage="1" errorTitle="Ошибка" error="Допускается ввод только неотрицательных чисел!" sqref="AE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textLength" operator="lessThanOrEqual" allowBlank="1" showInputMessage="1" showErrorMessage="1" errorTitle="Ошибка" error="Допускается ввод не более 900 символов!" sqref="M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decimal" allowBlank="1" showErrorMessage="1" errorTitle="Ошибка" error="Допускается ввод только неотрицательных чисел!" sqref="AC452">
      <formula1>0</formula1>
      <formula2>9.99999999999999E+23</formula2>
    </dataValidation>
    <dataValidation type="decimal" allowBlank="1" showErrorMessage="1" errorTitle="Ошибка" error="Допускается ввод только неотрицательных чисел!" sqref="AE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textLength" operator="lessThanOrEqual" allowBlank="1" showInputMessage="1" showErrorMessage="1" errorTitle="Ошибка" error="Допускается ввод не более 900 символов!" sqref="M657">
      <formula1>900</formula1>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textLength" operator="lessThanOrEqual" allowBlank="1" showInputMessage="1" showErrorMessage="1" errorTitle="Ошибка" error="Допускается ввод не более 900 символов!" sqref="M839">
      <formula1>900</formula1>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textLength" operator="lessThanOrEqual" allowBlank="1" showInputMessage="1" showErrorMessage="1" errorTitle="Ошибка" error="Допускается ввод не более 900 символов!" sqref="K981">
      <formula1>900</formula1>
    </dataValidation>
    <dataValidation type="textLength" operator="lessThanOrEqual" allowBlank="1" showInputMessage="1" showErrorMessage="1" errorTitle="Ошибка" error="Допускается ввод не более 900 символов!" sqref="M981">
      <formula1>900</formula1>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textLength" operator="lessThanOrEqual" allowBlank="1" showInputMessage="1" showErrorMessage="1" errorTitle="Ошибка" error="Допускается ввод не более 900 символов!" sqref="K982">
      <formula1>900</formula1>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textLength" operator="lessThanOrEqual" allowBlank="1" showInputMessage="1" showErrorMessage="1" errorTitle="Ошибка" error="Допускается ввод не более 900 символов!" sqref="K983">
      <formula1>900</formula1>
    </dataValidation>
    <dataValidation type="decimal" allowBlank="1" showErrorMessage="1" errorTitle="Ошибка" error="Допускается ввод только неотрицательных чисел!" sqref="AC983">
      <formula1>0</formula1>
      <formula2>9.99999999999999E+23</formula2>
    </dataValidation>
    <dataValidation type="decimal" allowBlank="1" showErrorMessage="1" errorTitle="Ошибка" error="Допускается ввод только неотрицательных чисел!" sqref="AE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textLength" operator="lessThanOrEqual" allowBlank="1" showInputMessage="1" showErrorMessage="1" errorTitle="Ошибка" error="Допускается ввод не более 900 символов!" sqref="K984">
      <formula1>900</formula1>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textLength" operator="lessThanOrEqual" allowBlank="1" showInputMessage="1" showErrorMessage="1" errorTitle="Ошибка" error="Допускается ввод не более 900 символов!" sqref="M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textLength" operator="lessThanOrEqual" allowBlank="1" showInputMessage="1" showErrorMessage="1" errorTitle="Ошибка" error="Допускается ввод не более 900 символов!" sqref="M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textLength" operator="lessThanOrEqual" allowBlank="1" showInputMessage="1" showErrorMessage="1" errorTitle="Ошибка" error="Допускается ввод не более 900 символов!" sqref="M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textLength" operator="lessThanOrEqual" allowBlank="1" showInputMessage="1" showErrorMessage="1" errorTitle="Ошибка" error="Допускается ввод не более 900 символов!" sqref="M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textLength" operator="lessThanOrEqual" allowBlank="1" showInputMessage="1" showErrorMessage="1" errorTitle="Ошибка" error="Допускается ввод не более 900 символов!" sqref="M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textLength" operator="lessThanOrEqual" allowBlank="1" showInputMessage="1" showErrorMessage="1" errorTitle="Ошибка" error="Допускается ввод не более 900 символов!" sqref="M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textLength" operator="lessThanOrEqual" allowBlank="1" showInputMessage="1" showErrorMessage="1" errorTitle="Ошибка" error="Допускается ввод не более 900 символов!" sqref="M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textLength" operator="lessThanOrEqual" allowBlank="1" showInputMessage="1" showErrorMessage="1" errorTitle="Ошибка" error="Допускается ввод не более 900 символов!" sqref="M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textLength" operator="lessThanOrEqual" allowBlank="1" showInputMessage="1" showErrorMessage="1" errorTitle="Ошибка" error="Допускается ввод не более 900 символов!" sqref="M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textLength" operator="lessThanOrEqual" allowBlank="1" showInputMessage="1" showErrorMessage="1" errorTitle="Ошибка" error="Допускается ввод не более 900 символов!" sqref="M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textLength" operator="lessThanOrEqual" allowBlank="1" showInputMessage="1" showErrorMessage="1" errorTitle="Ошибка" error="Допускается ввод не более 900 символов!" sqref="M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textLength" operator="lessThanOrEqual" allowBlank="1" showInputMessage="1" showErrorMessage="1" errorTitle="Ошибка" error="Допускается ввод не более 900 символов!" sqref="M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textLength" operator="lessThanOrEqual" allowBlank="1" showInputMessage="1" showErrorMessage="1" errorTitle="Ошибка" error="Допускается ввод не более 900 символов!" sqref="M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textLength" operator="lessThanOrEqual" allowBlank="1" showInputMessage="1" showErrorMessage="1" errorTitle="Ошибка" error="Допускается ввод не более 900 символов!" sqref="M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textLength" operator="lessThanOrEqual" allowBlank="1" showInputMessage="1" showErrorMessage="1" errorTitle="Ошибка" error="Допускается ввод не более 900 символов!" sqref="M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textLength" operator="lessThanOrEqual" allowBlank="1" showInputMessage="1" showErrorMessage="1" errorTitle="Ошибка" error="Допускается ввод не более 900 символов!" sqref="M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textLength" operator="lessThanOrEqual" allowBlank="1" showInputMessage="1" showErrorMessage="1" errorTitle="Ошибка" error="Допускается ввод не более 900 символов!" sqref="M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textLength" operator="lessThanOrEqual" allowBlank="1" showInputMessage="1" showErrorMessage="1" errorTitle="Ошибка" error="Допускается ввод не более 900 символов!" sqref="M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textLength" operator="lessThanOrEqual" allowBlank="1" showInputMessage="1" showErrorMessage="1" errorTitle="Ошибка" error="Допускается ввод не более 900 символов!" sqref="M368">
      <formula1>900</formula1>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textLength" operator="lessThanOrEqual" allowBlank="1" showInputMessage="1" showErrorMessage="1" errorTitle="Ошибка" error="Допускается ввод не более 900 символов!" sqref="M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textLength" operator="lessThanOrEqual" allowBlank="1" showInputMessage="1" showErrorMessage="1" errorTitle="Ошибка" error="Допускается ввод не более 900 символов!" sqref="M378">
      <formula1>900</formula1>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textLength" operator="lessThanOrEqual" allowBlank="1" showInputMessage="1" showErrorMessage="1" errorTitle="Ошибка" error="Допускается ввод не более 900 символов!" sqref="M383">
      <formula1>900</formula1>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decimal" allowBlank="1" showErrorMessage="1" errorTitle="Ошибка" error="Допускается ввод только неотрицательных чисел!" sqref="AC386">
      <formula1>0</formula1>
      <formula2>9.99999999999999E+23</formula2>
    </dataValidation>
    <dataValidation type="decimal" allowBlank="1" showErrorMessage="1" errorTitle="Ошибка" error="Допускается ввод только неотрицательных чисел!" sqref="AE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textLength" operator="lessThanOrEqual" allowBlank="1" showInputMessage="1" showErrorMessage="1" errorTitle="Ошибка" error="Допускается ввод не более 900 символов!" sqref="M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textLength" operator="lessThanOrEqual" allowBlank="1" showInputMessage="1" showErrorMessage="1" errorTitle="Ошибка" error="Допускается ввод не более 900 символов!" sqref="M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textLength" operator="lessThanOrEqual" allowBlank="1" showInputMessage="1" showErrorMessage="1" errorTitle="Ошибка" error="Допускается ввод не более 900 символов!" sqref="M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textLength" operator="lessThanOrEqual" allowBlank="1" showInputMessage="1" showErrorMessage="1" errorTitle="Ошибка" error="Допускается ввод не более 900 символов!" sqref="M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textLength" operator="lessThanOrEqual" allowBlank="1" showInputMessage="1" showErrorMessage="1" errorTitle="Ошибка" error="Допускается ввод не более 900 символов!" sqref="M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textLength" operator="lessThanOrEqual" allowBlank="1" showInputMessage="1" showErrorMessage="1" errorTitle="Ошибка" error="Допускается ввод не более 900 символов!" sqref="M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decimal" allowBlank="1" showErrorMessage="1" errorTitle="Ошибка" error="Допускается ввод только неотрицательных чисел!" sqref="AC416">
      <formula1>0</formula1>
      <formula2>9.99999999999999E+23</formula2>
    </dataValidation>
    <dataValidation type="decimal" allowBlank="1" showErrorMessage="1" errorTitle="Ошибка" error="Допускается ввод только неотрицательных чисел!" sqref="AE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textLength" operator="lessThanOrEqual" allowBlank="1" showInputMessage="1" showErrorMessage="1" errorTitle="Ошибка" error="Допускается ввод не более 900 символов!" sqref="M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decimal" allowBlank="1" showErrorMessage="1" errorTitle="Ошибка" error="Допускается ввод только неотрицательных чисел!" sqref="AC421">
      <formula1>0</formula1>
      <formula2>9.99999999999999E+23</formula2>
    </dataValidation>
    <dataValidation type="decimal" allowBlank="1" showErrorMessage="1" errorTitle="Ошибка" error="Допускается ввод только неотрицательных чисел!" sqref="AE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textLength" operator="lessThanOrEqual" allowBlank="1" showInputMessage="1" showErrorMessage="1" errorTitle="Ошибка" error="Допускается ввод не более 900 символов!" sqref="M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textLength" operator="lessThanOrEqual" allowBlank="1" showInputMessage="1" showErrorMessage="1" errorTitle="Ошибка" error="Допускается ввод не более 900 символов!" sqref="M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textLength" operator="lessThanOrEqual" allowBlank="1" showInputMessage="1" showErrorMessage="1" errorTitle="Ошибка" error="Допускается ввод не более 900 символов!" sqref="M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textLength" operator="lessThanOrEqual" allowBlank="1" showInputMessage="1" showErrorMessage="1" errorTitle="Ошибка" error="Допускается ввод не более 900 символов!" sqref="M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decimal" allowBlank="1" showErrorMessage="1" errorTitle="Ошибка" error="Допускается ввод только неотрицательных чисел!" sqref="AC441">
      <formula1>0</formula1>
      <formula2>9.99999999999999E+23</formula2>
    </dataValidation>
    <dataValidation type="decimal" allowBlank="1" showErrorMessage="1" errorTitle="Ошибка" error="Допускается ввод только неотрицательных чисел!" sqref="AE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textLength" operator="lessThanOrEqual" allowBlank="1" showInputMessage="1" showErrorMessage="1" errorTitle="Ошибка" error="Допускается ввод не более 900 символов!" sqref="M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decimal" allowBlank="1" showErrorMessage="1" errorTitle="Ошибка" error="Допускается ввод только неотрицательных чисел!" sqref="AC446">
      <formula1>0</formula1>
      <formula2>9.99999999999999E+23</formula2>
    </dataValidation>
    <dataValidation type="decimal" allowBlank="1" showErrorMessage="1" errorTitle="Ошибка" error="Допускается ввод только неотрицательных чисел!" sqref="AE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textLength" operator="lessThanOrEqual" allowBlank="1" showInputMessage="1" showErrorMessage="1" errorTitle="Ошибка" error="Допускается ввод не более 900 символов!" sqref="M455">
      <formula1>900</formula1>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textLength" operator="lessThanOrEqual" allowBlank="1" showInputMessage="1" showErrorMessage="1" errorTitle="Ошибка" error="Допускается ввод не более 900 символов!" sqref="M460">
      <formula1>900</formula1>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decimal" allowBlank="1" showErrorMessage="1" errorTitle="Ошибка" error="Допускается ввод только неотрицательных чисел!" sqref="AC462">
      <formula1>0</formula1>
      <formula2>9.99999999999999E+23</formula2>
    </dataValidation>
    <dataValidation type="decimal" allowBlank="1" showErrorMessage="1" errorTitle="Ошибка" error="Допускается ввод только неотрицательных чисел!" sqref="AE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textLength" operator="lessThanOrEqual" allowBlank="1" showInputMessage="1" showErrorMessage="1" errorTitle="Ошибка" error="Допускается ввод не более 900 символов!" sqref="M465">
      <formula1>900</formula1>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textLength" operator="lessThanOrEqual" allowBlank="1" showInputMessage="1" showErrorMessage="1" errorTitle="Ошибка" error="Допускается ввод не более 900 символов!" sqref="M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textLength" operator="lessThanOrEqual" allowBlank="1" showInputMessage="1" showErrorMessage="1" errorTitle="Ошибка" error="Допускается ввод не более 900 символов!" sqref="M475">
      <formula1>900</formula1>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textLength" operator="lessThanOrEqual" allowBlank="1" showInputMessage="1" showErrorMessage="1" errorTitle="Ошибка" error="Допускается ввод не более 900 символов!" sqref="M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decimal" allowBlank="1" showErrorMessage="1" errorTitle="Ошибка" error="Допускается ввод только неотрицательных чисел!" sqref="AC482">
      <formula1>0</formula1>
      <formula2>9.99999999999999E+23</formula2>
    </dataValidation>
    <dataValidation type="decimal" allowBlank="1" showErrorMessage="1" errorTitle="Ошибка" error="Допускается ввод только неотрицательных чисел!" sqref="AE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textLength" operator="lessThanOrEqual" allowBlank="1" showInputMessage="1" showErrorMessage="1" errorTitle="Ошибка" error="Допускается ввод не более 900 символов!" sqref="M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textLength" operator="lessThanOrEqual" allowBlank="1" showInputMessage="1" showErrorMessage="1" errorTitle="Ошибка" error="Допускается ввод не более 900 символов!" sqref="M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textLength" operator="lessThanOrEqual" allowBlank="1" showInputMessage="1" showErrorMessage="1" errorTitle="Ошибка" error="Допускается ввод не более 900 символов!" sqref="M495">
      <formula1>900</formula1>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textLength" operator="lessThanOrEqual" allowBlank="1" showInputMessage="1" showErrorMessage="1" errorTitle="Ошибка" error="Допускается ввод не более 900 символов!" sqref="M500">
      <formula1>900</formula1>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decimal" allowBlank="1" showErrorMessage="1" errorTitle="Ошибка" error="Допускается ввод только неотрицательных чисел!" sqref="AC502">
      <formula1>0</formula1>
      <formula2>9.99999999999999E+23</formula2>
    </dataValidation>
    <dataValidation type="decimal" allowBlank="1" showErrorMessage="1" errorTitle="Ошибка" error="Допускается ввод только неотрицательных чисел!" sqref="AE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textLength" operator="lessThanOrEqual" allowBlank="1" showInputMessage="1" showErrorMessage="1" errorTitle="Ошибка" error="Допускается ввод не более 900 символов!" sqref="M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decimal" allowBlank="1" showErrorMessage="1" errorTitle="Ошибка" error="Допускается ввод только неотрицательных чисел!" sqref="AC507">
      <formula1>0</formula1>
      <formula2>9.99999999999999E+23</formula2>
    </dataValidation>
    <dataValidation type="decimal" allowBlank="1" showErrorMessage="1" errorTitle="Ошибка" error="Допускается ввод только неотрицательных чисел!" sqref="AE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textLength" operator="lessThanOrEqual" allowBlank="1" showInputMessage="1" showErrorMessage="1" errorTitle="Ошибка" error="Допускается ввод не более 900 символов!" sqref="M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textLength" operator="lessThanOrEqual" allowBlank="1" showInputMessage="1" showErrorMessage="1" errorTitle="Ошибка" error="Допускается ввод не более 900 символов!" sqref="M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textLength" operator="lessThanOrEqual" allowBlank="1" showInputMessage="1" showErrorMessage="1" errorTitle="Ошибка" error="Допускается ввод не более 900 символов!" sqref="M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textLength" operator="lessThanOrEqual" allowBlank="1" showInputMessage="1" showErrorMessage="1" errorTitle="Ошибка" error="Допускается ввод не более 900 символов!" sqref="M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textLength" operator="lessThanOrEqual" allowBlank="1" showInputMessage="1" showErrorMessage="1" errorTitle="Ошибка" error="Допускается ввод не более 900 символов!" sqref="M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decimal" allowBlank="1" showErrorMessage="1" errorTitle="Ошибка" error="Допускается ввод только неотрицательных чисел!" sqref="AC532">
      <formula1>0</formula1>
      <formula2>9.99999999999999E+23</formula2>
    </dataValidation>
    <dataValidation type="decimal" allowBlank="1" showErrorMessage="1" errorTitle="Ошибка" error="Допускается ввод только неотрицательных чисел!" sqref="AE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textLength" operator="lessThanOrEqual" allowBlank="1" showInputMessage="1" showErrorMessage="1" errorTitle="Ошибка" error="Допускается ввод не более 900 символов!" sqref="M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decimal" allowBlank="1" showErrorMessage="1" errorTitle="Ошибка" error="Допускается ввод только неотрицательных чисел!" sqref="AC537">
      <formula1>0</formula1>
      <formula2>9.99999999999999E+23</formula2>
    </dataValidation>
    <dataValidation type="decimal" allowBlank="1" showErrorMessage="1" errorTitle="Ошибка" error="Допускается ввод только неотрицательных чисел!" sqref="AE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textLength" operator="lessThanOrEqual" allowBlank="1" showInputMessage="1" showErrorMessage="1" errorTitle="Ошибка" error="Допускается ввод не более 900 символов!" sqref="M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decimal" allowBlank="1" showErrorMessage="1" errorTitle="Ошибка" error="Допускается ввод только неотрицательных чисел!" sqref="AC543">
      <formula1>0</formula1>
      <formula2>9.99999999999999E+23</formula2>
    </dataValidation>
    <dataValidation type="decimal" allowBlank="1" showErrorMessage="1" errorTitle="Ошибка" error="Допускается ввод только неотрицательных чисел!" sqref="AE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textLength" operator="lessThanOrEqual" allowBlank="1" showInputMessage="1" showErrorMessage="1" errorTitle="Ошибка" error="Допускается ввод не более 900 символов!" sqref="M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decimal" allowBlank="1" showErrorMessage="1" errorTitle="Ошибка" error="Допускается ввод только неотрицательных чисел!" sqref="AC548">
      <formula1>0</formula1>
      <formula2>9.99999999999999E+23</formula2>
    </dataValidation>
    <dataValidation type="decimal" allowBlank="1" showErrorMessage="1" errorTitle="Ошибка" error="Допускается ввод только неотрицательных чисел!" sqref="AE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textLength" operator="lessThanOrEqual" allowBlank="1" showInputMessage="1" showErrorMessage="1" errorTitle="Ошибка" error="Допускается ввод не более 900 символов!" sqref="M551">
      <formula1>900</formula1>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textLength" operator="lessThanOrEqual" allowBlank="1" showInputMessage="1" showErrorMessage="1" errorTitle="Ошибка" error="Допускается ввод не более 900 символов!" sqref="M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textLength" operator="lessThanOrEqual" allowBlank="1" showInputMessage="1" showErrorMessage="1" errorTitle="Ошибка" error="Допускается ввод не более 900 символов!" sqref="M561">
      <formula1>900</formula1>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textLength" operator="lessThanOrEqual" allowBlank="1" showInputMessage="1" showErrorMessage="1" errorTitle="Ошибка" error="Допускается ввод не более 900 символов!" sqref="M566">
      <formula1>900</formula1>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textLength" operator="lessThanOrEqual" allowBlank="1" showInputMessage="1" showErrorMessage="1" errorTitle="Ошибка" error="Допускается ввод не более 900 символов!" sqref="M571">
      <formula1>900</formula1>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decimal" allowBlank="1" showErrorMessage="1" errorTitle="Ошибка" error="Допускается ввод только неотрицательных чисел!" sqref="AC573">
      <formula1>0</formula1>
      <formula2>9.99999999999999E+23</formula2>
    </dataValidation>
    <dataValidation type="decimal" allowBlank="1" showErrorMessage="1" errorTitle="Ошибка" error="Допускается ввод только неотрицательных чисел!" sqref="AE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textLength" operator="lessThanOrEqual" allowBlank="1" showInputMessage="1" showErrorMessage="1" errorTitle="Ошибка" error="Допускается ввод не более 900 символов!" sqref="M576">
      <formula1>900</formula1>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decimal" allowBlank="1" showErrorMessage="1" errorTitle="Ошибка" error="Допускается ввод только неотрицательных чисел!" sqref="AC578">
      <formula1>0</formula1>
      <formula2>9.99999999999999E+23</formula2>
    </dataValidation>
    <dataValidation type="decimal" allowBlank="1" showErrorMessage="1" errorTitle="Ошибка" error="Допускается ввод только неотрицательных чисел!" sqref="AE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textLength" operator="lessThanOrEqual" allowBlank="1" showInputMessage="1" showErrorMessage="1" errorTitle="Ошибка" error="Допускается ввод не более 900 символов!" sqref="M581">
      <formula1>900</formula1>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decimal" allowBlank="1" showErrorMessage="1" errorTitle="Ошибка" error="Допускается ввод только неотрицательных чисел!" sqref="AC583">
      <formula1>0</formula1>
      <formula2>9.99999999999999E+23</formula2>
    </dataValidation>
    <dataValidation type="decimal" allowBlank="1" showErrorMessage="1" errorTitle="Ошибка" error="Допускается ввод только неотрицательных чисел!" sqref="AE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textLength" operator="lessThanOrEqual" allowBlank="1" showInputMessage="1" showErrorMessage="1" errorTitle="Ошибка" error="Допускается ввод не более 900 символов!" sqref="M586">
      <formula1>900</formula1>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textLength" operator="lessThanOrEqual" allowBlank="1" showInputMessage="1" showErrorMessage="1" errorTitle="Ошибка" error="Допускается ввод не более 900 символов!" sqref="K588">
      <formula1>900</formula1>
    </dataValidation>
    <dataValidation type="decimal" allowBlank="1" showErrorMessage="1" errorTitle="Ошибка" error="Допускается ввод только неотрицательных чисел!" sqref="AC588">
      <formula1>0</formula1>
      <formula2>9.99999999999999E+23</formula2>
    </dataValidation>
    <dataValidation type="decimal" allowBlank="1" showErrorMessage="1" errorTitle="Ошибка" error="Допускается ввод только неотрицательных чисел!" sqref="AE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textLength" operator="lessThanOrEqual" allowBlank="1" showInputMessage="1" showErrorMessage="1" errorTitle="Ошибка" error="Допускается ввод не более 900 символов!" sqref="M591">
      <formula1>900</formula1>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textLength" operator="lessThanOrEqual" allowBlank="1" showInputMessage="1" showErrorMessage="1" errorTitle="Ошибка" error="Допускается ввод не более 900 символов!" sqref="K596">
      <formula1>900</formula1>
    </dataValidation>
    <dataValidation type="textLength" operator="lessThanOrEqual" allowBlank="1" showInputMessage="1" showErrorMessage="1" errorTitle="Ошибка" error="Допускается ввод не более 900 символов!" sqref="M596">
      <formula1>900</formula1>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decimal" allowBlank="1" showErrorMessage="1" errorTitle="Ошибка" error="Допускается ввод только неотрицательных чисел!" sqref="AC598">
      <formula1>0</formula1>
      <formula2>9.99999999999999E+23</formula2>
    </dataValidation>
    <dataValidation type="decimal" allowBlank="1" showErrorMessage="1" errorTitle="Ошибка" error="Допускается ввод только неотрицательных чисел!" sqref="AE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textLength" operator="lessThanOrEqual" allowBlank="1" showInputMessage="1" showErrorMessage="1" errorTitle="Ошибка" error="Допускается ввод не более 900 символов!" sqref="M601">
      <formula1>900</formula1>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decimal" allowBlank="1" showErrorMessage="1" errorTitle="Ошибка" error="Допускается ввод только неотрицательных чисел!" sqref="AC603">
      <formula1>0</formula1>
      <formula2>9.99999999999999E+23</formula2>
    </dataValidation>
    <dataValidation type="decimal" allowBlank="1" showErrorMessage="1" errorTitle="Ошибка" error="Допускается ввод только неотрицательных чисел!" sqref="AE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textLength" operator="lessThanOrEqual" allowBlank="1" showInputMessage="1" showErrorMessage="1" errorTitle="Ошибка" error="Допускается ввод не более 900 символов!" sqref="M606">
      <formula1>900</formula1>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textLength" operator="lessThanOrEqual" allowBlank="1" showInputMessage="1" showErrorMessage="1" errorTitle="Ошибка" error="Допускается ввод не более 900 символов!" sqref="K608">
      <formula1>900</formula1>
    </dataValidation>
    <dataValidation type="decimal" allowBlank="1" showErrorMessage="1" errorTitle="Ошибка" error="Допускается ввод только неотрицательных чисел!" sqref="AC608">
      <formula1>0</formula1>
      <formula2>9.99999999999999E+23</formula2>
    </dataValidation>
    <dataValidation type="decimal" allowBlank="1" showErrorMessage="1" errorTitle="Ошибка" error="Допускается ввод только неотрицательных чисел!" sqref="AE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textLength" operator="lessThanOrEqual" allowBlank="1" showInputMessage="1" showErrorMessage="1" errorTitle="Ошибка" error="Допускается ввод не более 900 символов!" sqref="M611">
      <formula1>900</formula1>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textLength" operator="lessThanOrEqual" allowBlank="1" showInputMessage="1" showErrorMessage="1" errorTitle="Ошибка" error="Допускается ввод не более 900 символов!" sqref="M616">
      <formula1>900</formula1>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textLength" operator="lessThanOrEqual" allowBlank="1" showInputMessage="1" showErrorMessage="1" errorTitle="Ошибка" error="Допускается ввод не более 900 символов!" sqref="M621">
      <formula1>900</formula1>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decimal" allowBlank="1" showErrorMessage="1" errorTitle="Ошибка" error="Допускается ввод только неотрицательных чисел!" sqref="AC623">
      <formula1>0</formula1>
      <formula2>9.99999999999999E+23</formula2>
    </dataValidation>
    <dataValidation type="decimal" allowBlank="1" showErrorMessage="1" errorTitle="Ошибка" error="Допускается ввод только неотрицательных чисел!" sqref="AE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textLength" operator="lessThanOrEqual" allowBlank="1" showInputMessage="1" showErrorMessage="1" errorTitle="Ошибка" error="Допускается ввод не более 900 символов!" sqref="K626">
      <formula1>900</formula1>
    </dataValidation>
    <dataValidation type="textLength" operator="lessThanOrEqual" allowBlank="1" showInputMessage="1" showErrorMessage="1" errorTitle="Ошибка" error="Допускается ввод не более 900 символов!" sqref="M626">
      <formula1>900</formula1>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decimal" allowBlank="1" showErrorMessage="1" errorTitle="Ошибка" error="Допускается ввод только неотрицательных чисел!" sqref="AC628">
      <formula1>0</formula1>
      <formula2>9.99999999999999E+23</formula2>
    </dataValidation>
    <dataValidation type="decimal" allowBlank="1" showErrorMessage="1" errorTitle="Ошибка" error="Допускается ввод только неотрицательных чисел!" sqref="AE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textLength" operator="lessThanOrEqual" allowBlank="1" showInputMessage="1" showErrorMessage="1" errorTitle="Ошибка" error="Допускается ввод не более 900 символов!" sqref="K662">
      <formula1>900</formula1>
    </dataValidation>
    <dataValidation type="textLength" operator="lessThanOrEqual" allowBlank="1" showInputMessage="1" showErrorMessage="1" errorTitle="Ошибка" error="Допускается ввод не более 900 символов!" sqref="M662">
      <formula1>900</formula1>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decimal" allowBlank="1" showErrorMessage="1" errorTitle="Ошибка" error="Допускается ввод только неотрицательных чисел!" sqref="AC664">
      <formula1>0</formula1>
      <formula2>9.99999999999999E+23</formula2>
    </dataValidation>
    <dataValidation type="decimal" allowBlank="1" showErrorMessage="1" errorTitle="Ошибка" error="Допускается ввод только неотрицательных чисел!" sqref="AE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textLength" operator="lessThanOrEqual" allowBlank="1" showInputMessage="1" showErrorMessage="1" errorTitle="Ошибка" error="Допускается ввод не более 900 символов!" sqref="K667">
      <formula1>900</formula1>
    </dataValidation>
    <dataValidation type="textLength" operator="lessThanOrEqual" allowBlank="1" showInputMessage="1" showErrorMessage="1" errorTitle="Ошибка" error="Допускается ввод не более 900 символов!" sqref="M667">
      <formula1>900</formula1>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decimal" allowBlank="1" showErrorMessage="1" errorTitle="Ошибка" error="Допускается ввод только неотрицательных чисел!" sqref="AC669">
      <formula1>0</formula1>
      <formula2>9.99999999999999E+23</formula2>
    </dataValidation>
    <dataValidation type="decimal" allowBlank="1" showErrorMessage="1" errorTitle="Ошибка" error="Допускается ввод только неотрицательных чисел!" sqref="AE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textLength" operator="lessThanOrEqual" allowBlank="1" showInputMessage="1" showErrorMessage="1" errorTitle="Ошибка" error="Допускается ввод не более 900 символов!" sqref="M672">
      <formula1>900</formula1>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decimal" allowBlank="1" showErrorMessage="1" errorTitle="Ошибка" error="Допускается ввод только неотрицательных чисел!" sqref="AC674">
      <formula1>0</formula1>
      <formula2>9.99999999999999E+23</formula2>
    </dataValidation>
    <dataValidation type="decimal" allowBlank="1" showErrorMessage="1" errorTitle="Ошибка" error="Допускается ввод только неотрицательных чисел!" sqref="AE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textLength" operator="lessThanOrEqual" allowBlank="1" showInputMessage="1" showErrorMessage="1" errorTitle="Ошибка" error="Допускается ввод не более 900 символов!" sqref="M677">
      <formula1>900</formula1>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textLength" operator="lessThanOrEqual" allowBlank="1" showInputMessage="1" showErrorMessage="1" errorTitle="Ошибка" error="Допускается ввод не более 900 символов!" sqref="K679">
      <formula1>900</formula1>
    </dataValidation>
    <dataValidation type="decimal" allowBlank="1" showErrorMessage="1" errorTitle="Ошибка" error="Допускается ввод только неотрицательных чисел!" sqref="AC679">
      <formula1>0</formula1>
      <formula2>9.99999999999999E+23</formula2>
    </dataValidation>
    <dataValidation type="decimal" allowBlank="1" showErrorMessage="1" errorTitle="Ошибка" error="Допускается ввод только неотрицательных чисел!" sqref="AE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textLength" operator="lessThanOrEqual" allowBlank="1" showInputMessage="1" showErrorMessage="1" errorTitle="Ошибка" error="Допускается ввод не более 900 символов!" sqref="M682">
      <formula1>900</formula1>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textLength" operator="lessThanOrEqual" allowBlank="1" showInputMessage="1" showErrorMessage="1" errorTitle="Ошибка" error="Допускается ввод не более 900 символов!" sqref="M687">
      <formula1>900</formula1>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decimal" allowBlank="1" showErrorMessage="1" errorTitle="Ошибка" error="Допускается ввод только неотрицательных чисел!" sqref="AC689">
      <formula1>0</formula1>
      <formula2>9.99999999999999E+23</formula2>
    </dataValidation>
    <dataValidation type="decimal" allowBlank="1" showErrorMessage="1" errorTitle="Ошибка" error="Допускается ввод только неотрицательных чисел!" sqref="AE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textLength" operator="lessThanOrEqual" allowBlank="1" showInputMessage="1" showErrorMessage="1" errorTitle="Ошибка" error="Допускается ввод не более 900 символов!" sqref="M692">
      <formula1>900</formula1>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decimal" allowBlank="1" showErrorMessage="1" errorTitle="Ошибка" error="Допускается ввод только неотрицательных чисел!" sqref="AC694">
      <formula1>0</formula1>
      <formula2>9.99999999999999E+23</formula2>
    </dataValidation>
    <dataValidation type="decimal" allowBlank="1" showErrorMessage="1" errorTitle="Ошибка" error="Допускается ввод только неотрицательных чисел!" sqref="AE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textLength" operator="lessThanOrEqual" allowBlank="1" showInputMessage="1" showErrorMessage="1" errorTitle="Ошибка" error="Допускается ввод не более 900 символов!" sqref="M697">
      <formula1>900</formula1>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decimal" allowBlank="1" showErrorMessage="1" errorTitle="Ошибка" error="Допускается ввод только неотрицательных чисел!" sqref="AC699">
      <formula1>0</formula1>
      <formula2>9.99999999999999E+23</formula2>
    </dataValidation>
    <dataValidation type="decimal" allowBlank="1" showErrorMessage="1" errorTitle="Ошибка" error="Допускается ввод только неотрицательных чисел!" sqref="AE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textLength" operator="lessThanOrEqual" allowBlank="1" showInputMessage="1" showErrorMessage="1" errorTitle="Ошибка" error="Допускается ввод не более 900 символов!" sqref="M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textLength" operator="lessThanOrEqual" allowBlank="1" showInputMessage="1" showErrorMessage="1" errorTitle="Ошибка" error="Допускается ввод не более 900 символов!" sqref="K703">
      <formula1>900</formula1>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textLength" operator="lessThanOrEqual" allowBlank="1" showInputMessage="1" showErrorMessage="1" errorTitle="Ошибка" error="Допускается ввод не более 900 символов!" sqref="K704">
      <formula1>900</formula1>
    </dataValidation>
    <dataValidation type="decimal" allowBlank="1" showErrorMessage="1" errorTitle="Ошибка" error="Допускается ввод только неотрицательных чисел!" sqref="AC704">
      <formula1>0</formula1>
      <formula2>9.99999999999999E+23</formula2>
    </dataValidation>
    <dataValidation type="decimal" allowBlank="1" showErrorMessage="1" errorTitle="Ошибка" error="Допускается ввод только неотрицательных чисел!" sqref="AE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textLength" operator="lessThanOrEqual" allowBlank="1" showInputMessage="1" showErrorMessage="1" errorTitle="Ошибка" error="Допускается ввод не более 900 символов!" sqref="M707">
      <formula1>900</formula1>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textLength" operator="lessThanOrEqual" allowBlank="1" showInputMessage="1" showErrorMessage="1" errorTitle="Ошибка" error="Допускается ввод не более 900 символов!" sqref="K709">
      <formula1>900</formula1>
    </dataValidation>
    <dataValidation type="decimal" allowBlank="1" showErrorMessage="1" errorTitle="Ошибка" error="Допускается ввод только неотрицательных чисел!" sqref="AC709">
      <formula1>0</formula1>
      <formula2>9.99999999999999E+23</formula2>
    </dataValidation>
    <dataValidation type="decimal" allowBlank="1" showErrorMessage="1" errorTitle="Ошибка" error="Допускается ввод только неотрицательных чисел!" sqref="AE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textLength" operator="lessThanOrEqual" allowBlank="1" showInputMessage="1" showErrorMessage="1" errorTitle="Ошибка" error="Допускается ввод не более 900 символов!" sqref="K710">
      <formula1>900</formula1>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textLength" operator="lessThanOrEqual" allowBlank="1" showInputMessage="1" showErrorMessage="1" errorTitle="Ошибка" error="Допускается ввод не более 900 символов!" sqref="M712">
      <formula1>900</formula1>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decimal" allowBlank="1" showErrorMessage="1" errorTitle="Ошибка" error="Допускается ввод только неотрицательных чисел!" sqref="AC714">
      <formula1>0</formula1>
      <formula2>9.99999999999999E+23</formula2>
    </dataValidation>
    <dataValidation type="decimal" allowBlank="1" showErrorMessage="1" errorTitle="Ошибка" error="Допускается ввод только неотрицательных чисел!" sqref="AE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textLength" operator="lessThanOrEqual" allowBlank="1" showInputMessage="1" showErrorMessage="1" errorTitle="Ошибка" error="Допускается ввод не более 900 символов!" sqref="M717">
      <formula1>900</formula1>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textLength" operator="lessThanOrEqual" allowBlank="1" showInputMessage="1" showErrorMessage="1" errorTitle="Ошибка" error="Допускается ввод не более 900 символов!" sqref="K722">
      <formula1>900</formula1>
    </dataValidation>
    <dataValidation type="textLength" operator="lessThanOrEqual" allowBlank="1" showInputMessage="1" showErrorMessage="1" errorTitle="Ошибка" error="Допускается ввод не более 900 символов!" sqref="M722">
      <formula1>900</formula1>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decimal" allowBlank="1" showErrorMessage="1" errorTitle="Ошибка" error="Допускается ввод только неотрицательных чисел!" sqref="AC724">
      <formula1>0</formula1>
      <formula2>9.99999999999999E+23</formula2>
    </dataValidation>
    <dataValidation type="decimal" allowBlank="1" showErrorMessage="1" errorTitle="Ошибка" error="Допускается ввод только неотрицательных чисел!" sqref="AE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textLength" operator="lessThanOrEqual" allowBlank="1" showInputMessage="1" showErrorMessage="1" errorTitle="Ошибка" error="Допускается ввод не более 900 символов!" sqref="K725">
      <formula1>900</formula1>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textLength" operator="lessThanOrEqual" allowBlank="1" showInputMessage="1" showErrorMessage="1" errorTitle="Ошибка" error="Допускается ввод не более 900 символов!" sqref="K727">
      <formula1>900</formula1>
    </dataValidation>
    <dataValidation type="textLength" operator="lessThanOrEqual" allowBlank="1" showInputMessage="1" showErrorMessage="1" errorTitle="Ошибка" error="Допускается ввод не более 900 символов!" sqref="M727">
      <formula1>900</formula1>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decimal" allowBlank="1" showErrorMessage="1" errorTitle="Ошибка" error="Допускается ввод только неотрицательных чисел!" sqref="AC729">
      <formula1>0</formula1>
      <formula2>9.99999999999999E+23</formula2>
    </dataValidation>
    <dataValidation type="decimal" allowBlank="1" showErrorMessage="1" errorTitle="Ошибка" error="Допускается ввод только неотрицательных чисел!" sqref="AE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textLength" operator="lessThanOrEqual" allowBlank="1" showInputMessage="1" showErrorMessage="1" errorTitle="Ошибка" error="Допускается ввод не более 900 символов!" sqref="M732">
      <formula1>900</formula1>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decimal" allowBlank="1" showErrorMessage="1" errorTitle="Ошибка" error="Допускается ввод только неотрицательных чисел!" sqref="AC734">
      <formula1>0</formula1>
      <formula2>9.99999999999999E+23</formula2>
    </dataValidation>
    <dataValidation type="decimal" allowBlank="1" showErrorMessage="1" errorTitle="Ошибка" error="Допускается ввод только неотрицательных чисел!" sqref="AE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textLength" operator="lessThanOrEqual" allowBlank="1" showInputMessage="1" showErrorMessage="1" errorTitle="Ошибка" error="Допускается ввод не более 900 символов!" sqref="K737">
      <formula1>900</formula1>
    </dataValidation>
    <dataValidation type="textLength" operator="lessThanOrEqual" allowBlank="1" showInputMessage="1" showErrorMessage="1" errorTitle="Ошибка" error="Допускается ввод не более 900 символов!" sqref="M737">
      <formula1>900</formula1>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decimal" allowBlank="1" showErrorMessage="1" errorTitle="Ошибка" error="Допускается ввод только неотрицательных чисел!" sqref="AC739">
      <formula1>0</formula1>
      <formula2>9.99999999999999E+23</formula2>
    </dataValidation>
    <dataValidation type="decimal" allowBlank="1" showErrorMessage="1" errorTitle="Ошибка" error="Допускается ввод только неотрицательных чисел!" sqref="AE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textLength" operator="lessThanOrEqual" allowBlank="1" showInputMessage="1" showErrorMessage="1" errorTitle="Ошибка" error="Допускается ввод не более 900 символов!" sqref="M743">
      <formula1>900</formula1>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decimal" allowBlank="1" showErrorMessage="1" errorTitle="Ошибка" error="Допускается ввод только неотрицательных чисел!" sqref="AC745">
      <formula1>0</formula1>
      <formula2>9.99999999999999E+23</formula2>
    </dataValidation>
    <dataValidation type="decimal" allowBlank="1" showErrorMessage="1" errorTitle="Ошибка" error="Допускается ввод только неотрицательных чисел!" sqref="AE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textLength" operator="lessThanOrEqual" allowBlank="1" showInputMessage="1" showErrorMessage="1" errorTitle="Ошибка" error="Допускается ввод не более 900 символов!" sqref="M748">
      <formula1>900</formula1>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textLength" operator="lessThanOrEqual" allowBlank="1" showInputMessage="1" showErrorMessage="1" errorTitle="Ошибка" error="Допускается ввод не более 900 символов!" sqref="M753">
      <formula1>900</formula1>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textLength" operator="lessThanOrEqual" allowBlank="1" showInputMessage="1" showErrorMessage="1" errorTitle="Ошибка" error="Допускается ввод не более 900 символов!" sqref="M758">
      <formula1>900</formula1>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decimal" allowBlank="1" showErrorMessage="1" errorTitle="Ошибка" error="Допускается ввод только неотрицательных чисел!" sqref="AC760">
      <formula1>0</formula1>
      <formula2>9.99999999999999E+23</formula2>
    </dataValidation>
    <dataValidation type="decimal" allowBlank="1" showErrorMessage="1" errorTitle="Ошибка" error="Допускается ввод только неотрицательных чисел!" sqref="AE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textLength" operator="lessThanOrEqual" allowBlank="1" showInputMessage="1" showErrorMessage="1" errorTitle="Ошибка" error="Допускается ввод не более 900 символов!" sqref="K761">
      <formula1>900</formula1>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textLength" operator="lessThanOrEqual" allowBlank="1" showInputMessage="1" showErrorMessage="1" errorTitle="Ошибка" error="Допускается ввод не более 900 символов!" sqref="M763">
      <formula1>900</formula1>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textLength" operator="lessThanOrEqual" allowBlank="1" showInputMessage="1" showErrorMessage="1" errorTitle="Ошибка" error="Допускается ввод не более 900 символов!" sqref="M844">
      <formula1>900</formula1>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textLength" operator="lessThanOrEqual" allowBlank="1" showInputMessage="1" showErrorMessage="1" errorTitle="Ошибка" error="Допускается ввод не более 900 символов!" sqref="K845">
      <formula1>900</formula1>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textLength" operator="lessThanOrEqual" allowBlank="1" showInputMessage="1" showErrorMessage="1" errorTitle="Ошибка" error="Допускается ввод не более 900 символов!" sqref="M849">
      <formula1>900</formula1>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textLength" operator="lessThanOrEqual" allowBlank="1" showInputMessage="1" showErrorMessage="1" errorTitle="Ошибка" error="Допускается ввод не более 900 символов!" sqref="K851">
      <formula1>900</formula1>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textLength" operator="lessThanOrEqual" allowBlank="1" showInputMessage="1" showErrorMessage="1" errorTitle="Ошибка" error="Допускается ввод не более 900 символов!" sqref="M854">
      <formula1>900</formula1>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decimal" allowBlank="1" showErrorMessage="1" errorTitle="Ошибка" error="Допускается ввод только неотрицательных чисел!" sqref="AC856">
      <formula1>0</formula1>
      <formula2>9.99999999999999E+23</formula2>
    </dataValidation>
    <dataValidation type="decimal" allowBlank="1" showErrorMessage="1" errorTitle="Ошибка" error="Допускается ввод только неотрицательных чисел!" sqref="AE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textLength" operator="lessThanOrEqual" allowBlank="1" showInputMessage="1" showErrorMessage="1" errorTitle="Ошибка" error="Допускается ввод не более 900 символов!" sqref="M859">
      <formula1>900</formula1>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textLength" operator="lessThanOrEqual" allowBlank="1" showInputMessage="1" showErrorMessage="1" errorTitle="Ошибка" error="Допускается ввод не более 900 символов!" sqref="K861">
      <formula1>900</formula1>
    </dataValidation>
    <dataValidation type="decimal" allowBlank="1" showErrorMessage="1" errorTitle="Ошибка" error="Допускается ввод только неотрицательных чисел!" sqref="AC861">
      <formula1>0</formula1>
      <formula2>9.99999999999999E+23</formula2>
    </dataValidation>
    <dataValidation type="decimal" allowBlank="1" showErrorMessage="1" errorTitle="Ошибка" error="Допускается ввод только неотрицательных чисел!" sqref="AE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textLength" operator="lessThanOrEqual" allowBlank="1" showInputMessage="1" showErrorMessage="1" errorTitle="Ошибка" error="Допускается ввод не более 900 символов!" sqref="K863">
      <formula1>900</formula1>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textLength" operator="lessThanOrEqual" allowBlank="1" showInputMessage="1" showErrorMessage="1" errorTitle="Ошибка" error="Допускается ввод не более 900 символов!" sqref="M865">
      <formula1>900</formula1>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textLength" operator="lessThanOrEqual" allowBlank="1" showInputMessage="1" showErrorMessage="1" errorTitle="Ошибка" error="Допускается ввод не более 900 символов!" sqref="K867">
      <formula1>900</formula1>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textLength" operator="lessThanOrEqual" allowBlank="1" showInputMessage="1" showErrorMessage="1" errorTitle="Ошибка" error="Допускается ввод не более 900 символов!" sqref="M870">
      <formula1>900</formula1>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decimal" allowBlank="1" showErrorMessage="1" errorTitle="Ошибка" error="Допускается ввод только неотрицательных чисел!" sqref="AC872">
      <formula1>0</formula1>
      <formula2>9.99999999999999E+23</formula2>
    </dataValidation>
    <dataValidation type="decimal" allowBlank="1" showErrorMessage="1" errorTitle="Ошибка" error="Допускается ввод только неотрицательных чисел!" sqref="AE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textLength" operator="lessThanOrEqual" allowBlank="1" showInputMessage="1" showErrorMessage="1" errorTitle="Ошибка" error="Допускается ввод не более 900 символов!" sqref="K873">
      <formula1>900</formula1>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decimal" allowBlank="1" showErrorMessage="1" errorTitle="Ошибка" error="Допускается ввод только неотрицательных чисел!" sqref="AC538">
      <formula1>0</formula1>
      <formula2>9.99999999999999E+23</formula2>
    </dataValidation>
    <dataValidation type="decimal" allowBlank="1" showErrorMessage="1" errorTitle="Ошибка" error="Допускается ввод только неотрицательных чисел!" sqref="AE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textLength" operator="lessThanOrEqual" allowBlank="1" showInputMessage="1" showErrorMessage="1" errorTitle="Ошибка" error="Допускается ввод не более 900 символов!" sqref="M768">
      <formula1>900</formula1>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textLength" operator="lessThanOrEqual" allowBlank="1" showInputMessage="1" showErrorMessage="1" errorTitle="Ошибка" error="Допускается ввод не более 900 символов!" sqref="K769">
      <formula1>900</formula1>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textLength" operator="lessThanOrEqual" allowBlank="1" showInputMessage="1" showErrorMessage="1" errorTitle="Ошибка" error="Допускается ввод не более 900 символов!" sqref="K770">
      <formula1>900</formula1>
    </dataValidation>
    <dataValidation type="decimal" allowBlank="1" showErrorMessage="1" errorTitle="Ошибка" error="Допускается ввод только неотрицательных чисел!" sqref="AC770">
      <formula1>0</formula1>
      <formula2>9.99999999999999E+23</formula2>
    </dataValidation>
    <dataValidation type="decimal" allowBlank="1" showErrorMessage="1" errorTitle="Ошибка" error="Допускается ввод только неотрицательных чисел!" sqref="AE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textLength" operator="lessThanOrEqual" allowBlank="1" showInputMessage="1" showErrorMessage="1" errorTitle="Ошибка" error="Допускается ввод не более 900 символов!" sqref="M773">
      <formula1>900</formula1>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textLength" operator="lessThanOrEqual" allowBlank="1" showInputMessage="1" showErrorMessage="1" errorTitle="Ошибка" error="Допускается ввод не более 900 символов!" sqref="K775">
      <formula1>900</formula1>
    </dataValidation>
    <dataValidation type="decimal" allowBlank="1" showErrorMessage="1" errorTitle="Ошибка" error="Допускается ввод только неотрицательных чисел!" sqref="AC775">
      <formula1>0</formula1>
      <formula2>9.99999999999999E+23</formula2>
    </dataValidation>
    <dataValidation type="decimal" allowBlank="1" showErrorMessage="1" errorTitle="Ошибка" error="Допускается ввод только неотрицательных чисел!" sqref="AE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textLength" operator="lessThanOrEqual" allowBlank="1" showInputMessage="1" showErrorMessage="1" errorTitle="Ошибка" error="Допускается ввод не более 900 символов!" sqref="M778">
      <formula1>900</formula1>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textLength" operator="lessThanOrEqual" allowBlank="1" showInputMessage="1" showErrorMessage="1" errorTitle="Ошибка" error="Допускается ввод не более 900 символов!" sqref="K780">
      <formula1>900</formula1>
    </dataValidation>
    <dataValidation type="decimal" allowBlank="1" showErrorMessage="1" errorTitle="Ошибка" error="Допускается ввод только неотрицательных чисел!" sqref="AC780">
      <formula1>0</formula1>
      <formula2>9.99999999999999E+23</formula2>
    </dataValidation>
    <dataValidation type="decimal" allowBlank="1" showErrorMessage="1" errorTitle="Ошибка" error="Допускается ввод только неотрицательных чисел!" sqref="AE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textLength" operator="lessThanOrEqual" allowBlank="1" showInputMessage="1" showErrorMessage="1" errorTitle="Ошибка" error="Допускается ввод не более 900 символов!" sqref="K781">
      <formula1>900</formula1>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textLength" operator="lessThanOrEqual" allowBlank="1" showInputMessage="1" showErrorMessage="1" errorTitle="Ошибка" error="Допускается ввод не более 900 символов!" sqref="M783">
      <formula1>900</formula1>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textLength" operator="lessThanOrEqual" allowBlank="1" showInputMessage="1" showErrorMessage="1" errorTitle="Ошибка" error="Допускается ввод не более 900 символов!" sqref="M788">
      <formula1>900</formula1>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decimal" allowBlank="1" showErrorMessage="1" errorTitle="Ошибка" error="Допускается ввод только неотрицательных чисел!" sqref="AC790">
      <formula1>0</formula1>
      <formula2>9.99999999999999E+23</formula2>
    </dataValidation>
    <dataValidation type="decimal" allowBlank="1" showErrorMessage="1" errorTitle="Ошибка" error="Допускается ввод только неотрицательных чисел!" sqref="AE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textLength" operator="lessThanOrEqual" allowBlank="1" showInputMessage="1" showErrorMessage="1" errorTitle="Ошибка" error="Допускается ввод не более 900 символов!" sqref="K793">
      <formula1>900</formula1>
    </dataValidation>
    <dataValidation type="textLength" operator="lessThanOrEqual" allowBlank="1" showInputMessage="1" showErrorMessage="1" errorTitle="Ошибка" error="Допускается ввод не более 900 символов!" sqref="M793">
      <formula1>900</formula1>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textLength" operator="lessThanOrEqual" allowBlank="1" showInputMessage="1" showErrorMessage="1" errorTitle="Ошибка" error="Допускается ввод не более 900 символов!" sqref="K794">
      <formula1>900</formula1>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textLength" operator="lessThanOrEqual" allowBlank="1" showInputMessage="1" showErrorMessage="1" errorTitle="Ошибка" error="Допускается ввод не более 900 символов!" sqref="K795">
      <formula1>900</formula1>
    </dataValidation>
    <dataValidation type="decimal" allowBlank="1" showErrorMessage="1" errorTitle="Ошибка" error="Допускается ввод только неотрицательных чисел!" sqref="AC795">
      <formula1>0</formula1>
      <formula2>9.99999999999999E+23</formula2>
    </dataValidation>
    <dataValidation type="decimal" allowBlank="1" showErrorMessage="1" errorTitle="Ошибка" error="Допускается ввод только неотрицательных чисел!" sqref="AE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textLength" operator="lessThanOrEqual" allowBlank="1" showInputMessage="1" showErrorMessage="1" errorTitle="Ошибка" error="Допускается ввод не более 900 символов!" sqref="M798">
      <formula1>900</formula1>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textLength" operator="lessThanOrEqual" allowBlank="1" showInputMessage="1" showErrorMessage="1" errorTitle="Ошибка" error="Допускается ввод не более 900 символов!" sqref="K801">
      <formula1>900</formula1>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textLength" operator="lessThanOrEqual" allowBlank="1" showInputMessage="1" showErrorMessage="1" errorTitle="Ошибка" error="Допускается ввод не более 900 символов!" sqref="K803">
      <formula1>900</formula1>
    </dataValidation>
    <dataValidation type="textLength" operator="lessThanOrEqual" allowBlank="1" showInputMessage="1" showErrorMessage="1" errorTitle="Ошибка" error="Допускается ввод не более 900 символов!" sqref="M803">
      <formula1>900</formula1>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textLength" operator="lessThanOrEqual" allowBlank="1" showInputMessage="1" showErrorMessage="1" errorTitle="Ошибка" error="Допускается ввод не более 900 символов!" sqref="K805">
      <formula1>900</formula1>
    </dataValidation>
    <dataValidation type="decimal" allowBlank="1" showErrorMessage="1" errorTitle="Ошибка" error="Допускается ввод только неотрицательных чисел!" sqref="AC805">
      <formula1>0</formula1>
      <formula2>9.99999999999999E+23</formula2>
    </dataValidation>
    <dataValidation type="decimal" allowBlank="1" showErrorMessage="1" errorTitle="Ошибка" error="Допускается ввод только неотрицательных чисел!" sqref="AE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textLength" operator="lessThanOrEqual" allowBlank="1" showInputMessage="1" showErrorMessage="1" errorTitle="Ошибка" error="Допускается ввод не более 900 символов!" sqref="K806">
      <formula1>900</formula1>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textLength" operator="lessThanOrEqual" allowBlank="1" showInputMessage="1" showErrorMessage="1" errorTitle="Ошибка" error="Допускается ввод не более 900 символов!" sqref="M808">
      <formula1>900</formula1>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textLength" operator="lessThanOrEqual" allowBlank="1" showInputMessage="1" showErrorMessage="1" errorTitle="Ошибка" error="Допускается ввод не более 900 символов!" sqref="K809">
      <formula1>900</formula1>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textLength" operator="lessThanOrEqual" allowBlank="1" showInputMessage="1" showErrorMessage="1" errorTitle="Ошибка" error="Допускается ввод не более 900 символов!" sqref="K810">
      <formula1>900</formula1>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textLength" operator="lessThanOrEqual" allowBlank="1" showInputMessage="1" showErrorMessage="1" errorTitle="Ошибка" error="Допускается ввод не более 900 символов!" sqref="K811">
      <formula1>900</formula1>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textLength" operator="lessThanOrEqual" allowBlank="1" showInputMessage="1" showErrorMessage="1" errorTitle="Ошибка" error="Допускается ввод не более 900 символов!" sqref="K813">
      <formula1>900</formula1>
    </dataValidation>
    <dataValidation type="textLength" operator="lessThanOrEqual" allowBlank="1" showInputMessage="1" showErrorMessage="1" errorTitle="Ошибка" error="Допускается ввод не более 900 символов!" sqref="M813">
      <formula1>900</formula1>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textLength" operator="lessThanOrEqual" allowBlank="1" showInputMessage="1" showErrorMessage="1" errorTitle="Ошибка" error="Допускается ввод не более 900 символов!" sqref="K815">
      <formula1>900</formula1>
    </dataValidation>
    <dataValidation type="decimal" allowBlank="1" showErrorMessage="1" errorTitle="Ошибка" error="Допускается ввод только неотрицательных чисел!" sqref="AC815">
      <formula1>0</formula1>
      <formula2>9.99999999999999E+23</formula2>
    </dataValidation>
    <dataValidation type="decimal" allowBlank="1" showErrorMessage="1" errorTitle="Ошибка" error="Допускается ввод только неотрицательных чисел!" sqref="AE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textLength" operator="lessThanOrEqual" allowBlank="1" showInputMessage="1" showErrorMessage="1" errorTitle="Ошибка" error="Допускается ввод не более 900 символов!" sqref="K818">
      <formula1>900</formula1>
    </dataValidation>
    <dataValidation type="textLength" operator="lessThanOrEqual" allowBlank="1" showInputMessage="1" showErrorMessage="1" errorTitle="Ошибка" error="Допускается ввод не более 900 символов!" sqref="M818">
      <formula1>900</formula1>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textLength" operator="lessThanOrEqual" allowBlank="1" showInputMessage="1" showErrorMessage="1" errorTitle="Ошибка" error="Допускается ввод не более 900 символов!" sqref="K819">
      <formula1>900</formula1>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decimal" allowBlank="1" showErrorMessage="1" errorTitle="Ошибка" error="Допускается ввод только неотрицательных чисел!" sqref="AC820">
      <formula1>0</formula1>
      <formula2>9.99999999999999E+23</formula2>
    </dataValidation>
    <dataValidation type="decimal" allowBlank="1" showErrorMessage="1" errorTitle="Ошибка" error="Допускается ввод только неотрицательных чисел!" sqref="AE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textLength" operator="lessThanOrEqual" allowBlank="1" showInputMessage="1" showErrorMessage="1" errorTitle="Ошибка" error="Допускается ввод не более 900 символов!" sqref="K821">
      <formula1>900</formula1>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textLength" operator="lessThanOrEqual" allowBlank="1" showInputMessage="1" showErrorMessage="1" errorTitle="Ошибка" error="Допускается ввод не более 900 символов!" sqref="K823">
      <formula1>900</formula1>
    </dataValidation>
    <dataValidation type="textLength" operator="lessThanOrEqual" allowBlank="1" showInputMessage="1" showErrorMessage="1" errorTitle="Ошибка" error="Допускается ввод не более 900 символов!" sqref="M823">
      <formula1>900</formula1>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textLength" operator="lessThanOrEqual" allowBlank="1" showInputMessage="1" showErrorMessage="1" errorTitle="Ошибка" error="Допускается ввод не более 900 символов!" sqref="K825">
      <formula1>900</formula1>
    </dataValidation>
    <dataValidation type="decimal" allowBlank="1" showErrorMessage="1" errorTitle="Ошибка" error="Допускается ввод только неотрицательных чисел!" sqref="AC825">
      <formula1>0</formula1>
      <formula2>9.99999999999999E+23</formula2>
    </dataValidation>
    <dataValidation type="decimal" allowBlank="1" showErrorMessage="1" errorTitle="Ошибка" error="Допускается ввод только неотрицательных чисел!" sqref="AE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textLength" operator="lessThanOrEqual" allowBlank="1" showInputMessage="1" showErrorMessage="1" errorTitle="Ошибка" error="Допускается ввод не более 900 символов!" sqref="M828">
      <formula1>900</formula1>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decimal" allowBlank="1" showErrorMessage="1" errorTitle="Ошибка" error="Допускается ввод только неотрицательных чисел!" sqref="AC830">
      <formula1>0</formula1>
      <formula2>9.99999999999999E+23</formula2>
    </dataValidation>
    <dataValidation type="decimal" allowBlank="1" showErrorMessage="1" errorTitle="Ошибка" error="Допускается ввод только неотрицательных чисел!" sqref="AE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textLength" operator="lessThanOrEqual" allowBlank="1" showInputMessage="1" showErrorMessage="1" errorTitle="Ошибка" error="Допускается ввод не более 900 символов!" sqref="K831">
      <formula1>900</formula1>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textLength" operator="lessThanOrEqual" allowBlank="1" showInputMessage="1" showErrorMessage="1" errorTitle="Ошибка" error="Допускается ввод не более 900 символов!" sqref="K833">
      <formula1>900</formula1>
    </dataValidation>
    <dataValidation type="textLength" operator="lessThanOrEqual" allowBlank="1" showInputMessage="1" showErrorMessage="1" errorTitle="Ошибка" error="Допускается ввод не более 900 символов!" sqref="M833">
      <formula1>900</formula1>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decimal" allowBlank="1" showErrorMessage="1" errorTitle="Ошибка" error="Допускается ввод только неотрицательных чисел!" sqref="AC835">
      <formula1>0</formula1>
      <formula2>9.99999999999999E+23</formula2>
    </dataValidation>
    <dataValidation type="decimal" allowBlank="1" showErrorMessage="1" errorTitle="Ошибка" error="Допускается ввод только неотрицательных чисел!" sqref="AE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textLength" operator="lessThanOrEqual" allowBlank="1" showInputMessage="1" showErrorMessage="1" errorTitle="Ошибка" error="Допускается ввод не более 900 символов!" sqref="K836">
      <formula1>900</formula1>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textLength" operator="lessThanOrEqual" allowBlank="1" showInputMessage="1" showErrorMessage="1" errorTitle="Ошибка" error="Допускается ввод не более 900 символов!" sqref="K862">
      <formula1>900</formula1>
    </dataValidation>
    <dataValidation type="decimal" allowBlank="1" showErrorMessage="1" errorTitle="Ошибка" error="Допускается ввод только неотрицательных чисел!" sqref="AC862">
      <formula1>0</formula1>
      <formula2>9.99999999999999E+23</formula2>
    </dataValidation>
    <dataValidation type="decimal" allowBlank="1" showErrorMessage="1" errorTitle="Ошибка" error="Допускается ввод только неотрицательных чисел!" sqref="AE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BBD5BA-7339-AED7-752E-0.ECAC3D05}" mc:Ignorable="x14ac xr xr2 xr3">
  <sheetPr>
    <tabColor theme="9" tint="-0.25"/>
  </sheetPr>
  <dimension ref="A1:AP59"/>
  <sheetViews>
    <sheetView topLeftCell="A1" showGridLines="0" zoomScale="85" workbookViewId="0">
      <selection activeCell="AN1" sqref="AN1:AN59"/>
    </sheetView>
  </sheetViews>
  <sheetFormatPr defaultColWidth="9.140625" customHeight="1" defaultRowHeight="10.5"/>
  <cols>
    <col min="1" max="3" style="6966" width="4.140625" hidden="1" customWidth="1"/>
    <col min="4" max="4" style="7180" width="4.140625" hidden="1" customWidth="1"/>
    <col min="5" max="5" style="7235" width="3.00390625" customWidth="1"/>
    <col min="6" max="6" style="7235" width="6.00390625" customWidth="1"/>
    <col min="7" max="7" style="7235" width="60.00390625" customWidth="1"/>
    <col min="8" max="9" style="7235" width="21.7109375" hidden="1" customWidth="1"/>
    <col min="10" max="10" style="7235" width="0.140625" customWidth="1"/>
    <col min="11" max="21" style="7235" width="21.7109375" hidden="1" customWidth="1"/>
    <col min="22" max="22" style="7235" width="0.140625" customWidth="1"/>
    <col min="23" max="28" style="7235" width="21.7109375" hidden="1" customWidth="1"/>
    <col min="29" max="29" style="7235" width="0.140625" customWidth="1"/>
    <col min="30" max="30" style="7235" width="1.00390625" customWidth="1"/>
    <col min="31" max="41" style="7235" width="8.00390625" customWidth="1"/>
    <col min="42" max="42" style="7235" width="9.140625" hidden="1"/>
  </cols>
  <sheetData>
    <row s="7180" customFormat="1" customHeight="1" ht="10.5" hidden="1">
      <c r="A1" s="1312"/>
      <c r="B1" s="1312"/>
      <c r="C1" s="1312"/>
      <c r="E1" s="683"/>
      <c r="K1" s="7180"/>
      <c r="L1" s="7180"/>
      <c r="M1" s="7180"/>
      <c r="N1" s="7180"/>
      <c r="O1" s="7180"/>
      <c r="P1" s="7180"/>
      <c r="Q1" s="7180"/>
      <c r="R1" s="7180"/>
      <c r="S1" s="7180"/>
      <c r="T1" s="7180"/>
      <c r="U1" s="7180"/>
      <c r="V1" s="7180"/>
      <c r="W1" s="7180"/>
      <c r="X1" s="7180"/>
      <c r="Y1" s="7180"/>
      <c r="Z1" s="7180"/>
      <c r="AA1" s="7180"/>
      <c r="AB1" s="7180"/>
      <c r="AC1" s="7180"/>
      <c r="AP1" s="1306" t="s">
        <v>14</v>
      </c>
    </row>
    <row customHeight="1" ht="10.5" hidden="1">
      <c r="K2" s="7235"/>
      <c r="L2" s="7235"/>
      <c r="M2" s="7235"/>
      <c r="N2" s="7235"/>
      <c r="O2" s="7235"/>
      <c r="P2" s="7235"/>
      <c r="Q2" s="7235"/>
      <c r="R2" s="7235"/>
      <c r="S2" s="7235"/>
      <c r="T2" s="7235"/>
      <c r="U2" s="7235"/>
      <c r="V2" s="7235"/>
      <c r="W2" s="7235"/>
      <c r="X2" s="7235"/>
      <c r="Y2" s="7235"/>
      <c r="Z2" s="7235"/>
      <c r="AA2" s="7235"/>
      <c r="AB2" s="7235"/>
      <c r="AC2" s="7235"/>
      <c r="AP2" s="1301">
        <v>0</v>
      </c>
    </row>
    <row s="7486" customFormat="1" customHeight="1" ht="10.5" hidden="1">
      <c r="A3" s="1312"/>
      <c r="B3" s="1312"/>
      <c r="C3" s="1312"/>
      <c r="D3" s="1306"/>
      <c r="E3" s="508"/>
      <c r="K3" s="7486"/>
      <c r="L3" s="7486"/>
      <c r="M3" s="7486"/>
      <c r="N3" s="7486"/>
      <c r="O3" s="7486"/>
      <c r="P3" s="7486"/>
      <c r="Q3" s="7486"/>
      <c r="R3" s="7486"/>
      <c r="S3" s="7486"/>
      <c r="T3" s="7486"/>
      <c r="U3" s="7486"/>
      <c r="V3" s="7486"/>
      <c r="W3" s="7486"/>
      <c r="X3" s="7486"/>
      <c r="Y3" s="7486"/>
      <c r="Z3" s="7486"/>
      <c r="AA3" s="7486"/>
      <c r="AB3" s="7486"/>
      <c r="AC3" s="7486"/>
      <c r="AP3" s="1302">
        <v>0</v>
      </c>
    </row>
    <row customHeight="1" ht="3">
      <c r="K4" s="7235"/>
      <c r="L4" s="7235"/>
      <c r="M4" s="7235"/>
      <c r="N4" s="7235"/>
      <c r="O4" s="7235"/>
      <c r="P4" s="7235"/>
      <c r="Q4" s="7235"/>
      <c r="R4" s="7235"/>
      <c r="S4" s="7235"/>
      <c r="T4" s="7235"/>
      <c r="U4" s="7235"/>
      <c r="V4" s="7235"/>
      <c r="W4" s="7235"/>
      <c r="X4" s="7235"/>
      <c r="Y4" s="7235"/>
      <c r="Z4" s="7235"/>
      <c r="AA4" s="7235"/>
      <c r="AB4" s="7235"/>
      <c r="AC4" s="7235"/>
      <c r="AP4" s="1301">
        <v>3</v>
      </c>
    </row>
    <row customHeight="1" ht="27.299999999999997">
      <c r="F5" s="240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07"/>
      <c r="H5" s="2407"/>
      <c r="I5" s="2407"/>
      <c r="J5" s="2407"/>
      <c r="K5" s="6202"/>
      <c r="L5" s="6202"/>
      <c r="M5" s="6202"/>
      <c r="N5" s="6202"/>
      <c r="O5" s="6202"/>
      <c r="P5" s="6202"/>
      <c r="Q5" s="6202"/>
      <c r="R5" s="6202"/>
      <c r="S5" s="6202"/>
      <c r="T5" s="6202"/>
      <c r="U5" s="6202"/>
      <c r="V5" s="6202"/>
      <c r="W5" s="6202"/>
      <c r="X5" s="6202"/>
      <c r="Y5" s="6202"/>
      <c r="Z5" s="6202"/>
      <c r="AA5" s="6202"/>
      <c r="AB5" s="6202"/>
      <c r="AC5" s="6202"/>
      <c r="AP5" s="1301">
        <v>26</v>
      </c>
    </row>
    <row customHeight="1" ht="10.5">
      <c r="F6" s="2335" t="str">
        <f>IF(org=0,"Не определено",org)</f>
        <v>ПАО "ТГК-14"</v>
      </c>
      <c r="G6" s="2335"/>
      <c r="H6" s="2335"/>
      <c r="I6" s="2335"/>
      <c r="J6" s="2335"/>
      <c r="K6" s="6204"/>
      <c r="L6" s="6204"/>
      <c r="M6" s="6204"/>
      <c r="N6" s="6204"/>
      <c r="O6" s="6204"/>
      <c r="P6" s="6204"/>
      <c r="Q6" s="6204"/>
      <c r="R6" s="6204"/>
      <c r="S6" s="6204"/>
      <c r="T6" s="6204"/>
      <c r="U6" s="6204"/>
      <c r="V6" s="6204"/>
      <c r="W6" s="6204"/>
      <c r="X6" s="6204"/>
      <c r="Y6" s="6204"/>
      <c r="Z6" s="6204"/>
      <c r="AA6" s="6204"/>
      <c r="AB6" s="6204"/>
      <c r="AC6" s="6204"/>
      <c r="AP6" s="1301">
        <v>10</v>
      </c>
    </row>
    <row customHeight="1" ht="11.549999999999999">
      <c r="E7" s="1316"/>
      <c r="F7" s="1373"/>
      <c r="G7" s="1373"/>
      <c r="H7" s="1373"/>
      <c r="I7" s="1373"/>
      <c r="J7" s="1373"/>
      <c r="K7" s="7039" t="s">
        <v>22</v>
      </c>
      <c r="L7" s="7039"/>
      <c r="M7" s="7039" t="s">
        <v>22</v>
      </c>
      <c r="N7" s="7039" t="s">
        <v>22</v>
      </c>
      <c r="O7" s="7039" t="s">
        <v>22</v>
      </c>
      <c r="P7" s="7039" t="s">
        <v>22</v>
      </c>
      <c r="Q7" s="7039" t="s">
        <v>22</v>
      </c>
      <c r="R7" s="7039" t="s">
        <v>22</v>
      </c>
      <c r="S7" s="7039" t="s">
        <v>22</v>
      </c>
      <c r="T7" s="7039" t="s">
        <v>22</v>
      </c>
      <c r="U7" s="7039" t="s">
        <v>22</v>
      </c>
      <c r="V7" s="7039"/>
      <c r="W7" s="7039" t="s">
        <v>22</v>
      </c>
      <c r="X7" s="7039"/>
      <c r="Y7" s="7039" t="s">
        <v>22</v>
      </c>
      <c r="Z7" s="7039" t="s">
        <v>22</v>
      </c>
      <c r="AA7" s="7039" t="s">
        <v>22</v>
      </c>
      <c r="AB7" s="7039" t="s">
        <v>22</v>
      </c>
      <c r="AC7" s="7039"/>
      <c r="AD7" s="1303"/>
      <c r="AE7" s="1303"/>
      <c r="AF7" s="1303"/>
      <c r="AG7" s="1303"/>
      <c r="AH7" s="1303"/>
      <c r="AI7" s="1303"/>
      <c r="AJ7" s="1303"/>
      <c r="AK7" s="1303"/>
      <c r="AL7" s="1303"/>
      <c r="AM7" s="1303"/>
      <c r="AN7" s="1303"/>
      <c r="AO7" s="1303"/>
      <c r="AP7" s="1301">
        <v>11</v>
      </c>
    </row>
    <row s="6720" customFormat="1" customHeight="1" ht="4.2">
      <c r="A8" s="1313"/>
      <c r="B8" s="1313"/>
      <c r="C8" s="1313"/>
      <c r="E8" s="1374"/>
      <c r="F8" s="1375"/>
      <c r="G8" s="1375"/>
      <c r="H8" s="1375"/>
      <c r="I8" s="1375"/>
      <c r="J8" s="1375"/>
      <c r="K8" s="7042" t="s">
        <v>1060</v>
      </c>
      <c r="L8" s="7042"/>
      <c r="M8" s="7042"/>
      <c r="N8" s="7042"/>
      <c r="O8" s="7042"/>
      <c r="P8" s="7042"/>
      <c r="Q8" s="7042"/>
      <c r="R8" s="7042"/>
      <c r="S8" s="7042"/>
      <c r="T8" s="7042"/>
      <c r="U8" s="7042"/>
      <c r="V8" s="7042"/>
      <c r="W8" s="7042" t="s">
        <v>1069</v>
      </c>
      <c r="X8" s="7042"/>
      <c r="Y8" s="7042"/>
      <c r="Z8" s="7042"/>
      <c r="AA8" s="7042"/>
      <c r="AB8" s="7042"/>
      <c r="AC8" s="7042"/>
      <c r="AD8" s="1374"/>
      <c r="AE8" s="1374"/>
      <c r="AF8" s="1374"/>
      <c r="AG8" s="1374"/>
      <c r="AH8" s="1374"/>
      <c r="AI8" s="1374"/>
      <c r="AJ8" s="1374"/>
      <c r="AK8" s="1374"/>
      <c r="AL8" s="1374"/>
      <c r="AM8" s="1374"/>
      <c r="AN8" s="1374"/>
      <c r="AO8" s="1374"/>
      <c r="AP8" s="657">
        <v>4</v>
      </c>
    </row>
    <row customHeight="1" ht="10.5">
      <c r="E9" s="1316"/>
      <c r="F9" s="2578" t="s">
        <v>322</v>
      </c>
      <c r="G9" s="2579"/>
      <c r="H9" s="2579"/>
      <c r="I9" s="2579"/>
      <c r="J9" s="2579"/>
      <c r="K9" s="7044"/>
      <c r="L9" s="7044"/>
      <c r="M9" s="7044"/>
      <c r="N9" s="7044"/>
      <c r="O9" s="7044"/>
      <c r="P9" s="7044"/>
      <c r="Q9" s="7044"/>
      <c r="R9" s="7044"/>
      <c r="S9" s="7044"/>
      <c r="T9" s="7044"/>
      <c r="U9" s="7044"/>
      <c r="V9" s="7044"/>
      <c r="W9" s="7044"/>
      <c r="X9" s="7044"/>
      <c r="Y9" s="7044"/>
      <c r="Z9" s="7044"/>
      <c r="AA9" s="7044"/>
      <c r="AB9" s="7044"/>
      <c r="AC9" s="7044"/>
      <c r="AD9" s="1386"/>
      <c r="AE9" s="1303"/>
      <c r="AF9" s="1303"/>
      <c r="AG9" s="1303"/>
      <c r="AH9" s="1303"/>
      <c r="AI9" s="1303"/>
      <c r="AJ9" s="1303"/>
      <c r="AK9" s="1303"/>
      <c r="AL9" s="1303"/>
      <c r="AM9" s="1303"/>
      <c r="AN9" s="1303"/>
      <c r="AO9" s="1303"/>
      <c r="AP9" s="1301">
        <v>10</v>
      </c>
    </row>
    <row customHeight="1" ht="25.2">
      <c r="E10" s="1303"/>
      <c r="F10" s="2582" t="s">
        <v>89</v>
      </c>
      <c r="G10" s="2587" t="s">
        <v>1360</v>
      </c>
      <c r="H10" s="2585" t="s">
        <v>1361</v>
      </c>
      <c r="I10" s="2585"/>
      <c r="J10" s="2585"/>
      <c r="K10" s="7578" t="s">
        <v>1361</v>
      </c>
      <c r="L10" s="7578"/>
      <c r="M10" s="7578"/>
      <c r="N10" s="7578"/>
      <c r="O10" s="7578"/>
      <c r="P10" s="7578"/>
      <c r="Q10" s="7578"/>
      <c r="R10" s="7578"/>
      <c r="S10" s="7578"/>
      <c r="T10" s="7578"/>
      <c r="U10" s="7578"/>
      <c r="V10" s="7578"/>
      <c r="W10" s="7578" t="s">
        <v>1361</v>
      </c>
      <c r="X10" s="7578"/>
      <c r="Y10" s="7578"/>
      <c r="Z10" s="7578"/>
      <c r="AA10" s="7578"/>
      <c r="AB10" s="7578"/>
      <c r="AC10" s="7578"/>
      <c r="AD10" s="1379"/>
      <c r="AE10" s="1303"/>
      <c r="AF10" s="1303"/>
      <c r="AG10" s="1303"/>
      <c r="AH10" s="1303"/>
      <c r="AI10" s="1303"/>
      <c r="AJ10" s="1303"/>
      <c r="AK10" s="1303"/>
      <c r="AL10" s="1303"/>
      <c r="AM10" s="1303"/>
      <c r="AN10" s="1303"/>
      <c r="AO10" s="1303"/>
      <c r="AP10" s="1301">
        <v>24</v>
      </c>
    </row>
    <row customHeight="1" ht="25.5">
      <c r="E11" s="1303"/>
      <c r="F11" s="2583"/>
      <c r="G11" s="2587"/>
      <c r="H11" s="2586">
        <f>INDEX(IP_MAIN_LIST_NAME_IP,MATCH(H8,IP_MAIN_LIST_IP_ID,0))&amp;" ("&amp;INDEX(IP_MAIN_START_DATE,MATCH(H8,IP_MAIN_LIST_IP_ID,0))&amp;"-"&amp;INDEX(IP_MAIN_END_DATE,MATCH(H8,IP_MAIN_LIST_IP_ID,0))&amp;")"</f>
      </c>
      <c r="I11" s="2586"/>
      <c r="J11" s="2586"/>
      <c r="K11" s="7051" t="str">
        <f>INDEX(IP_MAIN_LIST_NAME_IP,MATCH(K8,IP_MAIN_LIST_IP_ID,0))&amp;" ("&amp;INDEX(IP_MAIN_START_DATE,MATCH(K8,IP_MAIN_LIST_IP_ID,0))&amp;"-"&amp;INDEX(IP_MAIN_END_DATE,MATCH(K8,IP_MAIN_LIST_IP_ID,0))&amp;")"</f>
        <v>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(29.03.2019-31.12.2028)</v>
      </c>
      <c r="L11" s="7051"/>
      <c r="M11" s="7051"/>
      <c r="N11" s="7051"/>
      <c r="O11" s="7051"/>
      <c r="P11" s="7051"/>
      <c r="Q11" s="7051"/>
      <c r="R11" s="7051"/>
      <c r="S11" s="7051"/>
      <c r="T11" s="7051"/>
      <c r="U11" s="7051"/>
      <c r="V11" s="7051"/>
      <c r="W11" s="7051" t="str">
        <f>INDEX(IP_MAIN_LIST_NAME_IP,MATCH(W8,IP_MAIN_LIST_IP_ID,0))&amp;" ("&amp;INDEX(IP_MAIN_START_DATE,MATCH(W8,IP_MAIN_LIST_IP_ID,0))&amp;"-"&amp;INDEX(IP_MAIN_END_DATE,MATCH(W8,IP_MAIN_LIST_IP_ID,0))&amp;")"</f>
        <v>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 (01.01.2024-31.12.2028)</v>
      </c>
      <c r="X11" s="7051"/>
      <c r="Y11" s="7051"/>
      <c r="Z11" s="7051"/>
      <c r="AA11" s="7051"/>
      <c r="AB11" s="7051"/>
      <c r="AC11" s="7051"/>
      <c r="AD11" s="1379"/>
      <c r="AE11" s="1303"/>
      <c r="AF11" s="1303"/>
      <c r="AG11" s="1303"/>
      <c r="AH11" s="1303"/>
      <c r="AI11" s="1303"/>
      <c r="AJ11" s="1303"/>
      <c r="AK11" s="1303"/>
      <c r="AL11" s="1303"/>
      <c r="AM11" s="1303"/>
      <c r="AN11" s="1303"/>
      <c r="AO11" s="1303"/>
      <c r="AP11" s="1301">
        <v>24</v>
      </c>
    </row>
    <row customHeight="1" ht="10.5">
      <c r="F12" s="2584"/>
      <c r="G12" s="2587"/>
      <c r="H12" s="1372" t="s">
        <v>1362</v>
      </c>
      <c r="I12" s="1378"/>
      <c r="J12" s="1372"/>
      <c r="K12" s="7735" t="s">
        <v>1362</v>
      </c>
      <c r="L12" s="7054">
        <v>2019</v>
      </c>
      <c r="M12" s="7054">
        <v>2020</v>
      </c>
      <c r="N12" s="7054">
        <v>2021</v>
      </c>
      <c r="O12" s="7054">
        <v>2022</v>
      </c>
      <c r="P12" s="7054">
        <v>2023</v>
      </c>
      <c r="Q12" s="7054">
        <v>2024</v>
      </c>
      <c r="R12" s="7054">
        <v>2025</v>
      </c>
      <c r="S12" s="7054">
        <v>2026</v>
      </c>
      <c r="T12" s="7054">
        <v>2027</v>
      </c>
      <c r="U12" s="7054">
        <v>2028</v>
      </c>
      <c r="V12" s="7735"/>
      <c r="W12" s="7735" t="s">
        <v>1362</v>
      </c>
      <c r="X12" s="7054">
        <v>2024</v>
      </c>
      <c r="Y12" s="7054">
        <v>2025</v>
      </c>
      <c r="Z12" s="7054">
        <v>2026</v>
      </c>
      <c r="AA12" s="7054">
        <v>2027</v>
      </c>
      <c r="AB12" s="7054">
        <v>2028</v>
      </c>
      <c r="AC12" s="7735"/>
      <c r="AD12" s="1380"/>
      <c r="AP12" s="1301">
        <v>10</v>
      </c>
    </row>
    <row customHeight="1" ht="10.5" hidden="1">
      <c r="F13" s="1372">
        <v>1</v>
      </c>
      <c r="G13" s="1372">
        <v>2</v>
      </c>
      <c r="H13" s="1372">
        <v>3</v>
      </c>
      <c r="I13" s="1372">
        <v>4</v>
      </c>
      <c r="J13" s="1372">
        <v>5</v>
      </c>
      <c r="K13" s="7735">
        <v>3</v>
      </c>
      <c r="L13" s="7735">
        <v>4</v>
      </c>
      <c r="M13" s="7735">
        <v>4</v>
      </c>
      <c r="N13" s="7735">
        <v>4</v>
      </c>
      <c r="O13" s="7735">
        <v>4</v>
      </c>
      <c r="P13" s="7735">
        <v>4</v>
      </c>
      <c r="Q13" s="7735">
        <v>4</v>
      </c>
      <c r="R13" s="7735">
        <v>4</v>
      </c>
      <c r="S13" s="7735">
        <v>4</v>
      </c>
      <c r="T13" s="7735">
        <v>4</v>
      </c>
      <c r="U13" s="7735">
        <v>4</v>
      </c>
      <c r="V13" s="7735">
        <v>5</v>
      </c>
      <c r="W13" s="7735">
        <v>3</v>
      </c>
      <c r="X13" s="7735">
        <v>4</v>
      </c>
      <c r="Y13" s="7735">
        <v>4</v>
      </c>
      <c r="Z13" s="7735">
        <v>4</v>
      </c>
      <c r="AA13" s="7735">
        <v>4</v>
      </c>
      <c r="AB13" s="7735">
        <v>4</v>
      </c>
      <c r="AC13" s="7735">
        <v>5</v>
      </c>
      <c r="AD13" s="1380"/>
      <c r="AP13" s="1301">
        <v>0</v>
      </c>
    </row>
    <row customHeight="1" ht="11.549999999999999">
      <c r="F14" s="1371" t="s">
        <v>1363</v>
      </c>
      <c r="G14" s="2580" t="s">
        <v>1364</v>
      </c>
      <c r="H14" s="2580"/>
      <c r="I14" s="2580"/>
      <c r="J14" s="2580"/>
      <c r="K14" s="7057"/>
      <c r="L14" s="7057"/>
      <c r="M14" s="7057"/>
      <c r="N14" s="7057"/>
      <c r="O14" s="7057"/>
      <c r="P14" s="7057"/>
      <c r="Q14" s="7057"/>
      <c r="R14" s="7057"/>
      <c r="S14" s="7057"/>
      <c r="T14" s="7057"/>
      <c r="U14" s="7057"/>
      <c r="V14" s="7057"/>
      <c r="W14" s="7057"/>
      <c r="X14" s="7057"/>
      <c r="Y14" s="7057"/>
      <c r="Z14" s="7057"/>
      <c r="AA14" s="7057"/>
      <c r="AB14" s="7057"/>
      <c r="AC14" s="7057"/>
      <c r="AD14" s="1380"/>
      <c r="AP14" s="1301">
        <v>11</v>
      </c>
    </row>
    <row customHeight="1" ht="11.549999999999999">
      <c r="F15" s="1376">
        <v>1</v>
      </c>
      <c r="G15" s="836" t="s">
        <v>1365</v>
      </c>
      <c r="H15" s="1382">
        <f>SUM(I15:J15)</f>
        <v>0</v>
      </c>
      <c r="I15" s="1382">
        <f>SUM(I16:I27)</f>
        <v>0</v>
      </c>
      <c r="J15" s="1371"/>
      <c r="K15" s="7737">
        <f>SUM(L15:V15)</f>
        <v>0</v>
      </c>
      <c r="L15" s="7737">
        <f>SUM(L16:L27)</f>
        <v>0</v>
      </c>
      <c r="M15" s="7737">
        <f>SUM(M16:M27)</f>
        <v>0</v>
      </c>
      <c r="N15" s="7737">
        <f>SUM(N16:N27)</f>
        <v>0</v>
      </c>
      <c r="O15" s="7737">
        <f>SUM(O16:O27)</f>
        <v>0</v>
      </c>
      <c r="P15" s="7737">
        <f>SUM(P16:P27)</f>
        <v>0</v>
      </c>
      <c r="Q15" s="7737">
        <f>SUM(Q16:Q27)</f>
        <v>0</v>
      </c>
      <c r="R15" s="7737">
        <f>SUM(R16:R27)</f>
        <v>0</v>
      </c>
      <c r="S15" s="7737">
        <f>SUM(S16:S27)</f>
        <v>0</v>
      </c>
      <c r="T15" s="7737">
        <f>SUM(T16:T27)</f>
        <v>0</v>
      </c>
      <c r="U15" s="7737">
        <f>SUM(U16:U27)</f>
        <v>0</v>
      </c>
      <c r="V15" s="7578"/>
      <c r="W15" s="7737">
        <f>SUM(X15:AC15)</f>
        <v>0</v>
      </c>
      <c r="X15" s="7737">
        <f>SUM(X16:X27)</f>
        <v>0</v>
      </c>
      <c r="Y15" s="7737">
        <f>SUM(Y16:Y27)</f>
        <v>0</v>
      </c>
      <c r="Z15" s="7737">
        <f>SUM(Z16:Z27)</f>
        <v>0</v>
      </c>
      <c r="AA15" s="7737">
        <f>SUM(AA16:AA27)</f>
        <v>0</v>
      </c>
      <c r="AB15" s="7737">
        <f>SUM(AB16:AB27)</f>
        <v>0</v>
      </c>
      <c r="AC15" s="7578"/>
      <c r="AD15" s="1380"/>
      <c r="AP15" s="1301">
        <v>11</v>
      </c>
    </row>
    <row customHeight="1" ht="24">
      <c r="F16" s="1376" t="s">
        <v>1366</v>
      </c>
      <c r="G16" s="1383" t="s">
        <v>1367</v>
      </c>
      <c r="H16" s="1382">
        <f>SUM(I16:J16)</f>
        <v>0</v>
      </c>
      <c r="I16" s="1381"/>
      <c r="J16" s="1371"/>
      <c r="K16" s="7737">
        <f>SUM(L16:V16)</f>
        <v>0</v>
      </c>
      <c r="L16" s="7061"/>
      <c r="M16" s="7061"/>
      <c r="N16" s="7061"/>
      <c r="O16" s="7061"/>
      <c r="P16" s="7061"/>
      <c r="Q16" s="7061"/>
      <c r="R16" s="7061"/>
      <c r="S16" s="7061"/>
      <c r="T16" s="7061"/>
      <c r="U16" s="7061"/>
      <c r="V16" s="7578"/>
      <c r="W16" s="7737">
        <f>SUM(X16:AC16)</f>
        <v>0</v>
      </c>
      <c r="X16" s="7061"/>
      <c r="Y16" s="7061"/>
      <c r="Z16" s="7061"/>
      <c r="AA16" s="7061"/>
      <c r="AB16" s="7061"/>
      <c r="AC16" s="7578"/>
      <c r="AD16" s="1380"/>
      <c r="AP16" s="1301">
        <v>23</v>
      </c>
    </row>
    <row customHeight="1" ht="24">
      <c r="F17" s="1376" t="s">
        <v>1368</v>
      </c>
      <c r="G17" s="1383" t="s">
        <v>1369</v>
      </c>
      <c r="H17" s="1382">
        <f>SUM(I17:J17)</f>
        <v>0</v>
      </c>
      <c r="I17" s="1381"/>
      <c r="J17" s="1371"/>
      <c r="K17" s="7737">
        <f>SUM(L17:V17)</f>
        <v>0</v>
      </c>
      <c r="L17" s="7061"/>
      <c r="M17" s="7061"/>
      <c r="N17" s="7061"/>
      <c r="O17" s="7061"/>
      <c r="P17" s="7061"/>
      <c r="Q17" s="7061"/>
      <c r="R17" s="7061"/>
      <c r="S17" s="7061"/>
      <c r="T17" s="7061"/>
      <c r="U17" s="7061"/>
      <c r="V17" s="7578"/>
      <c r="W17" s="7737">
        <f>SUM(X17:AC17)</f>
        <v>0</v>
      </c>
      <c r="X17" s="7061"/>
      <c r="Y17" s="7061"/>
      <c r="Z17" s="7061"/>
      <c r="AA17" s="7061"/>
      <c r="AB17" s="7061"/>
      <c r="AC17" s="7578"/>
      <c r="AD17" s="1380"/>
      <c r="AP17" s="1301">
        <v>23</v>
      </c>
    </row>
    <row customHeight="1" ht="35.699999999999996">
      <c r="F18" s="1376" t="s">
        <v>1370</v>
      </c>
      <c r="G18" s="1383" t="s">
        <v>1371</v>
      </c>
      <c r="H18" s="1382">
        <f>SUM(I18:J18)</f>
        <v>0</v>
      </c>
      <c r="I18" s="1381"/>
      <c r="J18" s="1371"/>
      <c r="K18" s="7737">
        <f>SUM(L18:V18)</f>
        <v>0</v>
      </c>
      <c r="L18" s="7061"/>
      <c r="M18" s="7061"/>
      <c r="N18" s="7061"/>
      <c r="O18" s="7061"/>
      <c r="P18" s="7061"/>
      <c r="Q18" s="7061"/>
      <c r="R18" s="7061"/>
      <c r="S18" s="7061"/>
      <c r="T18" s="7061"/>
      <c r="U18" s="7061"/>
      <c r="V18" s="7578"/>
      <c r="W18" s="7737">
        <f>SUM(X18:AC18)</f>
        <v>0</v>
      </c>
      <c r="X18" s="7061"/>
      <c r="Y18" s="7061"/>
      <c r="Z18" s="7061"/>
      <c r="AA18" s="7061"/>
      <c r="AB18" s="7061"/>
      <c r="AC18" s="7578"/>
      <c r="AD18" s="1380"/>
      <c r="AP18" s="1301">
        <v>34</v>
      </c>
    </row>
    <row customHeight="1" ht="35.699999999999996">
      <c r="F19" s="1376" t="s">
        <v>1372</v>
      </c>
      <c r="G19" s="1383" t="s">
        <v>1373</v>
      </c>
      <c r="H19" s="1382">
        <f>SUM(I19:J19)</f>
        <v>0</v>
      </c>
      <c r="I19" s="1381"/>
      <c r="J19" s="1371"/>
      <c r="K19" s="7737">
        <f>SUM(L19:V19)</f>
        <v>0</v>
      </c>
      <c r="L19" s="7061"/>
      <c r="M19" s="7061"/>
      <c r="N19" s="7061"/>
      <c r="O19" s="7061"/>
      <c r="P19" s="7061"/>
      <c r="Q19" s="7061"/>
      <c r="R19" s="7061"/>
      <c r="S19" s="7061"/>
      <c r="T19" s="7061"/>
      <c r="U19" s="7061"/>
      <c r="V19" s="7578"/>
      <c r="W19" s="7737">
        <f>SUM(X19:AC19)</f>
        <v>0</v>
      </c>
      <c r="X19" s="7061"/>
      <c r="Y19" s="7061"/>
      <c r="Z19" s="7061"/>
      <c r="AA19" s="7061"/>
      <c r="AB19" s="7061"/>
      <c r="AC19" s="7578"/>
      <c r="AD19" s="1380"/>
      <c r="AP19" s="1301">
        <v>34</v>
      </c>
    </row>
    <row customHeight="1" ht="48.29999999999999">
      <c r="F20" s="1376" t="s">
        <v>1374</v>
      </c>
      <c r="G20" s="1383" t="s">
        <v>1375</v>
      </c>
      <c r="H20" s="1382">
        <f>SUM(I20:J20)</f>
        <v>0</v>
      </c>
      <c r="I20" s="1381"/>
      <c r="J20" s="1371"/>
      <c r="K20" s="7737">
        <f>SUM(L20:V20)</f>
        <v>0</v>
      </c>
      <c r="L20" s="7061"/>
      <c r="M20" s="7061"/>
      <c r="N20" s="7061"/>
      <c r="O20" s="7061"/>
      <c r="P20" s="7061"/>
      <c r="Q20" s="7061"/>
      <c r="R20" s="7061"/>
      <c r="S20" s="7061"/>
      <c r="T20" s="7061"/>
      <c r="U20" s="7061"/>
      <c r="V20" s="7578"/>
      <c r="W20" s="7737">
        <f>SUM(X20:AC20)</f>
        <v>0</v>
      </c>
      <c r="X20" s="7061"/>
      <c r="Y20" s="7061"/>
      <c r="Z20" s="7061"/>
      <c r="AA20" s="7061"/>
      <c r="AB20" s="7061"/>
      <c r="AC20" s="7578"/>
      <c r="AD20" s="1380"/>
      <c r="AP20" s="1301">
        <v>46</v>
      </c>
    </row>
    <row customHeight="1" ht="35.699999999999996">
      <c r="F21" s="1376" t="s">
        <v>1376</v>
      </c>
      <c r="G21" s="1383" t="s">
        <v>1377</v>
      </c>
      <c r="H21" s="1382">
        <f>SUM(I21:J21)</f>
        <v>0</v>
      </c>
      <c r="I21" s="1381"/>
      <c r="J21" s="1371"/>
      <c r="K21" s="7737">
        <f>SUM(L21:V21)</f>
        <v>0</v>
      </c>
      <c r="L21" s="7061"/>
      <c r="M21" s="7061"/>
      <c r="N21" s="7061"/>
      <c r="O21" s="7061"/>
      <c r="P21" s="7061"/>
      <c r="Q21" s="7061"/>
      <c r="R21" s="7061"/>
      <c r="S21" s="7061"/>
      <c r="T21" s="7061"/>
      <c r="U21" s="7061"/>
      <c r="V21" s="7578"/>
      <c r="W21" s="7737">
        <f>SUM(X21:AC21)</f>
        <v>0</v>
      </c>
      <c r="X21" s="7061"/>
      <c r="Y21" s="7061"/>
      <c r="Z21" s="7061"/>
      <c r="AA21" s="7061"/>
      <c r="AB21" s="7061"/>
      <c r="AC21" s="7578"/>
      <c r="AD21" s="1380"/>
      <c r="AP21" s="1301">
        <v>34</v>
      </c>
    </row>
    <row customHeight="1" ht="35.699999999999996">
      <c r="F22" s="1376" t="s">
        <v>1378</v>
      </c>
      <c r="G22" s="1383" t="s">
        <v>1379</v>
      </c>
      <c r="H22" s="1382">
        <f>SUM(I22:J22)</f>
        <v>0</v>
      </c>
      <c r="I22" s="1381"/>
      <c r="J22" s="1371"/>
      <c r="K22" s="7737">
        <f>SUM(L22:V22)</f>
        <v>0</v>
      </c>
      <c r="L22" s="7061"/>
      <c r="M22" s="7061"/>
      <c r="N22" s="7061"/>
      <c r="O22" s="7061"/>
      <c r="P22" s="7061"/>
      <c r="Q22" s="7061"/>
      <c r="R22" s="7061"/>
      <c r="S22" s="7061"/>
      <c r="T22" s="7061"/>
      <c r="U22" s="7061"/>
      <c r="V22" s="7578"/>
      <c r="W22" s="7737">
        <f>SUM(X22:AC22)</f>
        <v>0</v>
      </c>
      <c r="X22" s="7061"/>
      <c r="Y22" s="7061"/>
      <c r="Z22" s="7061"/>
      <c r="AA22" s="7061"/>
      <c r="AB22" s="7061"/>
      <c r="AC22" s="7578"/>
      <c r="AD22" s="1380"/>
      <c r="AP22" s="1301">
        <v>34</v>
      </c>
    </row>
    <row customHeight="1" ht="24">
      <c r="F23" s="1376" t="s">
        <v>1380</v>
      </c>
      <c r="G23" s="1383" t="s">
        <v>1381</v>
      </c>
      <c r="H23" s="1382">
        <f>SUM(I23:J23)</f>
        <v>0</v>
      </c>
      <c r="I23" s="1381"/>
      <c r="J23" s="1371"/>
      <c r="K23" s="7737">
        <f>SUM(L23:V23)</f>
        <v>0</v>
      </c>
      <c r="L23" s="7061"/>
      <c r="M23" s="7061"/>
      <c r="N23" s="7061"/>
      <c r="O23" s="7061"/>
      <c r="P23" s="7061"/>
      <c r="Q23" s="7061"/>
      <c r="R23" s="7061"/>
      <c r="S23" s="7061"/>
      <c r="T23" s="7061"/>
      <c r="U23" s="7061"/>
      <c r="V23" s="7578"/>
      <c r="W23" s="7737">
        <f>SUM(X23:AC23)</f>
        <v>0</v>
      </c>
      <c r="X23" s="7061"/>
      <c r="Y23" s="7061"/>
      <c r="Z23" s="7061"/>
      <c r="AA23" s="7061"/>
      <c r="AB23" s="7061"/>
      <c r="AC23" s="7578"/>
      <c r="AD23" s="1380"/>
      <c r="AP23" s="1301">
        <v>23</v>
      </c>
    </row>
    <row customHeight="1" ht="24">
      <c r="F24" s="1376" t="s">
        <v>1382</v>
      </c>
      <c r="G24" s="1383" t="s">
        <v>1383</v>
      </c>
      <c r="H24" s="1382">
        <f>SUM(I24:J24)</f>
        <v>0</v>
      </c>
      <c r="I24" s="1381"/>
      <c r="J24" s="1371"/>
      <c r="K24" s="7737">
        <f>SUM(L24:V24)</f>
        <v>0</v>
      </c>
      <c r="L24" s="7061"/>
      <c r="M24" s="7061"/>
      <c r="N24" s="7061"/>
      <c r="O24" s="7061"/>
      <c r="P24" s="7061"/>
      <c r="Q24" s="7061"/>
      <c r="R24" s="7061"/>
      <c r="S24" s="7061"/>
      <c r="T24" s="7061"/>
      <c r="U24" s="7061"/>
      <c r="V24" s="7578"/>
      <c r="W24" s="7737">
        <f>SUM(X24:AC24)</f>
        <v>0</v>
      </c>
      <c r="X24" s="7061"/>
      <c r="Y24" s="7061"/>
      <c r="Z24" s="7061"/>
      <c r="AA24" s="7061"/>
      <c r="AB24" s="7061"/>
      <c r="AC24" s="7578"/>
      <c r="AD24" s="1380"/>
      <c r="AP24" s="1301">
        <v>23</v>
      </c>
    </row>
    <row customHeight="1" ht="35.699999999999996">
      <c r="F25" s="1376" t="s">
        <v>1384</v>
      </c>
      <c r="G25" s="1383" t="s">
        <v>1385</v>
      </c>
      <c r="H25" s="1382">
        <f>SUM(I25:J25)</f>
        <v>0</v>
      </c>
      <c r="I25" s="1381"/>
      <c r="J25" s="1371"/>
      <c r="K25" s="7737">
        <f>SUM(L25:V25)</f>
        <v>0</v>
      </c>
      <c r="L25" s="7061"/>
      <c r="M25" s="7061"/>
      <c r="N25" s="7061"/>
      <c r="O25" s="7061"/>
      <c r="P25" s="7061"/>
      <c r="Q25" s="7061"/>
      <c r="R25" s="7061"/>
      <c r="S25" s="7061"/>
      <c r="T25" s="7061"/>
      <c r="U25" s="7061"/>
      <c r="V25" s="7578"/>
      <c r="W25" s="7737">
        <f>SUM(X25:AC25)</f>
        <v>0</v>
      </c>
      <c r="X25" s="7061"/>
      <c r="Y25" s="7061"/>
      <c r="Z25" s="7061"/>
      <c r="AA25" s="7061"/>
      <c r="AB25" s="7061"/>
      <c r="AC25" s="7578"/>
      <c r="AD25" s="1380"/>
      <c r="AP25" s="1301">
        <v>34</v>
      </c>
    </row>
    <row customHeight="1" ht="35.699999999999996">
      <c r="F26" s="1376" t="s">
        <v>1386</v>
      </c>
      <c r="G26" s="1383" t="s">
        <v>1387</v>
      </c>
      <c r="H26" s="1382">
        <f>SUM(I26:J26)</f>
        <v>0</v>
      </c>
      <c r="I26" s="1381"/>
      <c r="J26" s="1371"/>
      <c r="K26" s="7737">
        <f>SUM(L26:V26)</f>
        <v>0</v>
      </c>
      <c r="L26" s="7061"/>
      <c r="M26" s="7061"/>
      <c r="N26" s="7061"/>
      <c r="O26" s="7061"/>
      <c r="P26" s="7061"/>
      <c r="Q26" s="7061"/>
      <c r="R26" s="7061"/>
      <c r="S26" s="7061"/>
      <c r="T26" s="7061"/>
      <c r="U26" s="7061"/>
      <c r="V26" s="7578"/>
      <c r="W26" s="7737">
        <f>SUM(X26:AC26)</f>
        <v>0</v>
      </c>
      <c r="X26" s="7061"/>
      <c r="Y26" s="7061"/>
      <c r="Z26" s="7061"/>
      <c r="AA26" s="7061"/>
      <c r="AB26" s="7061"/>
      <c r="AC26" s="7578"/>
      <c r="AD26" s="1380"/>
      <c r="AP26" s="1301">
        <v>34</v>
      </c>
    </row>
    <row customHeight="1" ht="11.549999999999999">
      <c r="F27" s="1376" t="s">
        <v>1388</v>
      </c>
      <c r="G27" s="1383" t="s">
        <v>1389</v>
      </c>
      <c r="H27" s="1382">
        <f>SUM(I27:J27)</f>
        <v>0</v>
      </c>
      <c r="I27" s="1381"/>
      <c r="J27" s="1371"/>
      <c r="K27" s="7737">
        <f>SUM(L27:V27)</f>
        <v>0</v>
      </c>
      <c r="L27" s="7061"/>
      <c r="M27" s="7061"/>
      <c r="N27" s="7061"/>
      <c r="O27" s="7061"/>
      <c r="P27" s="7061"/>
      <c r="Q27" s="7061"/>
      <c r="R27" s="7061"/>
      <c r="S27" s="7061"/>
      <c r="T27" s="7061"/>
      <c r="U27" s="7061"/>
      <c r="V27" s="7578"/>
      <c r="W27" s="7737">
        <f>SUM(X27:AC27)</f>
        <v>0</v>
      </c>
      <c r="X27" s="7061"/>
      <c r="Y27" s="7061"/>
      <c r="Z27" s="7061"/>
      <c r="AA27" s="7061"/>
      <c r="AB27" s="7061"/>
      <c r="AC27" s="7578"/>
      <c r="AD27" s="1380"/>
      <c r="AP27" s="1301">
        <v>11</v>
      </c>
    </row>
    <row customHeight="1" ht="11.549999999999999">
      <c r="F28" s="1376">
        <v>2</v>
      </c>
      <c r="G28" s="836" t="s">
        <v>1390</v>
      </c>
      <c r="H28" s="1382">
        <f>SUM(I28:J28)</f>
        <v>0</v>
      </c>
      <c r="I28" s="1382">
        <f>SUM(I29:I31)</f>
        <v>0</v>
      </c>
      <c r="J28" s="1371"/>
      <c r="K28" s="7737">
        <f>SUM(L28:V28)</f>
        <v>0</v>
      </c>
      <c r="L28" s="7737">
        <f>SUM(L29:L31)</f>
        <v>0</v>
      </c>
      <c r="M28" s="7737">
        <f>SUM(M29:M31)</f>
        <v>0</v>
      </c>
      <c r="N28" s="7737">
        <f>SUM(N29:N31)</f>
        <v>0</v>
      </c>
      <c r="O28" s="7737">
        <f>SUM(O29:O31)</f>
        <v>0</v>
      </c>
      <c r="P28" s="7737">
        <f>SUM(P29:P31)</f>
        <v>0</v>
      </c>
      <c r="Q28" s="7737">
        <f>SUM(Q29:Q31)</f>
        <v>0</v>
      </c>
      <c r="R28" s="7737">
        <f>SUM(R29:R31)</f>
        <v>0</v>
      </c>
      <c r="S28" s="7737">
        <f>SUM(S29:S31)</f>
        <v>0</v>
      </c>
      <c r="T28" s="7737">
        <f>SUM(T29:T31)</f>
        <v>0</v>
      </c>
      <c r="U28" s="7737">
        <f>SUM(U29:U31)</f>
        <v>0</v>
      </c>
      <c r="V28" s="7578"/>
      <c r="W28" s="7737">
        <f>SUM(X28:AC28)</f>
        <v>0</v>
      </c>
      <c r="X28" s="7737">
        <f>SUM(X29:X31)</f>
        <v>0</v>
      </c>
      <c r="Y28" s="7737">
        <f>SUM(Y29:Y31)</f>
        <v>0</v>
      </c>
      <c r="Z28" s="7737">
        <f>SUM(Z29:Z31)</f>
        <v>0</v>
      </c>
      <c r="AA28" s="7737">
        <f>SUM(AA29:AA31)</f>
        <v>0</v>
      </c>
      <c r="AB28" s="7737">
        <f>SUM(AB29:AB31)</f>
        <v>0</v>
      </c>
      <c r="AC28" s="7578"/>
      <c r="AD28" s="1380"/>
      <c r="AP28" s="1301">
        <v>11</v>
      </c>
    </row>
    <row customHeight="1" ht="11.549999999999999">
      <c r="F29" s="1376" t="s">
        <v>752</v>
      </c>
      <c r="G29" s="1383" t="s">
        <v>1391</v>
      </c>
      <c r="H29" s="1382">
        <f>SUM(I29:J29)</f>
        <v>0</v>
      </c>
      <c r="I29" s="1381"/>
      <c r="J29" s="1371"/>
      <c r="K29" s="7737">
        <f>SUM(L29:V29)</f>
        <v>0</v>
      </c>
      <c r="L29" s="7061"/>
      <c r="M29" s="7061"/>
      <c r="N29" s="7061"/>
      <c r="O29" s="7061"/>
      <c r="P29" s="7061"/>
      <c r="Q29" s="7061"/>
      <c r="R29" s="7061"/>
      <c r="S29" s="7061"/>
      <c r="T29" s="7061"/>
      <c r="U29" s="7061"/>
      <c r="V29" s="7578"/>
      <c r="W29" s="7737">
        <f>SUM(X29:AC29)</f>
        <v>0</v>
      </c>
      <c r="X29" s="7061"/>
      <c r="Y29" s="7061"/>
      <c r="Z29" s="7061"/>
      <c r="AA29" s="7061"/>
      <c r="AB29" s="7061"/>
      <c r="AC29" s="7578"/>
      <c r="AD29" s="1380"/>
      <c r="AP29" s="1301">
        <v>11</v>
      </c>
    </row>
    <row customHeight="1" ht="11.549999999999999">
      <c r="F30" s="1376" t="s">
        <v>329</v>
      </c>
      <c r="G30" s="1383" t="s">
        <v>1392</v>
      </c>
      <c r="H30" s="1382">
        <f>SUM(I30:J30)</f>
        <v>0</v>
      </c>
      <c r="I30" s="1381"/>
      <c r="J30" s="1371"/>
      <c r="K30" s="7737">
        <f>SUM(L30:V30)</f>
        <v>0</v>
      </c>
      <c r="L30" s="7061"/>
      <c r="M30" s="7061"/>
      <c r="N30" s="7061"/>
      <c r="O30" s="7061"/>
      <c r="P30" s="7061"/>
      <c r="Q30" s="7061"/>
      <c r="R30" s="7061"/>
      <c r="S30" s="7061"/>
      <c r="T30" s="7061"/>
      <c r="U30" s="7061"/>
      <c r="V30" s="7578"/>
      <c r="W30" s="7737">
        <f>SUM(X30:AC30)</f>
        <v>0</v>
      </c>
      <c r="X30" s="7061"/>
      <c r="Y30" s="7061"/>
      <c r="Z30" s="7061"/>
      <c r="AA30" s="7061"/>
      <c r="AB30" s="7061"/>
      <c r="AC30" s="7578"/>
      <c r="AD30" s="1380"/>
      <c r="AP30" s="1301">
        <v>11</v>
      </c>
    </row>
    <row customHeight="1" ht="11.549999999999999">
      <c r="F31" s="1376" t="s">
        <v>332</v>
      </c>
      <c r="G31" s="1383" t="s">
        <v>1393</v>
      </c>
      <c r="H31" s="1382">
        <f>SUM(I31:J31)</f>
        <v>0</v>
      </c>
      <c r="I31" s="1381"/>
      <c r="J31" s="1371"/>
      <c r="K31" s="7737">
        <f>SUM(L31:V31)</f>
        <v>0</v>
      </c>
      <c r="L31" s="7061"/>
      <c r="M31" s="7061"/>
      <c r="N31" s="7061"/>
      <c r="O31" s="7061"/>
      <c r="P31" s="7061"/>
      <c r="Q31" s="7061"/>
      <c r="R31" s="7061"/>
      <c r="S31" s="7061"/>
      <c r="T31" s="7061"/>
      <c r="U31" s="7061"/>
      <c r="V31" s="7578"/>
      <c r="W31" s="7737">
        <f>SUM(X31:AC31)</f>
        <v>0</v>
      </c>
      <c r="X31" s="7061"/>
      <c r="Y31" s="7061"/>
      <c r="Z31" s="7061"/>
      <c r="AA31" s="7061"/>
      <c r="AB31" s="7061"/>
      <c r="AC31" s="7578"/>
      <c r="AD31" s="1380"/>
      <c r="AP31" s="1301">
        <v>11</v>
      </c>
    </row>
    <row customHeight="1" ht="11.549999999999999">
      <c r="F32" s="1376">
        <v>3</v>
      </c>
      <c r="G32" s="836" t="s">
        <v>1394</v>
      </c>
      <c r="H32" s="1382">
        <f>SUM(I32:J32)</f>
        <v>0</v>
      </c>
      <c r="I32" s="1382">
        <f>SUM(I33:I34)</f>
        <v>0</v>
      </c>
      <c r="J32" s="1371"/>
      <c r="K32" s="7737">
        <f>SUM(L32:V32)</f>
        <v>0</v>
      </c>
      <c r="L32" s="7737">
        <f>SUM(L33:L34)</f>
        <v>0</v>
      </c>
      <c r="M32" s="7737">
        <f>SUM(M33:M34)</f>
        <v>0</v>
      </c>
      <c r="N32" s="7737">
        <f>SUM(N33:N34)</f>
        <v>0</v>
      </c>
      <c r="O32" s="7737">
        <f>SUM(O33:O34)</f>
        <v>0</v>
      </c>
      <c r="P32" s="7737">
        <f>SUM(P33:P34)</f>
        <v>0</v>
      </c>
      <c r="Q32" s="7737">
        <f>SUM(Q33:Q34)</f>
        <v>0</v>
      </c>
      <c r="R32" s="7737">
        <f>SUM(R33:R34)</f>
        <v>0</v>
      </c>
      <c r="S32" s="7737">
        <f>SUM(S33:S34)</f>
        <v>0</v>
      </c>
      <c r="T32" s="7737">
        <f>SUM(T33:T34)</f>
        <v>0</v>
      </c>
      <c r="U32" s="7737">
        <f>SUM(U33:U34)</f>
        <v>0</v>
      </c>
      <c r="V32" s="7578"/>
      <c r="W32" s="7737">
        <f>SUM(X32:AC32)</f>
        <v>0</v>
      </c>
      <c r="X32" s="7737">
        <f>SUM(X33:X34)</f>
        <v>0</v>
      </c>
      <c r="Y32" s="7737">
        <f>SUM(Y33:Y34)</f>
        <v>0</v>
      </c>
      <c r="Z32" s="7737">
        <f>SUM(Z33:Z34)</f>
        <v>0</v>
      </c>
      <c r="AA32" s="7737">
        <f>SUM(AA33:AA34)</f>
        <v>0</v>
      </c>
      <c r="AB32" s="7737">
        <f>SUM(AB33:AB34)</f>
        <v>0</v>
      </c>
      <c r="AC32" s="7578"/>
      <c r="AD32" s="1380"/>
      <c r="AP32" s="1301">
        <v>11</v>
      </c>
    </row>
    <row customHeight="1" ht="48.29999999999999">
      <c r="F33" s="1376" t="s">
        <v>346</v>
      </c>
      <c r="G33" s="1383" t="s">
        <v>1395</v>
      </c>
      <c r="H33" s="1382">
        <f>SUM(I33:J33)</f>
        <v>0</v>
      </c>
      <c r="I33" s="1381"/>
      <c r="J33" s="1371"/>
      <c r="K33" s="7737">
        <f>SUM(L33:V33)</f>
        <v>0</v>
      </c>
      <c r="L33" s="7061"/>
      <c r="M33" s="7061"/>
      <c r="N33" s="7061"/>
      <c r="O33" s="7061"/>
      <c r="P33" s="7061"/>
      <c r="Q33" s="7061"/>
      <c r="R33" s="7061"/>
      <c r="S33" s="7061"/>
      <c r="T33" s="7061"/>
      <c r="U33" s="7061"/>
      <c r="V33" s="7578"/>
      <c r="W33" s="7737">
        <f>SUM(X33:AC33)</f>
        <v>0</v>
      </c>
      <c r="X33" s="7061"/>
      <c r="Y33" s="7061"/>
      <c r="Z33" s="7061"/>
      <c r="AA33" s="7061"/>
      <c r="AB33" s="7061"/>
      <c r="AC33" s="7578"/>
      <c r="AD33" s="1380"/>
      <c r="AP33" s="1301">
        <v>46</v>
      </c>
    </row>
    <row customHeight="1" ht="11.549999999999999">
      <c r="F34" s="1376" t="s">
        <v>354</v>
      </c>
      <c r="G34" s="1383" t="s">
        <v>1396</v>
      </c>
      <c r="H34" s="1382">
        <f>SUM(I34:J34)</f>
        <v>0</v>
      </c>
      <c r="I34" s="1381"/>
      <c r="J34" s="1371"/>
      <c r="K34" s="7737">
        <f>SUM(L34:V34)</f>
        <v>0</v>
      </c>
      <c r="L34" s="7061"/>
      <c r="M34" s="7061"/>
      <c r="N34" s="7061"/>
      <c r="O34" s="7061"/>
      <c r="P34" s="7061"/>
      <c r="Q34" s="7061"/>
      <c r="R34" s="7061"/>
      <c r="S34" s="7061"/>
      <c r="T34" s="7061"/>
      <c r="U34" s="7061"/>
      <c r="V34" s="7578"/>
      <c r="W34" s="7737">
        <f>SUM(X34:AC34)</f>
        <v>0</v>
      </c>
      <c r="X34" s="7061"/>
      <c r="Y34" s="7061"/>
      <c r="Z34" s="7061"/>
      <c r="AA34" s="7061"/>
      <c r="AB34" s="7061"/>
      <c r="AC34" s="7578"/>
      <c r="AD34" s="1380"/>
      <c r="AP34" s="1301">
        <v>11</v>
      </c>
    </row>
    <row customHeight="1" ht="11.549999999999999">
      <c r="F35" s="1376">
        <v>4</v>
      </c>
      <c r="G35" s="836" t="s">
        <v>1397</v>
      </c>
      <c r="H35" s="1382">
        <f>SUM(I35:J35)</f>
        <v>0</v>
      </c>
      <c r="I35" s="1381"/>
      <c r="J35" s="1371"/>
      <c r="K35" s="7737">
        <f>SUM(L35:V35)</f>
        <v>0</v>
      </c>
      <c r="L35" s="7061"/>
      <c r="M35" s="7061"/>
      <c r="N35" s="7061"/>
      <c r="O35" s="7061"/>
      <c r="P35" s="7061"/>
      <c r="Q35" s="7061"/>
      <c r="R35" s="7061"/>
      <c r="S35" s="7061"/>
      <c r="T35" s="7061"/>
      <c r="U35" s="7061"/>
      <c r="V35" s="7578"/>
      <c r="W35" s="7737">
        <f>SUM(X35:AC35)</f>
        <v>0</v>
      </c>
      <c r="X35" s="7061"/>
      <c r="Y35" s="7061"/>
      <c r="Z35" s="7061"/>
      <c r="AA35" s="7061"/>
      <c r="AB35" s="7061"/>
      <c r="AC35" s="7578"/>
      <c r="AD35" s="1380"/>
      <c r="AP35" s="1301">
        <v>11</v>
      </c>
    </row>
    <row customHeight="1" ht="11.549999999999999">
      <c r="F36" s="1376"/>
      <c r="G36" s="839" t="s">
        <v>1398</v>
      </c>
      <c r="H36" s="1382">
        <f>SUM(I36:J36)</f>
        <v>0</v>
      </c>
      <c r="I36" s="1382">
        <f>SUM(I15,I28,I32,I35)</f>
        <v>0</v>
      </c>
      <c r="J36" s="1371"/>
      <c r="K36" s="7737">
        <f>SUM(L36:V36)</f>
        <v>0</v>
      </c>
      <c r="L36" s="7737">
        <f>SUM(L15,L28,L32,L35)</f>
        <v>0</v>
      </c>
      <c r="M36" s="7737">
        <f>SUM(M15,M28,M32,M35)</f>
        <v>0</v>
      </c>
      <c r="N36" s="7737">
        <f>SUM(N15,N28,N32,N35)</f>
        <v>0</v>
      </c>
      <c r="O36" s="7737">
        <f>SUM(O15,O28,O32,O35)</f>
        <v>0</v>
      </c>
      <c r="P36" s="7737">
        <f>SUM(P15,P28,P32,P35)</f>
        <v>0</v>
      </c>
      <c r="Q36" s="7737">
        <f>SUM(Q15,Q28,Q32,Q35)</f>
        <v>0</v>
      </c>
      <c r="R36" s="7737">
        <f>SUM(R15,R28,R32,R35)</f>
        <v>0</v>
      </c>
      <c r="S36" s="7737">
        <f>SUM(S15,S28,S32,S35)</f>
        <v>0</v>
      </c>
      <c r="T36" s="7737">
        <f>SUM(T15,T28,T32,T35)</f>
        <v>0</v>
      </c>
      <c r="U36" s="7737">
        <f>SUM(U15,U28,U32,U35)</f>
        <v>0</v>
      </c>
      <c r="V36" s="7578"/>
      <c r="W36" s="7737">
        <f>SUM(X36:AC36)</f>
        <v>0</v>
      </c>
      <c r="X36" s="7737">
        <f>SUM(X15,X28,X32,X35)</f>
        <v>0</v>
      </c>
      <c r="Y36" s="7737">
        <f>SUM(Y15,Y28,Y32,Y35)</f>
        <v>0</v>
      </c>
      <c r="Z36" s="7737">
        <f>SUM(Z15,Z28,Z32,Z35)</f>
        <v>0</v>
      </c>
      <c r="AA36" s="7737">
        <f>SUM(AA15,AA28,AA32,AA35)</f>
        <v>0</v>
      </c>
      <c r="AB36" s="7737">
        <f>SUM(AB15,AB28,AB32,AB35)</f>
        <v>0</v>
      </c>
      <c r="AC36" s="7578"/>
      <c r="AD36" s="1380"/>
      <c r="AP36" s="1301">
        <v>11</v>
      </c>
    </row>
    <row customHeight="1" ht="29.25">
      <c r="F37" s="1377" t="s">
        <v>1399</v>
      </c>
      <c r="G37" s="2581" t="s">
        <v>1400</v>
      </c>
      <c r="H37" s="2581"/>
      <c r="I37" s="2581"/>
      <c r="J37" s="2581"/>
      <c r="K37" s="7065"/>
      <c r="L37" s="7065"/>
      <c r="M37" s="7065"/>
      <c r="N37" s="7065"/>
      <c r="O37" s="7065"/>
      <c r="P37" s="7065"/>
      <c r="Q37" s="7065"/>
      <c r="R37" s="7065"/>
      <c r="S37" s="7065"/>
      <c r="T37" s="7065"/>
      <c r="U37" s="7065"/>
      <c r="V37" s="7065"/>
      <c r="W37" s="7985"/>
      <c r="X37" s="7985"/>
      <c r="Y37" s="7985"/>
      <c r="Z37" s="7985"/>
      <c r="AA37" s="7985"/>
      <c r="AB37" s="7985"/>
      <c r="AC37" s="7985"/>
      <c r="AD37" s="1380"/>
      <c r="AP37" s="1301">
        <v>28</v>
      </c>
    </row>
    <row customHeight="1" ht="24">
      <c r="F38" s="1376" t="s">
        <v>121</v>
      </c>
      <c r="G38" s="836" t="s">
        <v>1401</v>
      </c>
      <c r="H38" s="1382">
        <f>SUM(I38:J38)</f>
        <v>0</v>
      </c>
      <c r="I38" s="1382">
        <f>SUM(I39,I44,I47)</f>
        <v>0</v>
      </c>
      <c r="J38" s="1371"/>
      <c r="K38" s="7737">
        <f>SUM(L38:V38)</f>
        <v>0</v>
      </c>
      <c r="L38" s="7737">
        <f>SUM(L39,L44,L47)</f>
        <v>0</v>
      </c>
      <c r="M38" s="7737">
        <f>SUM(M39,M44,M47)</f>
        <v>0</v>
      </c>
      <c r="N38" s="7737">
        <f>SUM(N39,N44,N47)</f>
        <v>0</v>
      </c>
      <c r="O38" s="7737">
        <f>SUM(O39,O44,O47)</f>
        <v>0</v>
      </c>
      <c r="P38" s="7737">
        <f>SUM(P39,P44,P47)</f>
        <v>0</v>
      </c>
      <c r="Q38" s="7737">
        <f>SUM(Q39,Q44,Q47)</f>
        <v>0</v>
      </c>
      <c r="R38" s="7737">
        <f>SUM(R39,R44,R47)</f>
        <v>0</v>
      </c>
      <c r="S38" s="7737">
        <f>SUM(S39,S44,S47)</f>
        <v>0</v>
      </c>
      <c r="T38" s="7737">
        <f>SUM(T39,T44,T47)</f>
        <v>0</v>
      </c>
      <c r="U38" s="7737">
        <f>SUM(U39,U44,U47)</f>
        <v>0</v>
      </c>
      <c r="V38" s="7578"/>
      <c r="W38" s="7737">
        <f>SUM(X38:AC38)</f>
        <v>0</v>
      </c>
      <c r="X38" s="7737">
        <f>SUM(X39,X44,X47)</f>
        <v>0</v>
      </c>
      <c r="Y38" s="7737">
        <f>SUM(Y39,Y44,Y47)</f>
        <v>0</v>
      </c>
      <c r="Z38" s="7737">
        <f>SUM(Z39,Z44,Z47)</f>
        <v>0</v>
      </c>
      <c r="AA38" s="7737">
        <f>SUM(AA39,AA44,AA47)</f>
        <v>0</v>
      </c>
      <c r="AB38" s="7737">
        <f>SUM(AB39,AB44,AB47)</f>
        <v>0</v>
      </c>
      <c r="AC38" s="7578"/>
      <c r="AD38" s="1380"/>
      <c r="AP38" s="1301">
        <v>23</v>
      </c>
    </row>
    <row customHeight="1" ht="11.549999999999999">
      <c r="F39" s="1376" t="s">
        <v>1366</v>
      </c>
      <c r="G39" s="1383" t="s">
        <v>1365</v>
      </c>
      <c r="H39" s="1382">
        <f>SUM(I39:J39)</f>
        <v>0</v>
      </c>
      <c r="I39" s="1382">
        <f>SUM(I40:I43)</f>
        <v>0</v>
      </c>
      <c r="J39" s="1371"/>
      <c r="K39" s="7737">
        <f>SUM(L39:V39)</f>
        <v>0</v>
      </c>
      <c r="L39" s="7737">
        <f>SUM(L40:L43)</f>
        <v>0</v>
      </c>
      <c r="M39" s="7737">
        <f>SUM(M40:M43)</f>
        <v>0</v>
      </c>
      <c r="N39" s="7737">
        <f>SUM(N40:N43)</f>
        <v>0</v>
      </c>
      <c r="O39" s="7737">
        <f>SUM(O40:O43)</f>
        <v>0</v>
      </c>
      <c r="P39" s="7737">
        <f>SUM(P40:P43)</f>
        <v>0</v>
      </c>
      <c r="Q39" s="7737">
        <f>SUM(Q40:Q43)</f>
        <v>0</v>
      </c>
      <c r="R39" s="7737">
        <f>SUM(R40:R43)</f>
        <v>0</v>
      </c>
      <c r="S39" s="7737">
        <f>SUM(S40:S43)</f>
        <v>0</v>
      </c>
      <c r="T39" s="7737">
        <f>SUM(T40:T43)</f>
        <v>0</v>
      </c>
      <c r="U39" s="7737">
        <f>SUM(U40:U43)</f>
        <v>0</v>
      </c>
      <c r="V39" s="7578"/>
      <c r="W39" s="7737">
        <f>SUM(X39:AC39)</f>
        <v>0</v>
      </c>
      <c r="X39" s="7737">
        <f>SUM(X40:X43)</f>
        <v>0</v>
      </c>
      <c r="Y39" s="7737">
        <f>SUM(Y40:Y43)</f>
        <v>0</v>
      </c>
      <c r="Z39" s="7737">
        <f>SUM(Z40:Z43)</f>
        <v>0</v>
      </c>
      <c r="AA39" s="7737">
        <f>SUM(AA40:AA43)</f>
        <v>0</v>
      </c>
      <c r="AB39" s="7737">
        <f>SUM(AB40:AB43)</f>
        <v>0</v>
      </c>
      <c r="AC39" s="7578"/>
      <c r="AD39" s="1380"/>
      <c r="AP39" s="1301">
        <v>11</v>
      </c>
    </row>
    <row customHeight="1" ht="24">
      <c r="F40" s="1376" t="s">
        <v>1402</v>
      </c>
      <c r="G40" s="1384" t="s">
        <v>1403</v>
      </c>
      <c r="H40" s="1382">
        <f>SUM(I40:J40)</f>
        <v>0</v>
      </c>
      <c r="I40" s="1381"/>
      <c r="J40" s="1371"/>
      <c r="K40" s="7737">
        <f>SUM(L40:V40)</f>
        <v>0</v>
      </c>
      <c r="L40" s="7061"/>
      <c r="M40" s="7061"/>
      <c r="N40" s="7061"/>
      <c r="O40" s="7061"/>
      <c r="P40" s="7061"/>
      <c r="Q40" s="7061"/>
      <c r="R40" s="7061"/>
      <c r="S40" s="7061"/>
      <c r="T40" s="7061"/>
      <c r="U40" s="7061"/>
      <c r="V40" s="7578"/>
      <c r="W40" s="7737">
        <f>SUM(X40:AC40)</f>
        <v>0</v>
      </c>
      <c r="X40" s="7061"/>
      <c r="Y40" s="7061"/>
      <c r="Z40" s="7061"/>
      <c r="AA40" s="7061"/>
      <c r="AB40" s="7061"/>
      <c r="AC40" s="7578"/>
      <c r="AD40" s="1380"/>
      <c r="AP40" s="1301">
        <v>23</v>
      </c>
    </row>
    <row customHeight="1" ht="11.549999999999999">
      <c r="F41" s="1376" t="s">
        <v>1404</v>
      </c>
      <c r="G41" s="1384" t="s">
        <v>1405</v>
      </c>
      <c r="H41" s="1382">
        <f>SUM(I41:J41)</f>
        <v>0</v>
      </c>
      <c r="I41" s="1381"/>
      <c r="J41" s="1371"/>
      <c r="K41" s="7737">
        <f>SUM(L41:V41)</f>
        <v>0</v>
      </c>
      <c r="L41" s="7061"/>
      <c r="M41" s="7061"/>
      <c r="N41" s="7061"/>
      <c r="O41" s="7061"/>
      <c r="P41" s="7061"/>
      <c r="Q41" s="7061"/>
      <c r="R41" s="7061"/>
      <c r="S41" s="7061"/>
      <c r="T41" s="7061"/>
      <c r="U41" s="7061"/>
      <c r="V41" s="7578"/>
      <c r="W41" s="7737">
        <f>SUM(X41:AC41)</f>
        <v>0</v>
      </c>
      <c r="X41" s="7061"/>
      <c r="Y41" s="7061"/>
      <c r="Z41" s="7061"/>
      <c r="AA41" s="7061"/>
      <c r="AB41" s="7061"/>
      <c r="AC41" s="7578"/>
      <c r="AD41" s="1380"/>
      <c r="AP41" s="1301">
        <v>11</v>
      </c>
    </row>
    <row customHeight="1" ht="11.549999999999999">
      <c r="F42" s="1376" t="s">
        <v>1406</v>
      </c>
      <c r="G42" s="1384" t="s">
        <v>1407</v>
      </c>
      <c r="H42" s="1382">
        <f>SUM(I42:J42)</f>
        <v>0</v>
      </c>
      <c r="I42" s="1381"/>
      <c r="J42" s="1371"/>
      <c r="K42" s="7737">
        <f>SUM(L42:V42)</f>
        <v>0</v>
      </c>
      <c r="L42" s="7061"/>
      <c r="M42" s="7061"/>
      <c r="N42" s="7061"/>
      <c r="O42" s="7061"/>
      <c r="P42" s="7061"/>
      <c r="Q42" s="7061"/>
      <c r="R42" s="7061"/>
      <c r="S42" s="7061"/>
      <c r="T42" s="7061"/>
      <c r="U42" s="7061"/>
      <c r="V42" s="7578"/>
      <c r="W42" s="7737">
        <f>SUM(X42:AC42)</f>
        <v>0</v>
      </c>
      <c r="X42" s="7061"/>
      <c r="Y42" s="7061"/>
      <c r="Z42" s="7061"/>
      <c r="AA42" s="7061"/>
      <c r="AB42" s="7061"/>
      <c r="AC42" s="7578"/>
      <c r="AD42" s="1380"/>
      <c r="AP42" s="1301">
        <v>11</v>
      </c>
    </row>
    <row customHeight="1" ht="35.699999999999996">
      <c r="F43" s="1376" t="s">
        <v>1408</v>
      </c>
      <c r="G43" s="1384" t="s">
        <v>1409</v>
      </c>
      <c r="H43" s="1382">
        <f>SUM(I43:J43)</f>
        <v>0</v>
      </c>
      <c r="I43" s="1381"/>
      <c r="J43" s="1371"/>
      <c r="K43" s="7737">
        <f>SUM(L43:V43)</f>
        <v>0</v>
      </c>
      <c r="L43" s="7061"/>
      <c r="M43" s="7061"/>
      <c r="N43" s="7061"/>
      <c r="O43" s="7061"/>
      <c r="P43" s="7061"/>
      <c r="Q43" s="7061"/>
      <c r="R43" s="7061"/>
      <c r="S43" s="7061"/>
      <c r="T43" s="7061"/>
      <c r="U43" s="7061"/>
      <c r="V43" s="7578"/>
      <c r="W43" s="7737">
        <f>SUM(X43:AC43)</f>
        <v>0</v>
      </c>
      <c r="X43" s="7061"/>
      <c r="Y43" s="7061"/>
      <c r="Z43" s="7061"/>
      <c r="AA43" s="7061"/>
      <c r="AB43" s="7061"/>
      <c r="AC43" s="7578"/>
      <c r="AD43" s="1380"/>
      <c r="AP43" s="1301">
        <v>34</v>
      </c>
    </row>
    <row customHeight="1" ht="11.549999999999999">
      <c r="F44" s="1376" t="s">
        <v>1368</v>
      </c>
      <c r="G44" s="1383" t="s">
        <v>1394</v>
      </c>
      <c r="H44" s="1382">
        <f>SUM(I44:J44)</f>
        <v>0</v>
      </c>
      <c r="I44" s="1382">
        <f>SUM(I45:I46)</f>
        <v>0</v>
      </c>
      <c r="J44" s="1371"/>
      <c r="K44" s="7737">
        <f>SUM(L44:V44)</f>
        <v>0</v>
      </c>
      <c r="L44" s="7737">
        <f>SUM(L45:L46)</f>
        <v>0</v>
      </c>
      <c r="M44" s="7737">
        <f>SUM(M45:M46)</f>
        <v>0</v>
      </c>
      <c r="N44" s="7737">
        <f>SUM(N45:N46)</f>
        <v>0</v>
      </c>
      <c r="O44" s="7737">
        <f>SUM(O45:O46)</f>
        <v>0</v>
      </c>
      <c r="P44" s="7737">
        <f>SUM(P45:P46)</f>
        <v>0</v>
      </c>
      <c r="Q44" s="7737">
        <f>SUM(Q45:Q46)</f>
        <v>0</v>
      </c>
      <c r="R44" s="7737">
        <f>SUM(R45:R46)</f>
        <v>0</v>
      </c>
      <c r="S44" s="7737">
        <f>SUM(S45:S46)</f>
        <v>0</v>
      </c>
      <c r="T44" s="7737">
        <f>SUM(T45:T46)</f>
        <v>0</v>
      </c>
      <c r="U44" s="7737">
        <f>SUM(U45:U46)</f>
        <v>0</v>
      </c>
      <c r="V44" s="7578"/>
      <c r="W44" s="7737">
        <f>SUM(X44:AC44)</f>
        <v>0</v>
      </c>
      <c r="X44" s="7737">
        <f>SUM(X45:X46)</f>
        <v>0</v>
      </c>
      <c r="Y44" s="7737">
        <f>SUM(Y45:Y46)</f>
        <v>0</v>
      </c>
      <c r="Z44" s="7737">
        <f>SUM(Z45:Z46)</f>
        <v>0</v>
      </c>
      <c r="AA44" s="7737">
        <f>SUM(AA45:AA46)</f>
        <v>0</v>
      </c>
      <c r="AB44" s="7737">
        <f>SUM(AB45:AB46)</f>
        <v>0</v>
      </c>
      <c r="AC44" s="7578"/>
      <c r="AD44" s="1380"/>
      <c r="AP44" s="1301">
        <v>11</v>
      </c>
    </row>
    <row customHeight="1" ht="48.29999999999999">
      <c r="F45" s="1376" t="s">
        <v>1410</v>
      </c>
      <c r="G45" s="1384" t="s">
        <v>1395</v>
      </c>
      <c r="H45" s="1382">
        <f>SUM(I45:J45)</f>
        <v>0</v>
      </c>
      <c r="I45" s="1381"/>
      <c r="J45" s="1371"/>
      <c r="K45" s="7737">
        <f>SUM(L45:V45)</f>
        <v>0</v>
      </c>
      <c r="L45" s="7061"/>
      <c r="M45" s="7061"/>
      <c r="N45" s="7061"/>
      <c r="O45" s="7061"/>
      <c r="P45" s="7061"/>
      <c r="Q45" s="7061"/>
      <c r="R45" s="7061"/>
      <c r="S45" s="7061"/>
      <c r="T45" s="7061"/>
      <c r="U45" s="7061"/>
      <c r="V45" s="7578"/>
      <c r="W45" s="7737">
        <f>SUM(X45:AC45)</f>
        <v>0</v>
      </c>
      <c r="X45" s="7061"/>
      <c r="Y45" s="7061"/>
      <c r="Z45" s="7061"/>
      <c r="AA45" s="7061"/>
      <c r="AB45" s="7061"/>
      <c r="AC45" s="7578"/>
      <c r="AD45" s="1380"/>
      <c r="AP45" s="1301">
        <v>46</v>
      </c>
    </row>
    <row customHeight="1" ht="11.549999999999999">
      <c r="F46" s="1376" t="s">
        <v>1411</v>
      </c>
      <c r="G46" s="1384" t="s">
        <v>1396</v>
      </c>
      <c r="H46" s="1382">
        <f>SUM(I46:J46)</f>
        <v>0</v>
      </c>
      <c r="I46" s="1381"/>
      <c r="J46" s="1371"/>
      <c r="K46" s="7737">
        <f>SUM(L46:V46)</f>
        <v>0</v>
      </c>
      <c r="L46" s="7061"/>
      <c r="M46" s="7061"/>
      <c r="N46" s="7061"/>
      <c r="O46" s="7061"/>
      <c r="P46" s="7061"/>
      <c r="Q46" s="7061"/>
      <c r="R46" s="7061"/>
      <c r="S46" s="7061"/>
      <c r="T46" s="7061"/>
      <c r="U46" s="7061"/>
      <c r="V46" s="7578"/>
      <c r="W46" s="7737">
        <f>SUM(X46:AC46)</f>
        <v>0</v>
      </c>
      <c r="X46" s="7061"/>
      <c r="Y46" s="7061"/>
      <c r="Z46" s="7061"/>
      <c r="AA46" s="7061"/>
      <c r="AB46" s="7061"/>
      <c r="AC46" s="7578"/>
      <c r="AD46" s="1380"/>
      <c r="AP46" s="1301">
        <v>11</v>
      </c>
    </row>
    <row customHeight="1" ht="11.549999999999999">
      <c r="F47" s="1376" t="s">
        <v>1370</v>
      </c>
      <c r="G47" s="1383" t="s">
        <v>1412</v>
      </c>
      <c r="H47" s="1382">
        <f>SUM(I47:J47)</f>
        <v>0</v>
      </c>
      <c r="I47" s="1381"/>
      <c r="J47" s="1371"/>
      <c r="K47" s="7737">
        <f>SUM(L47:V47)</f>
        <v>0</v>
      </c>
      <c r="L47" s="7061"/>
      <c r="M47" s="7061"/>
      <c r="N47" s="7061"/>
      <c r="O47" s="7061"/>
      <c r="P47" s="7061"/>
      <c r="Q47" s="7061"/>
      <c r="R47" s="7061"/>
      <c r="S47" s="7061"/>
      <c r="T47" s="7061"/>
      <c r="U47" s="7061"/>
      <c r="V47" s="7578"/>
      <c r="W47" s="7737">
        <f>SUM(X47:AC47)</f>
        <v>0</v>
      </c>
      <c r="X47" s="7061"/>
      <c r="Y47" s="7061"/>
      <c r="Z47" s="7061"/>
      <c r="AA47" s="7061"/>
      <c r="AB47" s="7061"/>
      <c r="AC47" s="7578"/>
      <c r="AD47" s="1380"/>
      <c r="AP47" s="1301">
        <v>11</v>
      </c>
    </row>
    <row customHeight="1" ht="24">
      <c r="F48" s="1376" t="s">
        <v>105</v>
      </c>
      <c r="G48" s="836" t="s">
        <v>1413</v>
      </c>
      <c r="H48" s="1382">
        <f>SUM(I48:J48)</f>
        <v>0</v>
      </c>
      <c r="I48" s="1382">
        <f>SUM(I49,I54,I57)</f>
        <v>0</v>
      </c>
      <c r="J48" s="1371"/>
      <c r="K48" s="7737">
        <f>SUM(L48:V48)</f>
        <v>0</v>
      </c>
      <c r="L48" s="7737">
        <f>SUM(L49,L54,L57)</f>
        <v>0</v>
      </c>
      <c r="M48" s="7737">
        <f>SUM(M49,M54,M57)</f>
        <v>0</v>
      </c>
      <c r="N48" s="7737">
        <f>SUM(N49,N54,N57)</f>
        <v>0</v>
      </c>
      <c r="O48" s="7737">
        <f>SUM(O49,O54,O57)</f>
        <v>0</v>
      </c>
      <c r="P48" s="7737">
        <f>SUM(P49,P54,P57)</f>
        <v>0</v>
      </c>
      <c r="Q48" s="7737">
        <f>SUM(Q49,Q54,Q57)</f>
        <v>0</v>
      </c>
      <c r="R48" s="7737">
        <f>SUM(R49,R54,R57)</f>
        <v>0</v>
      </c>
      <c r="S48" s="7737">
        <f>SUM(S49,S54,S57)</f>
        <v>0</v>
      </c>
      <c r="T48" s="7737">
        <f>SUM(T49,T54,T57)</f>
        <v>0</v>
      </c>
      <c r="U48" s="7737">
        <f>SUM(U49,U54,U57)</f>
        <v>0</v>
      </c>
      <c r="V48" s="7578"/>
      <c r="W48" s="7737">
        <f>SUM(X48:AC48)</f>
        <v>0</v>
      </c>
      <c r="X48" s="7737">
        <f>SUM(X49,X54,X57)</f>
        <v>0</v>
      </c>
      <c r="Y48" s="7737">
        <f>SUM(Y49,Y54,Y57)</f>
        <v>0</v>
      </c>
      <c r="Z48" s="7737">
        <f>SUM(Z49,Z54,Z57)</f>
        <v>0</v>
      </c>
      <c r="AA48" s="7737">
        <f>SUM(AA49,AA54,AA57)</f>
        <v>0</v>
      </c>
      <c r="AB48" s="7737">
        <f>SUM(AB49,AB54,AB57)</f>
        <v>0</v>
      </c>
      <c r="AC48" s="7578"/>
      <c r="AD48" s="1380"/>
      <c r="AP48" s="1301">
        <v>23</v>
      </c>
    </row>
    <row customHeight="1" ht="11.549999999999999">
      <c r="F49" s="1376" t="s">
        <v>752</v>
      </c>
      <c r="G49" s="1383" t="s">
        <v>1365</v>
      </c>
      <c r="H49" s="1382">
        <f>SUM(I49:J49)</f>
        <v>0</v>
      </c>
      <c r="I49" s="1382">
        <f>SUM(I50:I53)</f>
        <v>0</v>
      </c>
      <c r="J49" s="1371"/>
      <c r="K49" s="7737">
        <f>SUM(L49:V49)</f>
        <v>0</v>
      </c>
      <c r="L49" s="7737">
        <f>SUM(L50:L53)</f>
        <v>0</v>
      </c>
      <c r="M49" s="7737">
        <f>SUM(M50:M53)</f>
        <v>0</v>
      </c>
      <c r="N49" s="7737">
        <f>SUM(N50:N53)</f>
        <v>0</v>
      </c>
      <c r="O49" s="7737">
        <f>SUM(O50:O53)</f>
        <v>0</v>
      </c>
      <c r="P49" s="7737">
        <f>SUM(P50:P53)</f>
        <v>0</v>
      </c>
      <c r="Q49" s="7737">
        <f>SUM(Q50:Q53)</f>
        <v>0</v>
      </c>
      <c r="R49" s="7737">
        <f>SUM(R50:R53)</f>
        <v>0</v>
      </c>
      <c r="S49" s="7737">
        <f>SUM(S50:S53)</f>
        <v>0</v>
      </c>
      <c r="T49" s="7737">
        <f>SUM(T50:T53)</f>
        <v>0</v>
      </c>
      <c r="U49" s="7737">
        <f>SUM(U50:U53)</f>
        <v>0</v>
      </c>
      <c r="V49" s="7578"/>
      <c r="W49" s="7737">
        <f>SUM(X49:AC49)</f>
        <v>0</v>
      </c>
      <c r="X49" s="7737">
        <f>SUM(X50:X53)</f>
        <v>0</v>
      </c>
      <c r="Y49" s="7737">
        <f>SUM(Y50:Y53)</f>
        <v>0</v>
      </c>
      <c r="Z49" s="7737">
        <f>SUM(Z50:Z53)</f>
        <v>0</v>
      </c>
      <c r="AA49" s="7737">
        <f>SUM(AA50:AA53)</f>
        <v>0</v>
      </c>
      <c r="AB49" s="7737">
        <f>SUM(AB50:AB53)</f>
        <v>0</v>
      </c>
      <c r="AC49" s="7578"/>
      <c r="AD49" s="1380"/>
      <c r="AP49" s="1301">
        <v>11</v>
      </c>
    </row>
    <row customHeight="1" ht="24">
      <c r="F50" s="1376" t="s">
        <v>755</v>
      </c>
      <c r="G50" s="1384" t="s">
        <v>1403</v>
      </c>
      <c r="H50" s="1382">
        <f>SUM(I50:J50)</f>
        <v>0</v>
      </c>
      <c r="I50" s="1381"/>
      <c r="J50" s="1371"/>
      <c r="K50" s="7737">
        <f>SUM(L50:V50)</f>
        <v>0</v>
      </c>
      <c r="L50" s="7061"/>
      <c r="M50" s="7061"/>
      <c r="N50" s="7061"/>
      <c r="O50" s="7061"/>
      <c r="P50" s="7061"/>
      <c r="Q50" s="7061"/>
      <c r="R50" s="7061"/>
      <c r="S50" s="7061"/>
      <c r="T50" s="7061"/>
      <c r="U50" s="7061"/>
      <c r="V50" s="7578"/>
      <c r="W50" s="7737">
        <f>SUM(X50:AC50)</f>
        <v>0</v>
      </c>
      <c r="X50" s="7061"/>
      <c r="Y50" s="7061"/>
      <c r="Z50" s="7061"/>
      <c r="AA50" s="7061"/>
      <c r="AB50" s="7061"/>
      <c r="AC50" s="7578"/>
      <c r="AD50" s="1380"/>
      <c r="AP50" s="1301">
        <v>23</v>
      </c>
    </row>
    <row customHeight="1" ht="11.549999999999999">
      <c r="F51" s="1376" t="s">
        <v>758</v>
      </c>
      <c r="G51" s="1384" t="s">
        <v>1405</v>
      </c>
      <c r="H51" s="1382">
        <f>SUM(I51:J51)</f>
        <v>0</v>
      </c>
      <c r="I51" s="1381"/>
      <c r="J51" s="1371"/>
      <c r="K51" s="7737">
        <f>SUM(L51:V51)</f>
        <v>0</v>
      </c>
      <c r="L51" s="7061"/>
      <c r="M51" s="7061"/>
      <c r="N51" s="7061"/>
      <c r="O51" s="7061"/>
      <c r="P51" s="7061"/>
      <c r="Q51" s="7061"/>
      <c r="R51" s="7061"/>
      <c r="S51" s="7061"/>
      <c r="T51" s="7061"/>
      <c r="U51" s="7061"/>
      <c r="V51" s="7578"/>
      <c r="W51" s="7737">
        <f>SUM(X51:AC51)</f>
        <v>0</v>
      </c>
      <c r="X51" s="7061"/>
      <c r="Y51" s="7061"/>
      <c r="Z51" s="7061"/>
      <c r="AA51" s="7061"/>
      <c r="AB51" s="7061"/>
      <c r="AC51" s="7578"/>
      <c r="AD51" s="1380"/>
      <c r="AP51" s="1301">
        <v>11</v>
      </c>
    </row>
    <row customHeight="1" ht="11.549999999999999">
      <c r="F52" s="1376" t="s">
        <v>1414</v>
      </c>
      <c r="G52" s="1384" t="s">
        <v>1407</v>
      </c>
      <c r="H52" s="1382">
        <f>SUM(I52:J52)</f>
        <v>0</v>
      </c>
      <c r="I52" s="1381"/>
      <c r="J52" s="1371"/>
      <c r="K52" s="7737">
        <f>SUM(L52:V52)</f>
        <v>0</v>
      </c>
      <c r="L52" s="7061"/>
      <c r="M52" s="7061"/>
      <c r="N52" s="7061"/>
      <c r="O52" s="7061"/>
      <c r="P52" s="7061"/>
      <c r="Q52" s="7061"/>
      <c r="R52" s="7061"/>
      <c r="S52" s="7061"/>
      <c r="T52" s="7061"/>
      <c r="U52" s="7061"/>
      <c r="V52" s="7578"/>
      <c r="W52" s="7737">
        <f>SUM(X52:AC52)</f>
        <v>0</v>
      </c>
      <c r="X52" s="7061"/>
      <c r="Y52" s="7061"/>
      <c r="Z52" s="7061"/>
      <c r="AA52" s="7061"/>
      <c r="AB52" s="7061"/>
      <c r="AC52" s="7578"/>
      <c r="AD52" s="1380"/>
      <c r="AP52" s="1301">
        <v>11</v>
      </c>
    </row>
    <row customHeight="1" ht="35.699999999999996">
      <c r="F53" s="1376" t="s">
        <v>1415</v>
      </c>
      <c r="G53" s="1384" t="s">
        <v>1409</v>
      </c>
      <c r="H53" s="1382">
        <f>SUM(I53:J53)</f>
        <v>0</v>
      </c>
      <c r="I53" s="1381"/>
      <c r="J53" s="1371"/>
      <c r="K53" s="7737">
        <f>SUM(L53:V53)</f>
        <v>0</v>
      </c>
      <c r="L53" s="7061"/>
      <c r="M53" s="7061"/>
      <c r="N53" s="7061"/>
      <c r="O53" s="7061"/>
      <c r="P53" s="7061"/>
      <c r="Q53" s="7061"/>
      <c r="R53" s="7061"/>
      <c r="S53" s="7061"/>
      <c r="T53" s="7061"/>
      <c r="U53" s="7061"/>
      <c r="V53" s="7578"/>
      <c r="W53" s="7737">
        <f>SUM(X53:AC53)</f>
        <v>0</v>
      </c>
      <c r="X53" s="7061"/>
      <c r="Y53" s="7061"/>
      <c r="Z53" s="7061"/>
      <c r="AA53" s="7061"/>
      <c r="AB53" s="7061"/>
      <c r="AC53" s="7578"/>
      <c r="AD53" s="1380"/>
      <c r="AP53" s="1301">
        <v>34</v>
      </c>
    </row>
    <row customHeight="1" ht="11.549999999999999">
      <c r="F54" s="1376" t="s">
        <v>329</v>
      </c>
      <c r="G54" s="1383" t="s">
        <v>1394</v>
      </c>
      <c r="H54" s="1382">
        <f>SUM(I54:J54)</f>
        <v>0</v>
      </c>
      <c r="I54" s="1382">
        <f>SUM(I55:I56)</f>
        <v>0</v>
      </c>
      <c r="J54" s="1371"/>
      <c r="K54" s="7737">
        <f>SUM(L54:V54)</f>
        <v>0</v>
      </c>
      <c r="L54" s="7737">
        <f>SUM(L55:L56)</f>
        <v>0</v>
      </c>
      <c r="M54" s="7737">
        <f>SUM(M55:M56)</f>
        <v>0</v>
      </c>
      <c r="N54" s="7737">
        <f>SUM(N55:N56)</f>
        <v>0</v>
      </c>
      <c r="O54" s="7737">
        <f>SUM(O55:O56)</f>
        <v>0</v>
      </c>
      <c r="P54" s="7737">
        <f>SUM(P55:P56)</f>
        <v>0</v>
      </c>
      <c r="Q54" s="7737">
        <f>SUM(Q55:Q56)</f>
        <v>0</v>
      </c>
      <c r="R54" s="7737">
        <f>SUM(R55:R56)</f>
        <v>0</v>
      </c>
      <c r="S54" s="7737">
        <f>SUM(S55:S56)</f>
        <v>0</v>
      </c>
      <c r="T54" s="7737">
        <f>SUM(T55:T56)</f>
        <v>0</v>
      </c>
      <c r="U54" s="7737">
        <f>SUM(U55:U56)</f>
        <v>0</v>
      </c>
      <c r="V54" s="7578"/>
      <c r="W54" s="7737">
        <f>SUM(X54:AC54)</f>
        <v>0</v>
      </c>
      <c r="X54" s="7737">
        <f>SUM(X55:X56)</f>
        <v>0</v>
      </c>
      <c r="Y54" s="7737">
        <f>SUM(Y55:Y56)</f>
        <v>0</v>
      </c>
      <c r="Z54" s="7737">
        <f>SUM(Z55:Z56)</f>
        <v>0</v>
      </c>
      <c r="AA54" s="7737">
        <f>SUM(AA55:AA56)</f>
        <v>0</v>
      </c>
      <c r="AB54" s="7737">
        <f>SUM(AB55:AB56)</f>
        <v>0</v>
      </c>
      <c r="AC54" s="7578"/>
      <c r="AD54" s="1380"/>
      <c r="AP54" s="1301">
        <v>11</v>
      </c>
    </row>
    <row customHeight="1" ht="48.29999999999999">
      <c r="F55" s="1376" t="s">
        <v>762</v>
      </c>
      <c r="G55" s="1384" t="s">
        <v>1395</v>
      </c>
      <c r="H55" s="1382">
        <f>SUM(I55:J55)</f>
        <v>0</v>
      </c>
      <c r="I55" s="1381"/>
      <c r="J55" s="1371"/>
      <c r="K55" s="7737">
        <f>SUM(L55:V55)</f>
        <v>0</v>
      </c>
      <c r="L55" s="7061"/>
      <c r="M55" s="7061"/>
      <c r="N55" s="7061"/>
      <c r="O55" s="7061"/>
      <c r="P55" s="7061"/>
      <c r="Q55" s="7061"/>
      <c r="R55" s="7061"/>
      <c r="S55" s="7061"/>
      <c r="T55" s="7061"/>
      <c r="U55" s="7061"/>
      <c r="V55" s="7578"/>
      <c r="W55" s="7737">
        <f>SUM(X55:AC55)</f>
        <v>0</v>
      </c>
      <c r="X55" s="7061"/>
      <c r="Y55" s="7061"/>
      <c r="Z55" s="7061"/>
      <c r="AA55" s="7061"/>
      <c r="AB55" s="7061"/>
      <c r="AC55" s="7578"/>
      <c r="AD55" s="1380"/>
      <c r="AP55" s="1301">
        <v>46</v>
      </c>
    </row>
    <row customHeight="1" ht="11.549999999999999">
      <c r="F56" s="1376" t="s">
        <v>764</v>
      </c>
      <c r="G56" s="1384" t="s">
        <v>1396</v>
      </c>
      <c r="H56" s="1382">
        <f>SUM(I56:J56)</f>
        <v>0</v>
      </c>
      <c r="I56" s="1381"/>
      <c r="J56" s="1371"/>
      <c r="K56" s="7737">
        <f>SUM(L56:V56)</f>
        <v>0</v>
      </c>
      <c r="L56" s="7061"/>
      <c r="M56" s="7061"/>
      <c r="N56" s="7061"/>
      <c r="O56" s="7061"/>
      <c r="P56" s="7061"/>
      <c r="Q56" s="7061"/>
      <c r="R56" s="7061"/>
      <c r="S56" s="7061"/>
      <c r="T56" s="7061"/>
      <c r="U56" s="7061"/>
      <c r="V56" s="7578"/>
      <c r="W56" s="7737">
        <f>SUM(X56:AC56)</f>
        <v>0</v>
      </c>
      <c r="X56" s="7061"/>
      <c r="Y56" s="7061"/>
      <c r="Z56" s="7061"/>
      <c r="AA56" s="7061"/>
      <c r="AB56" s="7061"/>
      <c r="AC56" s="7578"/>
      <c r="AD56" s="1380"/>
      <c r="AP56" s="1301">
        <v>11</v>
      </c>
    </row>
    <row customHeight="1" ht="11.549999999999999">
      <c r="F57" s="1376" t="s">
        <v>332</v>
      </c>
      <c r="G57" s="1383" t="s">
        <v>1412</v>
      </c>
      <c r="H57" s="1382">
        <f>SUM(I57:J57)</f>
        <v>0</v>
      </c>
      <c r="I57" s="1381"/>
      <c r="J57" s="1371"/>
      <c r="K57" s="7737">
        <f>SUM(L57:V57)</f>
        <v>0</v>
      </c>
      <c r="L57" s="7061"/>
      <c r="M57" s="7061"/>
      <c r="N57" s="7061"/>
      <c r="O57" s="7061"/>
      <c r="P57" s="7061"/>
      <c r="Q57" s="7061"/>
      <c r="R57" s="7061"/>
      <c r="S57" s="7061"/>
      <c r="T57" s="7061"/>
      <c r="U57" s="7061"/>
      <c r="V57" s="7578"/>
      <c r="W57" s="7737">
        <f>SUM(X57:AC57)</f>
        <v>0</v>
      </c>
      <c r="X57" s="7061"/>
      <c r="Y57" s="7061"/>
      <c r="Z57" s="7061"/>
      <c r="AA57" s="7061"/>
      <c r="AB57" s="7061"/>
      <c r="AC57" s="7578"/>
      <c r="AD57" s="1380"/>
      <c r="AP57" s="1301">
        <v>11</v>
      </c>
    </row>
    <row customHeight="1" ht="11.549999999999999">
      <c r="F58" s="1376"/>
      <c r="G58" s="1385" t="s">
        <v>1398</v>
      </c>
      <c r="H58" s="1382">
        <f>SUM(I58:J58)</f>
        <v>0</v>
      </c>
      <c r="I58" s="1382">
        <f>SUM(I38,I48)</f>
        <v>0</v>
      </c>
      <c r="J58" s="1371"/>
      <c r="K58" s="7737">
        <f>SUM(L58:V58)</f>
        <v>0</v>
      </c>
      <c r="L58" s="7737">
        <f>SUM(L38,L48)</f>
        <v>0</v>
      </c>
      <c r="M58" s="7737">
        <f>SUM(M38,M48)</f>
        <v>0</v>
      </c>
      <c r="N58" s="7737">
        <f>SUM(N38,N48)</f>
        <v>0</v>
      </c>
      <c r="O58" s="7737">
        <f>SUM(O38,O48)</f>
        <v>0</v>
      </c>
      <c r="P58" s="7737">
        <f>SUM(P38,P48)</f>
        <v>0</v>
      </c>
      <c r="Q58" s="7737">
        <f>SUM(Q38,Q48)</f>
        <v>0</v>
      </c>
      <c r="R58" s="7737">
        <f>SUM(R38,R48)</f>
        <v>0</v>
      </c>
      <c r="S58" s="7737">
        <f>SUM(S38,S48)</f>
        <v>0</v>
      </c>
      <c r="T58" s="7737">
        <f>SUM(T38,T48)</f>
        <v>0</v>
      </c>
      <c r="U58" s="7737">
        <f>SUM(U38,U48)</f>
        <v>0</v>
      </c>
      <c r="V58" s="7578"/>
      <c r="W58" s="7737">
        <f>SUM(X58:AC58)</f>
        <v>0</v>
      </c>
      <c r="X58" s="7737">
        <f>SUM(X38,X48)</f>
        <v>0</v>
      </c>
      <c r="Y58" s="7737">
        <f>SUM(Y38,Y48)</f>
        <v>0</v>
      </c>
      <c r="Z58" s="7737">
        <f>SUM(Z38,Z48)</f>
        <v>0</v>
      </c>
      <c r="AA58" s="7737">
        <f>SUM(AA38,AA48)</f>
        <v>0</v>
      </c>
      <c r="AB58" s="7737">
        <f>SUM(AB38,AB48)</f>
        <v>0</v>
      </c>
      <c r="AC58" s="7578"/>
      <c r="AD58" s="1380"/>
      <c r="AP58" s="1301">
        <v>11</v>
      </c>
    </row>
    <row customHeight="1" ht="10.5" hidden="1">
      <c r="A59" s="1312" t="s">
        <v>83</v>
      </c>
      <c r="B59" s="1312">
        <v>0</v>
      </c>
      <c r="C59" s="1312">
        <v>0</v>
      </c>
      <c r="D59" s="1306">
        <v>0</v>
      </c>
      <c r="E59" s="655">
        <v>3</v>
      </c>
      <c r="F59" s="1301">
        <v>6</v>
      </c>
      <c r="G59" s="1301">
        <v>60</v>
      </c>
      <c r="H59" s="1301">
        <v>0</v>
      </c>
      <c r="I59" s="1301">
        <v>0</v>
      </c>
      <c r="J59" s="1301">
        <v>0</v>
      </c>
      <c r="K59" s="7235">
        <v>0</v>
      </c>
      <c r="L59" s="7235">
        <v>0</v>
      </c>
      <c r="M59" s="7235">
        <v>0</v>
      </c>
      <c r="N59" s="7235">
        <v>0</v>
      </c>
      <c r="O59" s="7235">
        <v>0</v>
      </c>
      <c r="P59" s="7235">
        <v>0</v>
      </c>
      <c r="Q59" s="7235">
        <v>0</v>
      </c>
      <c r="R59" s="7235">
        <v>0</v>
      </c>
      <c r="S59" s="7235">
        <v>0</v>
      </c>
      <c r="T59" s="7235">
        <v>0</v>
      </c>
      <c r="U59" s="7235">
        <v>0</v>
      </c>
      <c r="V59" s="7235">
        <v>0</v>
      </c>
      <c r="W59" s="7235">
        <v>0</v>
      </c>
      <c r="X59" s="7235">
        <v>0</v>
      </c>
      <c r="Y59" s="7235">
        <v>0</v>
      </c>
      <c r="Z59" s="7235">
        <v>0</v>
      </c>
      <c r="AA59" s="7235">
        <v>0</v>
      </c>
      <c r="AB59" s="7235">
        <v>0</v>
      </c>
      <c r="AC59" s="7235">
        <v>0</v>
      </c>
      <c r="AD59" s="1301">
        <v>1</v>
      </c>
      <c r="AE59" s="1301">
        <v>8</v>
      </c>
      <c r="AF59" s="1301">
        <v>8</v>
      </c>
      <c r="AG59" s="1301">
        <v>8</v>
      </c>
      <c r="AH59" s="1301">
        <v>8</v>
      </c>
      <c r="AI59" s="1301">
        <v>8</v>
      </c>
      <c r="AJ59" s="1301">
        <v>8</v>
      </c>
      <c r="AK59" s="1301">
        <v>8</v>
      </c>
      <c r="AL59" s="1301">
        <v>8</v>
      </c>
      <c r="AM59" s="1301">
        <v>8</v>
      </c>
      <c r="AN59" s="1301">
        <v>8</v>
      </c>
      <c r="AO59" s="1301">
        <v>8</v>
      </c>
      <c r="AP59" s="1301">
        <v>10</v>
      </c>
    </row>
  </sheetData>
  <sheetProtection formatColumns="0" formatRows="0" autoFilter="0" sort="0" insertRows="0" insertColumns="1" deleteRows="0" deleteColumns="0"/>
  <mergeCells count="13">
    <mergeCell ref="F5:J5"/>
    <mergeCell ref="F6:J6"/>
    <mergeCell ref="F9:J9"/>
    <mergeCell ref="G14:J14"/>
    <mergeCell ref="G37:J37"/>
    <mergeCell ref="F10:F12"/>
    <mergeCell ref="H10:J10"/>
    <mergeCell ref="H11:J11"/>
    <mergeCell ref="G10:G12"/>
    <mergeCell ref="K10:V10"/>
    <mergeCell ref="K11:V11"/>
    <mergeCell ref="W10:AC10"/>
    <mergeCell ref="W11:AC11"/>
  </mergeCells>
  <dataValidations count="1">
    <dataValidation type="decimal" allowBlank="1" showErrorMessage="1" errorTitle="Ошибка" error="Допускается ввод только неотрицательных чисел!" sqref="I29:I31 I33:I35 I40:I43 I45:I47 I50:I53 I55:I57 I16:I27 L16:U16 L17:U17 L18:U18 L19:U19 L20:U20 L21:U21 L22:U22 L23:U23 L24:U24 L25:U25 L26:U26 L27:U27 L29:U29 L30:U30 L31:U31 L33:U33 L34:U34 L35:U35 L40:U40 L41:U41 L42:U42 L43:U43 L45:U45 L46:U46 L47:U47 L50:U50 L51:U51 L52:U52 L53:U53 L55:U55 L56:U56 L57:U57 X16:AB16 X17:AB17 X18:AB18 X19:AB19 X20:AB20 X21:AB21 X22:AB22 X23:AB23 X24:AB24 X25:AB25 X26:AB26 X27:AB27 X29:AB29 X30:AB30 X31:AB31 X33:AB33 X34:AB34 X35:AB35 X40:AB40 X41:AB41 X42:AB42 X43:AB43 X45:AB45 X46:AB46 X47:AB47 X50:AB50 X51:AB51 X52:AB52 X53:AB53 X55:AB55 X56:AB56 X57:AB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6D5EB8-C6B8-26ED-FC1B-0.0D8D800F}" mc:Ignorable="x14ac xr xr2 xr3">
  <sheetPr>
    <tabColor theme="9" tint="-0.25"/>
  </sheetPr>
  <dimension ref="A1:GC37"/>
  <sheetViews>
    <sheetView topLeftCell="A1" showGridLines="0" zoomScale="90" workbookViewId="0">
      <selection activeCell="AB23" sqref="AB23"/>
    </sheetView>
  </sheetViews>
  <sheetFormatPr defaultColWidth="9.140625" customHeight="1" defaultRowHeight="12"/>
  <cols>
    <col min="1" max="1" style="7140" width="4.7109375" hidden="1" customWidth="1"/>
    <col min="2" max="2" style="7142" width="4.7109375" hidden="1" customWidth="1"/>
    <col min="3" max="4" style="7140" width="4.7109375" hidden="1" customWidth="1"/>
    <col min="5" max="5" style="7140" width="3.00390625" customWidth="1"/>
    <col min="6" max="6" style="7140" width="6.00390625" customWidth="1"/>
    <col min="7" max="7" style="7140" width="18.00390625" customWidth="1"/>
    <col min="8" max="8" style="7140" width="27.00390625" customWidth="1"/>
    <col min="9" max="9" style="7140" width="30.57421875" customWidth="1"/>
    <col min="10" max="14" style="7140" width="0.8515625" hidden="1" customWidth="1"/>
    <col min="15" max="28" style="7140" width="21.7109375" customWidth="1"/>
    <col min="29" max="71" style="7140" width="0.8515625" customWidth="1"/>
    <col min="72" max="79" style="7140" width="21.7109375" hidden="1" customWidth="1"/>
    <col min="80" max="81" style="7140" width="29.140625" hidden="1" customWidth="1"/>
    <col min="82" max="89" style="7140" width="21.7109375" hidden="1" customWidth="1"/>
    <col min="90" max="102" style="7140" width="0.7109375" hidden="1" customWidth="1"/>
    <col min="103" max="114" style="7140" width="21.7109375" hidden="1" customWidth="1"/>
    <col min="115" max="178" style="7140" width="0.7109375" hidden="1" customWidth="1"/>
    <col min="179" max="179" style="7140" width="0.140625" customWidth="1"/>
    <col min="180" max="184" style="7140" width="8.00390625" customWidth="1"/>
    <col min="185" max="185" style="7140" width="9.140625" hidden="1"/>
  </cols>
  <sheetData>
    <row s="7070" customFormat="1" customHeight="1" ht="12" hidden="1">
      <c r="B1" s="1069"/>
      <c r="C1" s="1070"/>
      <c r="D1" s="1070"/>
      <c r="GC1" s="1068" t="s">
        <v>14</v>
      </c>
    </row>
    <row s="7070" customFormat="1" customHeight="1" ht="12" hidden="1">
      <c r="B2" s="1069"/>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1"/>
      <c r="AC2" s="1070"/>
      <c r="AD2" s="1070"/>
      <c r="AE2" s="1070"/>
      <c r="AF2" s="1070"/>
      <c r="AG2" s="1070"/>
      <c r="AH2" s="1070"/>
      <c r="AI2" s="1070"/>
      <c r="AJ2" s="1070"/>
      <c r="AK2" s="1070"/>
      <c r="AL2" s="1070"/>
      <c r="AM2" s="1070"/>
      <c r="AN2" s="1070"/>
      <c r="AO2" s="1070"/>
      <c r="AP2" s="1070"/>
      <c r="AQ2" s="1070"/>
      <c r="AR2" s="1070"/>
      <c r="AS2" s="1070"/>
      <c r="AT2" s="1070"/>
      <c r="AU2" s="1070"/>
      <c r="AV2" s="1070"/>
      <c r="AW2" s="1070"/>
      <c r="AX2" s="1070"/>
      <c r="AY2" s="1070"/>
      <c r="AZ2" s="1070"/>
      <c r="BA2" s="1070"/>
      <c r="BB2" s="1070"/>
      <c r="BC2" s="1070"/>
      <c r="BD2" s="1070"/>
      <c r="BE2" s="1070"/>
      <c r="BF2" s="1070"/>
      <c r="BG2" s="1070"/>
      <c r="BH2" s="1070"/>
      <c r="BI2" s="1070"/>
      <c r="BJ2" s="1070"/>
      <c r="BK2" s="1070"/>
      <c r="BL2" s="1070"/>
      <c r="BM2" s="1070"/>
      <c r="BN2" s="1070"/>
      <c r="BO2" s="1070"/>
      <c r="BP2" s="1070"/>
      <c r="BQ2" s="1070"/>
      <c r="BR2" s="1070"/>
      <c r="BS2" s="1070"/>
      <c r="BT2" s="1070"/>
      <c r="BU2" s="1070"/>
      <c r="BV2" s="1070"/>
      <c r="BW2" s="1070"/>
      <c r="BX2" s="1070"/>
      <c r="BY2" s="1070"/>
      <c r="BZ2" s="1070"/>
      <c r="CA2" s="1070"/>
      <c r="CB2" s="1070"/>
      <c r="CC2" s="1070"/>
      <c r="CD2" s="1070"/>
      <c r="CE2" s="1070"/>
      <c r="CF2" s="1070"/>
      <c r="CG2" s="1070"/>
      <c r="CH2" s="1070"/>
      <c r="CI2" s="1070"/>
      <c r="CJ2" s="1070"/>
      <c r="CK2" s="1070"/>
      <c r="CL2" s="1070"/>
      <c r="CM2" s="1070"/>
      <c r="CN2" s="1070"/>
      <c r="CO2" s="1070"/>
      <c r="CP2" s="1070"/>
      <c r="CQ2" s="1070"/>
      <c r="CR2" s="1070"/>
      <c r="CS2" s="1070"/>
      <c r="CT2" s="1070"/>
      <c r="CU2" s="1070"/>
      <c r="CV2" s="1070"/>
      <c r="CW2" s="1070"/>
      <c r="CX2" s="1070"/>
      <c r="CY2" s="1070"/>
      <c r="CZ2" s="1070"/>
      <c r="DA2" s="1070"/>
      <c r="DB2" s="1070"/>
      <c r="DC2" s="1070"/>
      <c r="DD2" s="1070"/>
      <c r="DE2" s="1070"/>
      <c r="DF2" s="1070"/>
      <c r="DG2" s="1070"/>
      <c r="DH2" s="1070"/>
      <c r="DI2" s="1070"/>
      <c r="DJ2" s="1070"/>
      <c r="DK2" s="1070"/>
      <c r="DL2" s="1070"/>
      <c r="DM2" s="1070"/>
      <c r="DN2" s="1070"/>
      <c r="DO2" s="1070"/>
      <c r="DP2" s="1070"/>
      <c r="DQ2" s="1070"/>
      <c r="DR2" s="1070"/>
      <c r="DS2" s="1070"/>
      <c r="DT2" s="1070"/>
      <c r="DU2" s="1070"/>
      <c r="DV2" s="1070"/>
      <c r="DW2" s="1070"/>
      <c r="DX2" s="1070"/>
      <c r="DY2" s="1070"/>
      <c r="DZ2" s="1070"/>
      <c r="EA2" s="1070"/>
      <c r="EB2" s="1070"/>
      <c r="EC2" s="1070"/>
      <c r="ED2" s="1070"/>
      <c r="EE2" s="1070"/>
      <c r="EF2" s="1070"/>
      <c r="EG2" s="1070"/>
      <c r="EH2" s="1070"/>
      <c r="EI2" s="1070"/>
      <c r="EJ2" s="1070"/>
      <c r="EK2" s="1070"/>
      <c r="EL2" s="1070"/>
      <c r="EM2" s="1070"/>
      <c r="EN2" s="1070"/>
      <c r="EO2" s="1070"/>
      <c r="EP2" s="1070"/>
      <c r="EQ2" s="1070"/>
      <c r="ER2" s="1070"/>
      <c r="ES2" s="1070"/>
      <c r="ET2" s="1070"/>
      <c r="EU2" s="1070"/>
      <c r="EV2" s="1070"/>
      <c r="EW2" s="1070"/>
      <c r="EX2" s="1070"/>
      <c r="EY2" s="1070"/>
      <c r="EZ2" s="1070"/>
      <c r="FA2" s="1070"/>
      <c r="FB2" s="1070"/>
      <c r="FC2" s="1070"/>
      <c r="FD2" s="1070"/>
      <c r="FE2" s="1070"/>
      <c r="FF2" s="1070"/>
      <c r="FG2" s="1070"/>
      <c r="FH2" s="1070"/>
      <c r="FI2" s="1070"/>
      <c r="FJ2" s="1070"/>
      <c r="FK2" s="1070"/>
      <c r="FL2" s="1070"/>
      <c r="FM2" s="1070"/>
      <c r="FN2" s="1070"/>
      <c r="FO2" s="1070"/>
      <c r="FP2" s="1070"/>
      <c r="FQ2" s="1070"/>
      <c r="FR2" s="1070"/>
      <c r="FS2" s="1070"/>
      <c r="FT2" s="1070"/>
      <c r="FU2" s="1070"/>
      <c r="FV2" s="1070"/>
      <c r="FW2" s="1070"/>
      <c r="GC2" s="1068">
        <v>0</v>
      </c>
    </row>
    <row s="7070" customFormat="1" customHeight="1" ht="12" hidden="1">
      <c r="B3" s="1069"/>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B3" s="1071"/>
      <c r="AC3" s="1070"/>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070"/>
      <c r="BF3" s="1070"/>
      <c r="BG3" s="1070"/>
      <c r="BH3" s="1070"/>
      <c r="BI3" s="1070"/>
      <c r="BJ3" s="1070"/>
      <c r="BK3" s="1070"/>
      <c r="BL3" s="1070"/>
      <c r="BM3" s="1070"/>
      <c r="BN3" s="1070"/>
      <c r="BO3" s="1070"/>
      <c r="BP3" s="1070"/>
      <c r="BQ3" s="1070"/>
      <c r="BR3" s="1070"/>
      <c r="BS3" s="1070"/>
      <c r="BT3" s="1070"/>
      <c r="BU3" s="1070"/>
      <c r="BV3" s="1070"/>
      <c r="BW3" s="1070"/>
      <c r="BX3" s="1070"/>
      <c r="BY3" s="1070"/>
      <c r="BZ3" s="1070"/>
      <c r="CA3" s="1070"/>
      <c r="CB3" s="1070"/>
      <c r="CC3" s="1070"/>
      <c r="CD3" s="1070"/>
      <c r="CE3" s="1070"/>
      <c r="CF3" s="1070"/>
      <c r="CG3" s="1070"/>
      <c r="CH3" s="1070"/>
      <c r="CI3" s="1070"/>
      <c r="CJ3" s="1070"/>
      <c r="CK3" s="1070"/>
      <c r="CL3" s="1070"/>
      <c r="CM3" s="1070"/>
      <c r="CN3" s="1070"/>
      <c r="CO3" s="1070"/>
      <c r="CP3" s="1070"/>
      <c r="CQ3" s="1070"/>
      <c r="CR3" s="1070"/>
      <c r="CS3" s="1070"/>
      <c r="CT3" s="1070"/>
      <c r="CU3" s="1070"/>
      <c r="CV3" s="1070"/>
      <c r="CW3" s="1070"/>
      <c r="CX3" s="1070"/>
      <c r="CY3" s="1070"/>
      <c r="CZ3" s="1070"/>
      <c r="DA3" s="1070"/>
      <c r="DB3" s="1070"/>
      <c r="DC3" s="1070"/>
      <c r="DD3" s="1070"/>
      <c r="DE3" s="1070"/>
      <c r="DF3" s="1070"/>
      <c r="DG3" s="1070"/>
      <c r="DH3" s="1070"/>
      <c r="DI3" s="1070"/>
      <c r="DJ3" s="1070"/>
      <c r="DK3" s="1070"/>
      <c r="DL3" s="1070"/>
      <c r="DM3" s="1070"/>
      <c r="DN3" s="1070"/>
      <c r="DO3" s="1070"/>
      <c r="DP3" s="1070"/>
      <c r="DQ3" s="1070"/>
      <c r="DR3" s="1070"/>
      <c r="DS3" s="1070"/>
      <c r="DT3" s="1070"/>
      <c r="DU3" s="1070"/>
      <c r="DV3" s="1070"/>
      <c r="DW3" s="1070"/>
      <c r="DX3" s="1070"/>
      <c r="DY3" s="1070"/>
      <c r="DZ3" s="1070"/>
      <c r="EA3" s="1070"/>
      <c r="EB3" s="1070"/>
      <c r="EC3" s="1070"/>
      <c r="ED3" s="1070"/>
      <c r="EE3" s="1070"/>
      <c r="EF3" s="1070"/>
      <c r="EG3" s="1070"/>
      <c r="EH3" s="1070"/>
      <c r="EI3" s="1070"/>
      <c r="EJ3" s="1070"/>
      <c r="EK3" s="1070"/>
      <c r="EL3" s="1070"/>
      <c r="EM3" s="1070"/>
      <c r="EN3" s="1070"/>
      <c r="EO3" s="1070"/>
      <c r="EP3" s="1070"/>
      <c r="EQ3" s="1070"/>
      <c r="ER3" s="1070"/>
      <c r="ES3" s="1070"/>
      <c r="ET3" s="1070"/>
      <c r="EU3" s="1070"/>
      <c r="EV3" s="1070"/>
      <c r="EW3" s="1070"/>
      <c r="EX3" s="1070"/>
      <c r="EY3" s="1070"/>
      <c r="EZ3" s="1070"/>
      <c r="FA3" s="1070"/>
      <c r="FB3" s="1070"/>
      <c r="FC3" s="1070"/>
      <c r="FD3" s="1070"/>
      <c r="FE3" s="1070"/>
      <c r="FF3" s="1070"/>
      <c r="FG3" s="1070"/>
      <c r="FH3" s="1070"/>
      <c r="FI3" s="1070"/>
      <c r="FJ3" s="1070"/>
      <c r="FK3" s="1070"/>
      <c r="FL3" s="1070"/>
      <c r="FM3" s="1070"/>
      <c r="FN3" s="1070"/>
      <c r="FO3" s="1070"/>
      <c r="FP3" s="1070"/>
      <c r="FQ3" s="1070"/>
      <c r="FR3" s="1070"/>
      <c r="FS3" s="1070"/>
      <c r="FT3" s="1070"/>
      <c r="FU3" s="1070"/>
      <c r="FV3" s="1070"/>
      <c r="FW3" s="1070"/>
      <c r="GC3" s="1068">
        <v>0</v>
      </c>
    </row>
    <row customHeight="1" ht="10.5">
      <c r="B4" s="1073"/>
      <c r="C4" s="1074"/>
      <c r="D4" s="1074"/>
      <c r="E4" s="1074"/>
      <c r="F4" s="1074"/>
      <c r="G4" s="1074"/>
      <c r="H4" s="1075"/>
      <c r="I4" s="1075"/>
      <c r="J4" s="1075"/>
      <c r="K4" s="1075"/>
      <c r="L4" s="1075"/>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O4" s="1076"/>
      <c r="BP4" s="1076"/>
      <c r="BQ4" s="1076"/>
      <c r="BR4" s="1076"/>
      <c r="BS4" s="1076"/>
      <c r="BT4" s="1076"/>
      <c r="BU4" s="1076"/>
      <c r="BV4" s="1076"/>
      <c r="BW4" s="1076"/>
      <c r="BX4" s="1076"/>
      <c r="BY4" s="1076"/>
      <c r="BZ4" s="1076"/>
      <c r="CA4" s="1076"/>
      <c r="CB4" s="1076"/>
      <c r="CC4" s="1076"/>
      <c r="CD4" s="1076"/>
      <c r="CE4" s="1076"/>
      <c r="CF4" s="1076"/>
      <c r="CG4" s="1076"/>
      <c r="CH4" s="1076"/>
      <c r="CI4" s="1076"/>
      <c r="CJ4" s="1076"/>
      <c r="CK4" s="1076"/>
      <c r="CL4" s="1076"/>
      <c r="CM4" s="1076"/>
      <c r="CN4" s="1076"/>
      <c r="CO4" s="1076"/>
      <c r="CP4" s="1076"/>
      <c r="CQ4" s="1076"/>
      <c r="CR4" s="1076"/>
      <c r="CS4" s="1076"/>
      <c r="CT4" s="1076"/>
      <c r="CU4" s="1076"/>
      <c r="CV4" s="1076"/>
      <c r="CW4" s="1076"/>
      <c r="CX4" s="1076"/>
      <c r="CY4" s="1076"/>
      <c r="CZ4" s="1076"/>
      <c r="DA4" s="1076"/>
      <c r="DB4" s="1076"/>
      <c r="DC4" s="1076"/>
      <c r="DD4" s="1076"/>
      <c r="DE4" s="1076"/>
      <c r="DF4" s="1076"/>
      <c r="DG4" s="1076"/>
      <c r="DH4" s="1076"/>
      <c r="DI4" s="1076"/>
      <c r="DJ4" s="1076"/>
      <c r="DK4" s="1076"/>
      <c r="DL4" s="1076"/>
      <c r="DM4" s="1076"/>
      <c r="DN4" s="1076"/>
      <c r="DO4" s="1076"/>
      <c r="DP4" s="1076"/>
      <c r="DQ4" s="1076"/>
      <c r="DR4" s="1076"/>
      <c r="DS4" s="1076"/>
      <c r="DT4" s="1076"/>
      <c r="DU4" s="1076"/>
      <c r="DV4" s="1076"/>
      <c r="DW4" s="1076"/>
      <c r="DX4" s="1076"/>
      <c r="DY4" s="1076"/>
      <c r="DZ4" s="1076"/>
      <c r="EA4" s="1076"/>
      <c r="EB4" s="1076"/>
      <c r="EC4" s="1076"/>
      <c r="ED4" s="1076"/>
      <c r="EE4" s="1076"/>
      <c r="EF4" s="1076"/>
      <c r="EG4" s="1076"/>
      <c r="EH4" s="1076"/>
      <c r="EI4" s="1076"/>
      <c r="EJ4" s="1076"/>
      <c r="EK4" s="1076"/>
      <c r="EL4" s="1076"/>
      <c r="EM4" s="1076"/>
      <c r="EN4" s="1076"/>
      <c r="EO4" s="1076"/>
      <c r="EP4" s="1076"/>
      <c r="EQ4" s="1076"/>
      <c r="ER4" s="1076"/>
      <c r="ES4" s="1076"/>
      <c r="ET4" s="1076"/>
      <c r="EU4" s="1076"/>
      <c r="EV4" s="1076"/>
      <c r="EW4" s="1076"/>
      <c r="EX4" s="1076"/>
      <c r="EY4" s="1076"/>
      <c r="EZ4" s="1076"/>
      <c r="FA4" s="1076"/>
      <c r="FB4" s="1076"/>
      <c r="FC4" s="1076"/>
      <c r="FD4" s="1076"/>
      <c r="FE4" s="1076"/>
      <c r="FF4" s="1076"/>
      <c r="FG4" s="1076"/>
      <c r="FH4" s="1076"/>
      <c r="FI4" s="1076"/>
      <c r="FJ4" s="1076"/>
      <c r="FK4" s="1076"/>
      <c r="FL4" s="1076"/>
      <c r="FM4" s="1076"/>
      <c r="FN4" s="1076"/>
      <c r="FO4" s="1076"/>
      <c r="FP4" s="1076"/>
      <c r="FQ4" s="1076"/>
      <c r="FR4" s="1076"/>
      <c r="FS4" s="1076"/>
      <c r="FT4" s="1076"/>
      <c r="FU4" s="1076"/>
      <c r="FV4" s="1076"/>
      <c r="FW4" s="1076"/>
      <c r="GC4" s="1072">
        <v>10</v>
      </c>
    </row>
    <row s="7080" customFormat="1" customHeight="1" ht="27.299999999999997">
      <c r="B5" s="2015"/>
      <c r="E5" s="2017"/>
      <c r="F5" s="259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28"/>
      <c r="H5" s="2328"/>
      <c r="I5" s="2328"/>
      <c r="J5" s="2328"/>
      <c r="K5" s="2328"/>
      <c r="L5" s="2328"/>
      <c r="M5" s="2328"/>
      <c r="N5" s="2328"/>
      <c r="O5" s="2328"/>
      <c r="P5" s="2328"/>
      <c r="Q5" s="2328"/>
      <c r="R5" s="2328"/>
      <c r="S5" s="2328"/>
      <c r="T5" s="2328"/>
      <c r="U5" s="2328"/>
      <c r="V5" s="2328"/>
      <c r="W5" s="2328"/>
      <c r="X5" s="2328"/>
      <c r="Y5" s="2328"/>
      <c r="Z5" s="2328"/>
      <c r="AA5" s="2328"/>
      <c r="AB5" s="2328"/>
      <c r="AC5" s="2328"/>
      <c r="AD5" s="2328"/>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8"/>
      <c r="BC5" s="2328"/>
      <c r="BD5" s="2328"/>
      <c r="BE5" s="2328"/>
      <c r="BF5" s="2328"/>
      <c r="BG5" s="2328"/>
      <c r="BH5" s="2328"/>
      <c r="BI5" s="2328"/>
      <c r="BJ5" s="2328"/>
      <c r="BK5" s="2328"/>
      <c r="BL5" s="2328"/>
      <c r="BM5" s="2328"/>
      <c r="BN5" s="2328"/>
      <c r="BO5" s="2328"/>
      <c r="BP5" s="2328"/>
      <c r="BQ5" s="2328"/>
      <c r="BR5" s="2328"/>
      <c r="BS5" s="2328"/>
      <c r="GC5" s="2016">
        <v>26</v>
      </c>
    </row>
    <row s="7808" customFormat="1" customHeight="1" ht="18.75">
      <c r="B6" s="1089"/>
      <c r="E6" s="1091"/>
      <c r="F6" s="2373" t="str">
        <f>IF(org=0,"Не определено",org)</f>
        <v>ПАО "ТГК-14"</v>
      </c>
      <c r="G6" s="2374"/>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GC6" s="1090">
        <v>18</v>
      </c>
    </row>
    <row s="7089" customFormat="1" customHeight="1" ht="10.5">
      <c r="B7" s="1078"/>
      <c r="E7" s="1079"/>
      <c r="F7" s="1079"/>
      <c r="G7" s="1081"/>
      <c r="H7" s="1075"/>
      <c r="I7" s="1075"/>
      <c r="J7" s="1075"/>
      <c r="K7" s="1075"/>
      <c r="L7" s="1075"/>
      <c r="M7" s="1079"/>
      <c r="N7" s="1079"/>
      <c r="O7" s="1079"/>
      <c r="P7" s="1079"/>
      <c r="Q7" s="1079"/>
      <c r="R7" s="1079"/>
      <c r="S7" s="1079"/>
      <c r="T7" s="1079"/>
      <c r="U7" s="1079"/>
      <c r="V7" s="1079"/>
      <c r="W7" s="1079"/>
      <c r="X7" s="1079"/>
      <c r="Y7" s="1079"/>
      <c r="Z7" s="1079"/>
      <c r="AA7" s="1079"/>
      <c r="AB7" s="1079"/>
      <c r="AC7" s="1079"/>
      <c r="AD7" s="1079"/>
      <c r="AE7" s="1079"/>
      <c r="AF7" s="1079"/>
      <c r="AG7" s="1079"/>
      <c r="AH7" s="1079"/>
      <c r="AI7" s="1079"/>
      <c r="AJ7" s="1079"/>
      <c r="AK7" s="1079"/>
      <c r="AL7" s="1079"/>
      <c r="AM7" s="1079"/>
      <c r="AN7" s="1079"/>
      <c r="AO7" s="1079"/>
      <c r="AP7" s="1079"/>
      <c r="AQ7" s="1079"/>
      <c r="AR7" s="1079"/>
      <c r="AS7" s="1079"/>
      <c r="AT7" s="1079"/>
      <c r="AU7" s="1079"/>
      <c r="AV7" s="1079"/>
      <c r="AW7" s="1079"/>
      <c r="AX7" s="1079"/>
      <c r="AY7" s="1079"/>
      <c r="AZ7" s="1079"/>
      <c r="BA7" s="1079"/>
      <c r="BB7" s="1079"/>
      <c r="BC7" s="1079"/>
      <c r="BD7" s="1079"/>
      <c r="BE7" s="1079"/>
      <c r="BF7" s="1079"/>
      <c r="BG7" s="1079"/>
      <c r="BH7" s="1079"/>
      <c r="BI7" s="1079"/>
      <c r="BJ7" s="1079"/>
      <c r="BK7" s="1079"/>
      <c r="BL7" s="1079"/>
      <c r="BM7" s="1079"/>
      <c r="BN7" s="1079"/>
      <c r="BO7" s="1079"/>
      <c r="BP7" s="1079"/>
      <c r="BQ7" s="1079"/>
      <c r="BR7" s="1079"/>
      <c r="BS7" s="1079"/>
      <c r="BT7" s="1079"/>
      <c r="BU7" s="1079"/>
      <c r="BV7" s="1079"/>
      <c r="BW7" s="1079"/>
      <c r="BX7" s="1079"/>
      <c r="BY7" s="1079"/>
      <c r="BZ7" s="1079"/>
      <c r="CA7" s="1079"/>
      <c r="CB7" s="1079"/>
      <c r="CC7" s="1079"/>
      <c r="CD7" s="1079"/>
      <c r="CE7" s="1079"/>
      <c r="CF7" s="1079"/>
      <c r="CG7" s="1079"/>
      <c r="CH7" s="1079"/>
      <c r="CI7" s="1079"/>
      <c r="CJ7" s="1079"/>
      <c r="CK7" s="1079"/>
      <c r="CL7" s="1079"/>
      <c r="CM7" s="1079"/>
      <c r="CN7" s="1079"/>
      <c r="CO7" s="1079"/>
      <c r="CP7" s="1079"/>
      <c r="CQ7" s="1079"/>
      <c r="CR7" s="1079"/>
      <c r="CS7" s="1079"/>
      <c r="CT7" s="1079"/>
      <c r="CU7" s="1079"/>
      <c r="CV7" s="1079"/>
      <c r="CW7" s="1079"/>
      <c r="CX7" s="1079"/>
      <c r="CY7" s="1079"/>
      <c r="CZ7" s="1079"/>
      <c r="DA7" s="1079"/>
      <c r="DB7" s="1079"/>
      <c r="DC7" s="1079"/>
      <c r="DD7" s="1079"/>
      <c r="DE7" s="1079"/>
      <c r="DF7" s="1079"/>
      <c r="DG7" s="1079"/>
      <c r="DH7" s="1079"/>
      <c r="DI7" s="1079"/>
      <c r="DJ7" s="1079"/>
      <c r="DK7" s="1079"/>
      <c r="DL7" s="1079"/>
      <c r="DM7" s="1079"/>
      <c r="DN7" s="1079"/>
      <c r="DO7" s="1079"/>
      <c r="DP7" s="1079"/>
      <c r="DQ7" s="1079"/>
      <c r="DR7" s="1079"/>
      <c r="DS7" s="1079"/>
      <c r="DT7" s="1079"/>
      <c r="DU7" s="1079"/>
      <c r="DV7" s="1079"/>
      <c r="DW7" s="1079"/>
      <c r="DX7" s="1079"/>
      <c r="DY7" s="1079"/>
      <c r="DZ7" s="1079"/>
      <c r="EA7" s="1079"/>
      <c r="EB7" s="1079"/>
      <c r="EC7" s="1079"/>
      <c r="ED7" s="1079"/>
      <c r="EE7" s="1079"/>
      <c r="EF7" s="1079"/>
      <c r="EG7" s="1079"/>
      <c r="EH7" s="1079"/>
      <c r="EI7" s="1079"/>
      <c r="EJ7" s="1079"/>
      <c r="EK7" s="1079"/>
      <c r="EL7" s="1079"/>
      <c r="EM7" s="1079"/>
      <c r="EN7" s="1079"/>
      <c r="EO7" s="1079"/>
      <c r="EP7" s="1079"/>
      <c r="EQ7" s="1079"/>
      <c r="ER7" s="1079"/>
      <c r="ES7" s="1079"/>
      <c r="ET7" s="1079"/>
      <c r="EU7" s="1079"/>
      <c r="EV7" s="1079"/>
      <c r="EW7" s="1079"/>
      <c r="EX7" s="1079"/>
      <c r="EY7" s="1079"/>
      <c r="EZ7" s="1079"/>
      <c r="FA7" s="1079"/>
      <c r="FB7" s="1079"/>
      <c r="FC7" s="1079"/>
      <c r="FD7" s="1079"/>
      <c r="FE7" s="1079"/>
      <c r="FF7" s="1079"/>
      <c r="FG7" s="1079"/>
      <c r="FH7" s="1079"/>
      <c r="FI7" s="1079"/>
      <c r="FJ7" s="1079"/>
      <c r="FK7" s="1079"/>
      <c r="FL7" s="1079"/>
      <c r="FM7" s="1079"/>
      <c r="FN7" s="1079"/>
      <c r="FO7" s="1079"/>
      <c r="FP7" s="1079"/>
      <c r="FQ7" s="1079"/>
      <c r="FR7" s="1079"/>
      <c r="FS7" s="1079"/>
      <c r="FT7" s="1079"/>
      <c r="FU7" s="1079"/>
      <c r="FV7" s="1079"/>
      <c r="FW7" s="1079"/>
      <c r="GC7" s="1077">
        <v>10</v>
      </c>
    </row>
    <row s="7089" customFormat="1" customHeight="1" ht="11.25" hidden="1">
      <c r="B8" s="1080"/>
      <c r="F8" s="1202"/>
      <c r="G8" s="909"/>
      <c r="H8" s="506"/>
      <c r="I8" s="506"/>
      <c r="J8" s="506"/>
      <c r="K8" s="506"/>
      <c r="L8" s="506"/>
      <c r="M8" s="1202"/>
      <c r="N8" s="1202"/>
      <c r="O8" s="2609" t="s">
        <v>1416</v>
      </c>
      <c r="P8" s="2610"/>
      <c r="Q8" s="2610"/>
      <c r="R8" s="2610"/>
      <c r="S8" s="2610"/>
      <c r="T8" s="2610"/>
      <c r="U8" s="2610"/>
      <c r="V8" s="2610"/>
      <c r="W8" s="2610"/>
      <c r="X8" s="2610"/>
      <c r="Y8" s="2610"/>
      <c r="Z8" s="2610"/>
      <c r="AA8" s="2610"/>
      <c r="AB8" s="2610"/>
      <c r="AC8" s="2610"/>
      <c r="AD8" s="2610"/>
      <c r="AE8" s="2610"/>
      <c r="AF8" s="2610"/>
      <c r="AG8" s="2610"/>
      <c r="AH8" s="2610"/>
      <c r="AI8" s="2610"/>
      <c r="AJ8" s="2610"/>
      <c r="AK8" s="2610"/>
      <c r="AL8" s="2610"/>
      <c r="AM8" s="2610"/>
      <c r="AN8" s="2610"/>
      <c r="AO8" s="2610"/>
      <c r="AP8" s="2610"/>
      <c r="AQ8" s="2610"/>
      <c r="AR8" s="2610"/>
      <c r="AS8" s="2610"/>
      <c r="AT8" s="2610"/>
      <c r="AU8" s="2610"/>
      <c r="AV8" s="2610"/>
      <c r="AW8" s="2610"/>
      <c r="AX8" s="2610"/>
      <c r="AY8" s="2610"/>
      <c r="AZ8" s="2610"/>
      <c r="BA8" s="2610"/>
      <c r="BB8" s="2610"/>
      <c r="BC8" s="2610"/>
      <c r="BD8" s="2610"/>
      <c r="BE8" s="2610"/>
      <c r="BF8" s="2610"/>
      <c r="BG8" s="2610"/>
      <c r="BH8" s="2610"/>
      <c r="BI8" s="2610"/>
      <c r="BJ8" s="2610"/>
      <c r="BK8" s="2610"/>
      <c r="BL8" s="2610"/>
      <c r="BM8" s="2610"/>
      <c r="BN8" s="2610"/>
      <c r="BO8" s="2610"/>
      <c r="BP8" s="2610"/>
      <c r="BQ8" s="2610"/>
      <c r="BR8" s="2610"/>
      <c r="BS8" s="2611"/>
      <c r="BT8" s="2598"/>
      <c r="BU8" s="2599"/>
      <c r="BV8" s="2599"/>
      <c r="BW8" s="2599"/>
      <c r="BX8" s="2599"/>
      <c r="BY8" s="2599"/>
      <c r="BZ8" s="2599"/>
      <c r="CA8" s="2599"/>
      <c r="CB8" s="2599"/>
      <c r="CC8" s="2599"/>
      <c r="CD8" s="2599"/>
      <c r="CE8" s="2599"/>
      <c r="CF8" s="2599"/>
      <c r="CG8" s="2599"/>
      <c r="CH8" s="2599"/>
      <c r="CI8" s="2599"/>
      <c r="CJ8" s="2599"/>
      <c r="CK8" s="2599"/>
      <c r="CL8" s="2599"/>
      <c r="CM8" s="2599"/>
      <c r="CN8" s="2599"/>
      <c r="CO8" s="2599"/>
      <c r="CP8" s="2599"/>
      <c r="CQ8" s="2599"/>
      <c r="CR8" s="2599"/>
      <c r="CS8" s="2599"/>
      <c r="CT8" s="2599"/>
      <c r="CU8" s="2599"/>
      <c r="CV8" s="2599"/>
      <c r="CW8" s="2599"/>
      <c r="CX8" s="2600"/>
      <c r="CY8" s="2601"/>
      <c r="CZ8" s="2602"/>
      <c r="DA8" s="2602"/>
      <c r="DB8" s="2602"/>
      <c r="DC8" s="2602"/>
      <c r="DD8" s="2602"/>
      <c r="DE8" s="2602"/>
      <c r="DF8" s="2602"/>
      <c r="DG8" s="2602"/>
      <c r="DH8" s="2602"/>
      <c r="DI8" s="2602"/>
      <c r="DJ8" s="2602"/>
      <c r="DK8" s="2602"/>
      <c r="DL8" s="2602"/>
      <c r="DM8" s="2602"/>
      <c r="DN8" s="2602"/>
      <c r="DO8" s="2602"/>
      <c r="DP8" s="2602"/>
      <c r="DQ8" s="2602"/>
      <c r="DR8" s="2602"/>
      <c r="DS8" s="2602"/>
      <c r="DT8" s="2602"/>
      <c r="DU8" s="2602"/>
      <c r="DV8" s="2602"/>
      <c r="DW8" s="2602"/>
      <c r="DX8" s="2603"/>
      <c r="DY8" s="2604" t="s">
        <v>1417</v>
      </c>
      <c r="DZ8" s="2605"/>
      <c r="EA8" s="2605"/>
      <c r="EB8" s="2605"/>
      <c r="EC8" s="2605"/>
      <c r="ED8" s="2605"/>
      <c r="EE8" s="2605"/>
      <c r="EF8" s="2605"/>
      <c r="EG8" s="2605"/>
      <c r="EH8" s="2605"/>
      <c r="EI8" s="2605"/>
      <c r="EJ8" s="2605"/>
      <c r="EK8" s="2605"/>
      <c r="EL8" s="2605"/>
      <c r="EM8" s="2605"/>
      <c r="EN8" s="2605"/>
      <c r="EO8" s="2605"/>
      <c r="EP8" s="2605"/>
      <c r="EQ8" s="2605"/>
      <c r="ER8" s="2605"/>
      <c r="ES8" s="2605"/>
      <c r="ET8" s="2605"/>
      <c r="EU8" s="2605"/>
      <c r="EV8" s="2605"/>
      <c r="EW8" s="2605"/>
      <c r="EX8" s="2605"/>
      <c r="EY8" s="2605"/>
      <c r="EZ8" s="2605"/>
      <c r="FA8" s="2605"/>
      <c r="FB8" s="2605"/>
      <c r="FC8" s="2605"/>
      <c r="FD8" s="2605"/>
      <c r="FE8" s="2605"/>
      <c r="FF8" s="2605"/>
      <c r="FG8" s="2605"/>
      <c r="FH8" s="2605"/>
      <c r="FI8" s="2605"/>
      <c r="FJ8" s="2605"/>
      <c r="FK8" s="2605"/>
      <c r="FL8" s="2605"/>
      <c r="FM8" s="2605"/>
      <c r="FN8" s="2605"/>
      <c r="FO8" s="2605"/>
      <c r="FP8" s="2605"/>
      <c r="FQ8" s="2605"/>
      <c r="FR8" s="2605"/>
      <c r="FS8" s="2605"/>
      <c r="FT8" s="2605"/>
      <c r="FU8" s="2605"/>
      <c r="FV8" s="2605"/>
      <c r="FW8" s="2606"/>
      <c r="FX8" s="1202"/>
      <c r="GC8" s="1079">
        <v>0</v>
      </c>
    </row>
    <row s="7089" customFormat="1" customHeight="1" ht="11.25" hidden="1">
      <c r="B9" s="1080"/>
      <c r="F9" s="1202"/>
      <c r="G9" s="909"/>
      <c r="H9" s="506"/>
      <c r="I9" s="506"/>
      <c r="J9" s="506"/>
      <c r="K9" s="506"/>
      <c r="L9" s="506"/>
      <c r="M9" s="1202"/>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2"/>
      <c r="AR9" s="1202"/>
      <c r="AS9" s="1202"/>
      <c r="AT9" s="1202"/>
      <c r="AU9" s="1202"/>
      <c r="AV9" s="1202"/>
      <c r="AW9" s="1202"/>
      <c r="AX9" s="1202"/>
      <c r="AY9" s="1202"/>
      <c r="AZ9" s="1202"/>
      <c r="BA9" s="1202"/>
      <c r="BB9" s="1202"/>
      <c r="BC9" s="1202"/>
      <c r="BD9" s="1202"/>
      <c r="BE9" s="1202"/>
      <c r="BF9" s="1202"/>
      <c r="BG9" s="1202"/>
      <c r="BH9" s="1202"/>
      <c r="BI9" s="1202"/>
      <c r="BJ9" s="1202"/>
      <c r="BK9" s="1202"/>
      <c r="BL9" s="1202"/>
      <c r="BM9" s="1202"/>
      <c r="BN9" s="1202"/>
      <c r="BO9" s="1202"/>
      <c r="BP9" s="1202"/>
      <c r="BQ9" s="1202"/>
      <c r="BR9" s="1202"/>
      <c r="BS9" s="1202"/>
      <c r="BT9" s="1202"/>
      <c r="BU9" s="1202"/>
      <c r="BV9" s="1202"/>
      <c r="BW9" s="1202"/>
      <c r="BX9" s="1202"/>
      <c r="BY9" s="1202"/>
      <c r="BZ9" s="1202"/>
      <c r="CA9" s="1202"/>
      <c r="CB9" s="1202"/>
      <c r="CC9" s="1202"/>
      <c r="CD9" s="1202"/>
      <c r="CE9" s="1202"/>
      <c r="CF9" s="1202"/>
      <c r="CG9" s="1202"/>
      <c r="CH9" s="1202"/>
      <c r="CI9" s="1202"/>
      <c r="CJ9" s="1202"/>
      <c r="CK9" s="1202"/>
      <c r="CL9" s="1202"/>
      <c r="CM9" s="1202"/>
      <c r="CN9" s="1202"/>
      <c r="CO9" s="1202"/>
      <c r="CP9" s="1202"/>
      <c r="CQ9" s="1202"/>
      <c r="CR9" s="1202"/>
      <c r="CS9" s="1202"/>
      <c r="CT9" s="1202"/>
      <c r="CU9" s="1202"/>
      <c r="CV9" s="1202"/>
      <c r="CW9" s="1202"/>
      <c r="CX9" s="1202"/>
      <c r="CY9" s="1202"/>
      <c r="CZ9" s="1202"/>
      <c r="DA9" s="1202"/>
      <c r="DB9" s="1202"/>
      <c r="DC9" s="1202"/>
      <c r="DD9" s="1202"/>
      <c r="DE9" s="1202"/>
      <c r="DF9" s="1202"/>
      <c r="DG9" s="1202"/>
      <c r="DH9" s="1202"/>
      <c r="DI9" s="1202"/>
      <c r="DJ9" s="1202"/>
      <c r="DK9" s="1202"/>
      <c r="DL9" s="1202"/>
      <c r="DM9" s="1202"/>
      <c r="DN9" s="1202"/>
      <c r="DO9" s="1202"/>
      <c r="DP9" s="1202"/>
      <c r="DQ9" s="1202"/>
      <c r="DR9" s="1202"/>
      <c r="DS9" s="1202"/>
      <c r="DT9" s="1202"/>
      <c r="DU9" s="1202"/>
      <c r="DV9" s="1202"/>
      <c r="DW9" s="1202"/>
      <c r="DX9" s="1202"/>
      <c r="DY9" s="1202"/>
      <c r="DZ9" s="1202"/>
      <c r="EA9" s="1202"/>
      <c r="EB9" s="1202"/>
      <c r="EC9" s="1202"/>
      <c r="ED9" s="1202"/>
      <c r="EE9" s="1202"/>
      <c r="EF9" s="1202"/>
      <c r="EG9" s="1202"/>
      <c r="EH9" s="1202"/>
      <c r="EI9" s="1202"/>
      <c r="EJ9" s="1202"/>
      <c r="EK9" s="1202"/>
      <c r="EL9" s="1202"/>
      <c r="EM9" s="1202"/>
      <c r="EN9" s="1202"/>
      <c r="EO9" s="1202"/>
      <c r="EP9" s="1202"/>
      <c r="EQ9" s="1202"/>
      <c r="ER9" s="1202"/>
      <c r="ES9" s="1202"/>
      <c r="ET9" s="1202"/>
      <c r="EU9" s="1202"/>
      <c r="EV9" s="1202"/>
      <c r="EW9" s="1202"/>
      <c r="EX9" s="1202"/>
      <c r="EY9" s="1202"/>
      <c r="EZ9" s="1202"/>
      <c r="FA9" s="1202"/>
      <c r="FB9" s="1202"/>
      <c r="FC9" s="1202"/>
      <c r="FD9" s="1202"/>
      <c r="FE9" s="1202"/>
      <c r="FF9" s="1202"/>
      <c r="FG9" s="1202"/>
      <c r="FH9" s="1202"/>
      <c r="FI9" s="1202"/>
      <c r="FJ9" s="1202"/>
      <c r="FK9" s="1202"/>
      <c r="FL9" s="1202"/>
      <c r="FM9" s="1202"/>
      <c r="FN9" s="1202"/>
      <c r="FO9" s="1202"/>
      <c r="FP9" s="1202"/>
      <c r="FQ9" s="1202"/>
      <c r="FR9" s="1202"/>
      <c r="FS9" s="1202"/>
      <c r="FT9" s="1202"/>
      <c r="FU9" s="1202"/>
      <c r="FV9" s="1202"/>
      <c r="FW9" s="2607"/>
      <c r="FX9" s="1202"/>
      <c r="GC9" s="1079">
        <v>0</v>
      </c>
    </row>
    <row s="7089" customFormat="1" customHeight="1" ht="11.549999999999999">
      <c r="B10" s="1080"/>
      <c r="F10" s="2588" t="s">
        <v>322</v>
      </c>
      <c r="G10" s="2589"/>
      <c r="H10" s="2589"/>
      <c r="I10" s="2589"/>
      <c r="J10" s="2589"/>
      <c r="K10" s="2589"/>
      <c r="L10" s="2589"/>
      <c r="M10" s="2589"/>
      <c r="N10" s="2589"/>
      <c r="O10" s="2589"/>
      <c r="P10" s="2589"/>
      <c r="Q10" s="2589"/>
      <c r="R10" s="2589"/>
      <c r="S10" s="2589"/>
      <c r="T10" s="2589"/>
      <c r="U10" s="2589"/>
      <c r="V10" s="2589"/>
      <c r="W10" s="2589"/>
      <c r="X10" s="2589"/>
      <c r="Y10" s="2589"/>
      <c r="Z10" s="2589"/>
      <c r="AA10" s="2589"/>
      <c r="AB10" s="2589"/>
      <c r="AC10" s="2589"/>
      <c r="AD10" s="2589"/>
      <c r="AE10" s="2589"/>
      <c r="AF10" s="2589"/>
      <c r="AG10" s="2589"/>
      <c r="AH10" s="2589"/>
      <c r="AI10" s="2589"/>
      <c r="AJ10" s="2589"/>
      <c r="AK10" s="2589"/>
      <c r="AL10" s="2589"/>
      <c r="AM10" s="2589"/>
      <c r="AN10" s="2589"/>
      <c r="AO10" s="2589"/>
      <c r="AP10" s="2589"/>
      <c r="AQ10" s="2589"/>
      <c r="AR10" s="2589"/>
      <c r="AS10" s="2589"/>
      <c r="AT10" s="2589"/>
      <c r="AU10" s="2589"/>
      <c r="AV10" s="2589"/>
      <c r="AW10" s="2589"/>
      <c r="AX10" s="2589"/>
      <c r="AY10" s="2589"/>
      <c r="AZ10" s="2589"/>
      <c r="BA10" s="2589"/>
      <c r="BB10" s="2589"/>
      <c r="BC10" s="2589"/>
      <c r="BD10" s="2589"/>
      <c r="BE10" s="2589"/>
      <c r="BF10" s="2589"/>
      <c r="BG10" s="2589"/>
      <c r="BH10" s="2589"/>
      <c r="BI10" s="2589"/>
      <c r="BJ10" s="2589"/>
      <c r="BK10" s="2589"/>
      <c r="BL10" s="2589"/>
      <c r="BM10" s="2589"/>
      <c r="BN10" s="2589"/>
      <c r="BO10" s="2589"/>
      <c r="BP10" s="2589"/>
      <c r="BQ10" s="2589"/>
      <c r="BR10" s="2589"/>
      <c r="BS10" s="2589"/>
      <c r="BT10" s="2589"/>
      <c r="BU10" s="2589"/>
      <c r="BV10" s="2589"/>
      <c r="BW10" s="2589"/>
      <c r="BX10" s="2589"/>
      <c r="BY10" s="2589"/>
      <c r="BZ10" s="2589"/>
      <c r="CA10" s="2589"/>
      <c r="CB10" s="2589"/>
      <c r="CC10" s="2589"/>
      <c r="CD10" s="2589"/>
      <c r="CE10" s="2589"/>
      <c r="CF10" s="2589"/>
      <c r="CG10" s="2589"/>
      <c r="CH10" s="2589"/>
      <c r="CI10" s="2589"/>
      <c r="CJ10" s="2589"/>
      <c r="CK10" s="2589"/>
      <c r="CL10" s="2589"/>
      <c r="CM10" s="2589"/>
      <c r="CN10" s="2589"/>
      <c r="CO10" s="2589"/>
      <c r="CP10" s="2589"/>
      <c r="CQ10" s="2589"/>
      <c r="CR10" s="2589"/>
      <c r="CS10" s="2589"/>
      <c r="CT10" s="2589"/>
      <c r="CU10" s="2589"/>
      <c r="CV10" s="2589"/>
      <c r="CW10" s="2589"/>
      <c r="CX10" s="2589"/>
      <c r="CY10" s="2589"/>
      <c r="CZ10" s="2589"/>
      <c r="DA10" s="2589"/>
      <c r="DB10" s="2589"/>
      <c r="DC10" s="2589"/>
      <c r="DD10" s="2589"/>
      <c r="DE10" s="2589"/>
      <c r="DF10" s="2589"/>
      <c r="DG10" s="2589"/>
      <c r="DH10" s="2589"/>
      <c r="DI10" s="2589"/>
      <c r="DJ10" s="2589"/>
      <c r="DK10" s="2589"/>
      <c r="DL10" s="2589"/>
      <c r="DM10" s="2589"/>
      <c r="DN10" s="2589"/>
      <c r="DO10" s="2589"/>
      <c r="DP10" s="2589"/>
      <c r="DQ10" s="2589"/>
      <c r="DR10" s="2589"/>
      <c r="DS10" s="2589"/>
      <c r="DT10" s="2589"/>
      <c r="DU10" s="2589"/>
      <c r="DV10" s="2589"/>
      <c r="DW10" s="2589"/>
      <c r="DX10" s="2589"/>
      <c r="DY10" s="2589"/>
      <c r="DZ10" s="2589"/>
      <c r="EA10" s="2589"/>
      <c r="EB10" s="2589"/>
      <c r="EC10" s="2589"/>
      <c r="ED10" s="2589"/>
      <c r="EE10" s="2589"/>
      <c r="EF10" s="2589"/>
      <c r="EG10" s="2589"/>
      <c r="EH10" s="2589"/>
      <c r="EI10" s="2589"/>
      <c r="EJ10" s="2589"/>
      <c r="EK10" s="2589"/>
      <c r="EL10" s="2589"/>
      <c r="EM10" s="2589"/>
      <c r="EN10" s="2589"/>
      <c r="EO10" s="2589"/>
      <c r="EP10" s="2589"/>
      <c r="EQ10" s="2589"/>
      <c r="ER10" s="2589"/>
      <c r="ES10" s="2589"/>
      <c r="ET10" s="2589"/>
      <c r="EU10" s="2589"/>
      <c r="EV10" s="2589"/>
      <c r="EW10" s="2589"/>
      <c r="EX10" s="2589"/>
      <c r="EY10" s="2589"/>
      <c r="EZ10" s="2589"/>
      <c r="FA10" s="2589"/>
      <c r="FB10" s="2589"/>
      <c r="FC10" s="2589"/>
      <c r="FD10" s="2589"/>
      <c r="FE10" s="2589"/>
      <c r="FF10" s="2589"/>
      <c r="FG10" s="2589"/>
      <c r="FH10" s="2589"/>
      <c r="FI10" s="2589"/>
      <c r="FJ10" s="2589"/>
      <c r="FK10" s="2589"/>
      <c r="FL10" s="2589"/>
      <c r="FM10" s="2589"/>
      <c r="FN10" s="2589"/>
      <c r="FO10" s="2589"/>
      <c r="FP10" s="2589"/>
      <c r="FQ10" s="2589"/>
      <c r="FR10" s="2589"/>
      <c r="FS10" s="2589"/>
      <c r="FT10" s="2589"/>
      <c r="FU10" s="2589"/>
      <c r="FV10" s="2590"/>
      <c r="FW10" s="2607"/>
      <c r="FX10" s="1202"/>
      <c r="GC10" s="1079">
        <v>11</v>
      </c>
    </row>
    <row customHeight="1" ht="12.75">
      <c r="E11" s="1083"/>
      <c r="F11" s="2364" t="s">
        <v>89</v>
      </c>
      <c r="G11" s="2364" t="s">
        <v>1418</v>
      </c>
      <c r="H11" s="2596" t="s">
        <v>1419</v>
      </c>
      <c r="I11" s="2596" t="s">
        <v>1420</v>
      </c>
      <c r="J11" s="2597"/>
      <c r="K11" s="2597"/>
      <c r="L11" s="2597"/>
      <c r="M11" s="2597"/>
      <c r="N11" s="2597"/>
      <c r="O11" s="2368" t="s">
        <v>1421</v>
      </c>
      <c r="P11" s="2368"/>
      <c r="Q11" s="2368"/>
      <c r="R11" s="2368"/>
      <c r="S11" s="2368"/>
      <c r="T11" s="2368"/>
      <c r="U11" s="2368"/>
      <c r="V11" s="2368"/>
      <c r="W11" s="2368"/>
      <c r="X11" s="2368"/>
      <c r="Y11" s="2368"/>
      <c r="Z11" s="2368"/>
      <c r="AA11" s="2368"/>
      <c r="AB11" s="2368"/>
      <c r="AC11" s="2593"/>
      <c r="AD11" s="2593"/>
      <c r="AE11" s="2593"/>
      <c r="AF11" s="2593"/>
      <c r="AG11" s="2593"/>
      <c r="AH11" s="2593"/>
      <c r="AI11" s="2593"/>
      <c r="AJ11" s="2593"/>
      <c r="AK11" s="2593"/>
      <c r="AL11" s="2593"/>
      <c r="AM11" s="2593"/>
      <c r="AN11" s="2593"/>
      <c r="AO11" s="2593"/>
      <c r="AP11" s="2593"/>
      <c r="AQ11" s="2593"/>
      <c r="AR11" s="2593"/>
      <c r="AS11" s="2593"/>
      <c r="AT11" s="2593"/>
      <c r="AU11" s="2593"/>
      <c r="AV11" s="2593"/>
      <c r="AW11" s="2593"/>
      <c r="AX11" s="2593"/>
      <c r="AY11" s="2593"/>
      <c r="AZ11" s="2593"/>
      <c r="BA11" s="2593"/>
      <c r="BB11" s="2593"/>
      <c r="BC11" s="2593"/>
      <c r="BD11" s="2593"/>
      <c r="BE11" s="2593"/>
      <c r="BF11" s="2593"/>
      <c r="BG11" s="2593"/>
      <c r="BH11" s="2593"/>
      <c r="BI11" s="2593"/>
      <c r="BJ11" s="2593"/>
      <c r="BK11" s="2593"/>
      <c r="BL11" s="2593"/>
      <c r="BM11" s="2593"/>
      <c r="BN11" s="2593"/>
      <c r="BO11" s="2593"/>
      <c r="BP11" s="2593"/>
      <c r="BQ11" s="2593"/>
      <c r="BR11" s="2593"/>
      <c r="BS11" s="2612"/>
      <c r="BT11" s="2545" t="s">
        <v>1421</v>
      </c>
      <c r="BU11" s="2546"/>
      <c r="BV11" s="2546"/>
      <c r="BW11" s="2546"/>
      <c r="BX11" s="2546"/>
      <c r="BY11" s="2546"/>
      <c r="BZ11" s="2546"/>
      <c r="CA11" s="2546"/>
      <c r="CB11" s="2546"/>
      <c r="CC11" s="2546"/>
      <c r="CD11" s="2546"/>
      <c r="CE11" s="2546"/>
      <c r="CF11" s="2546"/>
      <c r="CG11" s="2546"/>
      <c r="CH11" s="2546"/>
      <c r="CI11" s="2546"/>
      <c r="CJ11" s="2546"/>
      <c r="CK11" s="2592"/>
      <c r="CL11" s="2595"/>
      <c r="CM11" s="2593"/>
      <c r="CN11" s="2593"/>
      <c r="CO11" s="2593"/>
      <c r="CP11" s="2593"/>
      <c r="CQ11" s="2593"/>
      <c r="CR11" s="2593"/>
      <c r="CS11" s="2593"/>
      <c r="CT11" s="2593"/>
      <c r="CU11" s="2593"/>
      <c r="CV11" s="2593"/>
      <c r="CW11" s="2593"/>
      <c r="CX11" s="2612"/>
      <c r="CY11" s="2545" t="s">
        <v>1421</v>
      </c>
      <c r="CZ11" s="2546"/>
      <c r="DA11" s="2546"/>
      <c r="DB11" s="2546"/>
      <c r="DC11" s="2546"/>
      <c r="DD11" s="2546"/>
      <c r="DE11" s="2546"/>
      <c r="DF11" s="2546"/>
      <c r="DG11" s="2546"/>
      <c r="DH11" s="2546"/>
      <c r="DI11" s="2546"/>
      <c r="DJ11" s="2592"/>
      <c r="DK11" s="2595"/>
      <c r="DL11" s="2593"/>
      <c r="DM11" s="2593"/>
      <c r="DN11" s="2593"/>
      <c r="DO11" s="2593"/>
      <c r="DP11" s="2593"/>
      <c r="DQ11" s="2593"/>
      <c r="DR11" s="2593"/>
      <c r="DS11" s="2593"/>
      <c r="DT11" s="2593"/>
      <c r="DU11" s="2593"/>
      <c r="DV11" s="2593"/>
      <c r="DW11" s="2593"/>
      <c r="DX11" s="2593"/>
      <c r="DY11" s="2593"/>
      <c r="DZ11" s="2593"/>
      <c r="EA11" s="2593"/>
      <c r="EB11" s="2593"/>
      <c r="EC11" s="2593"/>
      <c r="ED11" s="2593"/>
      <c r="EE11" s="2593"/>
      <c r="EF11" s="2593"/>
      <c r="EG11" s="2593"/>
      <c r="EH11" s="2593"/>
      <c r="EI11" s="2593"/>
      <c r="EJ11" s="2593"/>
      <c r="EK11" s="2593"/>
      <c r="EL11" s="2593"/>
      <c r="EM11" s="2593"/>
      <c r="EN11" s="2593"/>
      <c r="EO11" s="2593"/>
      <c r="EP11" s="2593"/>
      <c r="EQ11" s="2593"/>
      <c r="ER11" s="2593"/>
      <c r="ES11" s="2593"/>
      <c r="ET11" s="2593"/>
      <c r="EU11" s="2593"/>
      <c r="EV11" s="2593"/>
      <c r="EW11" s="2593"/>
      <c r="EX11" s="2593"/>
      <c r="EY11" s="2593"/>
      <c r="EZ11" s="2593"/>
      <c r="FA11" s="2593"/>
      <c r="FB11" s="2593"/>
      <c r="FC11" s="2593"/>
      <c r="FD11" s="2593"/>
      <c r="FE11" s="2593"/>
      <c r="FF11" s="2593"/>
      <c r="FG11" s="2593"/>
      <c r="FH11" s="2593"/>
      <c r="FI11" s="2593"/>
      <c r="FJ11" s="2593"/>
      <c r="FK11" s="2593"/>
      <c r="FL11" s="2593"/>
      <c r="FM11" s="2593"/>
      <c r="FN11" s="2593"/>
      <c r="FO11" s="2593"/>
      <c r="FP11" s="2593"/>
      <c r="FQ11" s="2593"/>
      <c r="FR11" s="2593"/>
      <c r="FS11" s="2593"/>
      <c r="FT11" s="2593"/>
      <c r="FU11" s="2593"/>
      <c r="FV11" s="2593"/>
      <c r="FW11" s="2607"/>
      <c r="FX11" s="908"/>
      <c r="GC11" s="1072">
        <v>12</v>
      </c>
    </row>
    <row customHeight="1" ht="12.75">
      <c r="D12" s="1084"/>
      <c r="E12" s="1083"/>
      <c r="F12" s="2364"/>
      <c r="G12" s="2364"/>
      <c r="H12" s="2596"/>
      <c r="I12" s="2596"/>
      <c r="J12" s="2597"/>
      <c r="K12" s="2597"/>
      <c r="L12" s="2597"/>
      <c r="M12" s="2597"/>
      <c r="N12" s="2597"/>
      <c r="O12" s="2368" t="s">
        <v>1422</v>
      </c>
      <c r="P12" s="2368"/>
      <c r="Q12" s="2368"/>
      <c r="R12" s="2368"/>
      <c r="S12" s="2368" t="s">
        <v>1423</v>
      </c>
      <c r="T12" s="2368"/>
      <c r="U12" s="2368"/>
      <c r="V12" s="2368"/>
      <c r="W12" s="2368"/>
      <c r="X12" s="2368"/>
      <c r="Y12" s="2368"/>
      <c r="Z12" s="2368"/>
      <c r="AA12" s="2368"/>
      <c r="AB12" s="2368"/>
      <c r="AC12" s="2593"/>
      <c r="AD12" s="2593"/>
      <c r="AE12" s="2593"/>
      <c r="AF12" s="2593"/>
      <c r="AG12" s="2593"/>
      <c r="AH12" s="2593"/>
      <c r="AI12" s="2593"/>
      <c r="AJ12" s="2593"/>
      <c r="AK12" s="2593"/>
      <c r="AL12" s="2593"/>
      <c r="AM12" s="2593"/>
      <c r="AN12" s="2593"/>
      <c r="AO12" s="2593"/>
      <c r="AP12" s="2593"/>
      <c r="AQ12" s="2593"/>
      <c r="AR12" s="2593"/>
      <c r="AS12" s="2593"/>
      <c r="AT12" s="2593"/>
      <c r="AU12" s="2593"/>
      <c r="AV12" s="2593"/>
      <c r="AW12" s="2593"/>
      <c r="AX12" s="2593"/>
      <c r="AY12" s="2593"/>
      <c r="AZ12" s="2593"/>
      <c r="BA12" s="2593"/>
      <c r="BB12" s="2593"/>
      <c r="BC12" s="2593"/>
      <c r="BD12" s="2593"/>
      <c r="BE12" s="2593"/>
      <c r="BF12" s="2593"/>
      <c r="BG12" s="2593"/>
      <c r="BH12" s="2593"/>
      <c r="BI12" s="2593"/>
      <c r="BJ12" s="2593"/>
      <c r="BK12" s="2593"/>
      <c r="BL12" s="2593"/>
      <c r="BM12" s="2593"/>
      <c r="BN12" s="2593"/>
      <c r="BO12" s="2593"/>
      <c r="BP12" s="2593"/>
      <c r="BQ12" s="2593"/>
      <c r="BR12" s="2593"/>
      <c r="BS12" s="2612"/>
      <c r="BT12" s="2545" t="s">
        <v>1424</v>
      </c>
      <c r="BU12" s="2546"/>
      <c r="BV12" s="2546"/>
      <c r="BW12" s="2592"/>
      <c r="BX12" s="2545" t="s">
        <v>1425</v>
      </c>
      <c r="BY12" s="2546"/>
      <c r="BZ12" s="2546"/>
      <c r="CA12" s="2592"/>
      <c r="CB12" s="2545" t="s">
        <v>1426</v>
      </c>
      <c r="CC12" s="2592"/>
      <c r="CD12" s="2545" t="s">
        <v>1427</v>
      </c>
      <c r="CE12" s="2546"/>
      <c r="CF12" s="2546"/>
      <c r="CG12" s="2546"/>
      <c r="CH12" s="2546"/>
      <c r="CI12" s="2546"/>
      <c r="CJ12" s="2546"/>
      <c r="CK12" s="2592"/>
      <c r="CL12" s="2595"/>
      <c r="CM12" s="2593"/>
      <c r="CN12" s="2593"/>
      <c r="CO12" s="2593"/>
      <c r="CP12" s="2593"/>
      <c r="CQ12" s="2593"/>
      <c r="CR12" s="2593"/>
      <c r="CS12" s="2593"/>
      <c r="CT12" s="2593"/>
      <c r="CU12" s="2593"/>
      <c r="CV12" s="2593"/>
      <c r="CW12" s="2593"/>
      <c r="CX12" s="2612"/>
      <c r="CY12" s="2545" t="s">
        <v>1428</v>
      </c>
      <c r="CZ12" s="2546"/>
      <c r="DA12" s="2546"/>
      <c r="DB12" s="2546"/>
      <c r="DC12" s="2546"/>
      <c r="DD12" s="2592"/>
      <c r="DE12" s="2545" t="s">
        <v>1429</v>
      </c>
      <c r="DF12" s="2592"/>
      <c r="DG12" s="2545" t="s">
        <v>1427</v>
      </c>
      <c r="DH12" s="2546"/>
      <c r="DI12" s="2546"/>
      <c r="DJ12" s="2592"/>
      <c r="DK12" s="2595"/>
      <c r="DL12" s="2593"/>
      <c r="DM12" s="2593"/>
      <c r="DN12" s="2593"/>
      <c r="DO12" s="2593"/>
      <c r="DP12" s="2593"/>
      <c r="DQ12" s="2593"/>
      <c r="DR12" s="2593"/>
      <c r="DS12" s="2593"/>
      <c r="DT12" s="2593"/>
      <c r="DU12" s="2593"/>
      <c r="DV12" s="2593"/>
      <c r="DW12" s="2593"/>
      <c r="DX12" s="2593"/>
      <c r="DY12" s="2593"/>
      <c r="DZ12" s="2593"/>
      <c r="EA12" s="2593"/>
      <c r="EB12" s="2593"/>
      <c r="EC12" s="2593"/>
      <c r="ED12" s="2593"/>
      <c r="EE12" s="2593"/>
      <c r="EF12" s="2593"/>
      <c r="EG12" s="2593"/>
      <c r="EH12" s="2593"/>
      <c r="EI12" s="2593"/>
      <c r="EJ12" s="2593"/>
      <c r="EK12" s="2593"/>
      <c r="EL12" s="2593"/>
      <c r="EM12" s="2593"/>
      <c r="EN12" s="2593"/>
      <c r="EO12" s="2593"/>
      <c r="EP12" s="2593"/>
      <c r="EQ12" s="2593"/>
      <c r="ER12" s="2593"/>
      <c r="ES12" s="2593"/>
      <c r="ET12" s="2593"/>
      <c r="EU12" s="2593"/>
      <c r="EV12" s="2593"/>
      <c r="EW12" s="2593"/>
      <c r="EX12" s="2593"/>
      <c r="EY12" s="2593"/>
      <c r="EZ12" s="2593"/>
      <c r="FA12" s="2593"/>
      <c r="FB12" s="2593"/>
      <c r="FC12" s="2593"/>
      <c r="FD12" s="2593"/>
      <c r="FE12" s="2593"/>
      <c r="FF12" s="2593"/>
      <c r="FG12" s="2593"/>
      <c r="FH12" s="2593"/>
      <c r="FI12" s="2593"/>
      <c r="FJ12" s="2593"/>
      <c r="FK12" s="2593"/>
      <c r="FL12" s="2593"/>
      <c r="FM12" s="2593"/>
      <c r="FN12" s="2593"/>
      <c r="FO12" s="2593"/>
      <c r="FP12" s="2593"/>
      <c r="FQ12" s="2593"/>
      <c r="FR12" s="2593"/>
      <c r="FS12" s="2593"/>
      <c r="FT12" s="2593"/>
      <c r="FU12" s="2593"/>
      <c r="FV12" s="2593"/>
      <c r="FW12" s="2607"/>
      <c r="FX12" s="908"/>
      <c r="GC12" s="1072">
        <v>12</v>
      </c>
    </row>
    <row customHeight="1" ht="37.8">
      <c r="D13" s="1084"/>
      <c r="E13" s="1083"/>
      <c r="F13" s="2364"/>
      <c r="G13" s="2364"/>
      <c r="H13" s="2596"/>
      <c r="I13" s="2596"/>
      <c r="J13" s="2597"/>
      <c r="K13" s="2597"/>
      <c r="L13" s="2597"/>
      <c r="M13" s="2597"/>
      <c r="N13" s="2597"/>
      <c r="O13" s="2368" t="s">
        <v>1430</v>
      </c>
      <c r="P13" s="2368"/>
      <c r="Q13" s="2368"/>
      <c r="R13" s="2368"/>
      <c r="S13" s="2495" t="s">
        <v>1431</v>
      </c>
      <c r="T13" s="2547"/>
      <c r="U13" s="2286" t="s">
        <v>1432</v>
      </c>
      <c r="V13" s="2286"/>
      <c r="W13" s="2286"/>
      <c r="X13" s="2286"/>
      <c r="Y13" s="2286" t="s">
        <v>1433</v>
      </c>
      <c r="Z13" s="2286"/>
      <c r="AA13" s="2286"/>
      <c r="AB13" s="2286"/>
      <c r="AC13" s="2593"/>
      <c r="AD13" s="2593"/>
      <c r="AE13" s="2593"/>
      <c r="AF13" s="2593"/>
      <c r="AG13" s="2593"/>
      <c r="AH13" s="2593"/>
      <c r="AI13" s="2593"/>
      <c r="AJ13" s="2593"/>
      <c r="AK13" s="2593"/>
      <c r="AL13" s="2593"/>
      <c r="AM13" s="2593"/>
      <c r="AN13" s="2593"/>
      <c r="AO13" s="2593"/>
      <c r="AP13" s="2593"/>
      <c r="AQ13" s="2593"/>
      <c r="AR13" s="2593"/>
      <c r="AS13" s="2593"/>
      <c r="AT13" s="2593"/>
      <c r="AU13" s="2593"/>
      <c r="AV13" s="2593"/>
      <c r="AW13" s="2593"/>
      <c r="AX13" s="2593"/>
      <c r="AY13" s="2593"/>
      <c r="AZ13" s="2593"/>
      <c r="BA13" s="2593"/>
      <c r="BB13" s="2593"/>
      <c r="BC13" s="2593"/>
      <c r="BD13" s="2593"/>
      <c r="BE13" s="2593"/>
      <c r="BF13" s="2593"/>
      <c r="BG13" s="2593"/>
      <c r="BH13" s="2593"/>
      <c r="BI13" s="2593"/>
      <c r="BJ13" s="2593"/>
      <c r="BK13" s="2593"/>
      <c r="BL13" s="2593"/>
      <c r="BM13" s="2593"/>
      <c r="BN13" s="2593"/>
      <c r="BO13" s="2593"/>
      <c r="BP13" s="2593"/>
      <c r="BQ13" s="2593"/>
      <c r="BR13" s="2593"/>
      <c r="BS13" s="2612"/>
      <c r="BT13" s="2495" t="s">
        <v>1434</v>
      </c>
      <c r="BU13" s="2547"/>
      <c r="BV13" s="2495" t="s">
        <v>1435</v>
      </c>
      <c r="BW13" s="2547"/>
      <c r="BX13" s="2495" t="s">
        <v>1436</v>
      </c>
      <c r="BY13" s="2547"/>
      <c r="BZ13" s="2495" t="s">
        <v>1437</v>
      </c>
      <c r="CA13" s="2547"/>
      <c r="CB13" s="2495" t="s">
        <v>1438</v>
      </c>
      <c r="CC13" s="2547"/>
      <c r="CD13" s="2495" t="s">
        <v>1439</v>
      </c>
      <c r="CE13" s="2547"/>
      <c r="CF13" s="2495" t="s">
        <v>1440</v>
      </c>
      <c r="CG13" s="2547"/>
      <c r="CH13" s="2545" t="s">
        <v>1441</v>
      </c>
      <c r="CI13" s="2546"/>
      <c r="CJ13" s="2546"/>
      <c r="CK13" s="2592"/>
      <c r="CL13" s="2595"/>
      <c r="CM13" s="2593"/>
      <c r="CN13" s="2593"/>
      <c r="CO13" s="2593"/>
      <c r="CP13" s="2593"/>
      <c r="CQ13" s="2593"/>
      <c r="CR13" s="2593"/>
      <c r="CS13" s="2593"/>
      <c r="CT13" s="2593"/>
      <c r="CU13" s="2593"/>
      <c r="CV13" s="2593"/>
      <c r="CW13" s="2593"/>
      <c r="CX13" s="2612"/>
      <c r="CY13" s="2495" t="s">
        <v>1442</v>
      </c>
      <c r="CZ13" s="2547"/>
      <c r="DA13" s="2495" t="s">
        <v>1443</v>
      </c>
      <c r="DB13" s="2547"/>
      <c r="DC13" s="2495" t="s">
        <v>1444</v>
      </c>
      <c r="DD13" s="2547"/>
      <c r="DE13" s="2495" t="s">
        <v>1445</v>
      </c>
      <c r="DF13" s="2547"/>
      <c r="DG13" s="2545" t="s">
        <v>1446</v>
      </c>
      <c r="DH13" s="2546"/>
      <c r="DI13" s="2546"/>
      <c r="DJ13" s="2592"/>
      <c r="DK13" s="2595"/>
      <c r="DL13" s="2593"/>
      <c r="DM13" s="2593"/>
      <c r="DN13" s="2593"/>
      <c r="DO13" s="2593"/>
      <c r="DP13" s="2593"/>
      <c r="DQ13" s="2593"/>
      <c r="DR13" s="2593"/>
      <c r="DS13" s="2593"/>
      <c r="DT13" s="2593"/>
      <c r="DU13" s="2593"/>
      <c r="DV13" s="2593"/>
      <c r="DW13" s="2593"/>
      <c r="DX13" s="2593"/>
      <c r="DY13" s="2593"/>
      <c r="DZ13" s="2593"/>
      <c r="EA13" s="2593"/>
      <c r="EB13" s="2593"/>
      <c r="EC13" s="2593"/>
      <c r="ED13" s="2593"/>
      <c r="EE13" s="2593"/>
      <c r="EF13" s="2593"/>
      <c r="EG13" s="2593"/>
      <c r="EH13" s="2593"/>
      <c r="EI13" s="2593"/>
      <c r="EJ13" s="2593"/>
      <c r="EK13" s="2593"/>
      <c r="EL13" s="2593"/>
      <c r="EM13" s="2593"/>
      <c r="EN13" s="2593"/>
      <c r="EO13" s="2593"/>
      <c r="EP13" s="2593"/>
      <c r="EQ13" s="2593"/>
      <c r="ER13" s="2593"/>
      <c r="ES13" s="2593"/>
      <c r="ET13" s="2593"/>
      <c r="EU13" s="2593"/>
      <c r="EV13" s="2593"/>
      <c r="EW13" s="2593"/>
      <c r="EX13" s="2593"/>
      <c r="EY13" s="2593"/>
      <c r="EZ13" s="2593"/>
      <c r="FA13" s="2593"/>
      <c r="FB13" s="2593"/>
      <c r="FC13" s="2593"/>
      <c r="FD13" s="2593"/>
      <c r="FE13" s="2593"/>
      <c r="FF13" s="2593"/>
      <c r="FG13" s="2593"/>
      <c r="FH13" s="2593"/>
      <c r="FI13" s="2593"/>
      <c r="FJ13" s="2593"/>
      <c r="FK13" s="2593"/>
      <c r="FL13" s="2593"/>
      <c r="FM13" s="2593"/>
      <c r="FN13" s="2593"/>
      <c r="FO13" s="2593"/>
      <c r="FP13" s="2593"/>
      <c r="FQ13" s="2593"/>
      <c r="FR13" s="2593"/>
      <c r="FS13" s="2593"/>
      <c r="FT13" s="2593"/>
      <c r="FU13" s="2593"/>
      <c r="FV13" s="2593"/>
      <c r="FW13" s="2607"/>
      <c r="FX13" s="908"/>
      <c r="GC13" s="1072">
        <v>36</v>
      </c>
    </row>
    <row customHeight="1" ht="37.8">
      <c r="D14" s="1084"/>
      <c r="E14" s="1083"/>
      <c r="F14" s="2364"/>
      <c r="G14" s="2364"/>
      <c r="H14" s="2596"/>
      <c r="I14" s="2596"/>
      <c r="J14" s="2597"/>
      <c r="K14" s="2597"/>
      <c r="L14" s="2597"/>
      <c r="M14" s="2597"/>
      <c r="N14" s="2597"/>
      <c r="O14" s="2495" t="s">
        <v>1447</v>
      </c>
      <c r="P14" s="2547"/>
      <c r="Q14" s="2495" t="s">
        <v>1448</v>
      </c>
      <c r="R14" s="2547"/>
      <c r="S14" s="2496"/>
      <c r="T14" s="2372"/>
      <c r="U14" s="2495" t="s">
        <v>900</v>
      </c>
      <c r="V14" s="2547"/>
      <c r="W14" s="2495" t="s">
        <v>903</v>
      </c>
      <c r="X14" s="2547"/>
      <c r="Y14" s="2495" t="s">
        <v>900</v>
      </c>
      <c r="Z14" s="2547"/>
      <c r="AA14" s="2495" t="s">
        <v>910</v>
      </c>
      <c r="AB14" s="2547"/>
      <c r="AC14" s="2593"/>
      <c r="AD14" s="2593"/>
      <c r="AE14" s="2593"/>
      <c r="AF14" s="2593"/>
      <c r="AG14" s="2593"/>
      <c r="AH14" s="2593"/>
      <c r="AI14" s="2593"/>
      <c r="AJ14" s="2593"/>
      <c r="AK14" s="2593"/>
      <c r="AL14" s="2593"/>
      <c r="AM14" s="2593"/>
      <c r="AN14" s="2593"/>
      <c r="AO14" s="2593"/>
      <c r="AP14" s="2593"/>
      <c r="AQ14" s="2593"/>
      <c r="AR14" s="2593"/>
      <c r="AS14" s="2593"/>
      <c r="AT14" s="2593"/>
      <c r="AU14" s="2593"/>
      <c r="AV14" s="2593"/>
      <c r="AW14" s="2593"/>
      <c r="AX14" s="2593"/>
      <c r="AY14" s="2593"/>
      <c r="AZ14" s="2593"/>
      <c r="BA14" s="2593"/>
      <c r="BB14" s="2593"/>
      <c r="BC14" s="2593"/>
      <c r="BD14" s="2593"/>
      <c r="BE14" s="2593"/>
      <c r="BF14" s="2593"/>
      <c r="BG14" s="2593"/>
      <c r="BH14" s="2593"/>
      <c r="BI14" s="2593"/>
      <c r="BJ14" s="2593"/>
      <c r="BK14" s="2593"/>
      <c r="BL14" s="2593"/>
      <c r="BM14" s="2593"/>
      <c r="BN14" s="2593"/>
      <c r="BO14" s="2593"/>
      <c r="BP14" s="2593"/>
      <c r="BQ14" s="2593"/>
      <c r="BR14" s="2593"/>
      <c r="BS14" s="2612"/>
      <c r="BT14" s="2496"/>
      <c r="BU14" s="2372"/>
      <c r="BV14" s="2496"/>
      <c r="BW14" s="2372"/>
      <c r="BX14" s="2496"/>
      <c r="BY14" s="2372"/>
      <c r="BZ14" s="2496"/>
      <c r="CA14" s="2372"/>
      <c r="CB14" s="2496"/>
      <c r="CC14" s="2372"/>
      <c r="CD14" s="2496"/>
      <c r="CE14" s="2372"/>
      <c r="CF14" s="2496"/>
      <c r="CG14" s="2372"/>
      <c r="CH14" s="2495" t="s">
        <v>1449</v>
      </c>
      <c r="CI14" s="2547"/>
      <c r="CJ14" s="2495" t="s">
        <v>1450</v>
      </c>
      <c r="CK14" s="2547"/>
      <c r="CL14" s="2595"/>
      <c r="CM14" s="2593"/>
      <c r="CN14" s="2593"/>
      <c r="CO14" s="2593"/>
      <c r="CP14" s="2593"/>
      <c r="CQ14" s="2593"/>
      <c r="CR14" s="2593"/>
      <c r="CS14" s="2593"/>
      <c r="CT14" s="2593"/>
      <c r="CU14" s="2593"/>
      <c r="CV14" s="2593"/>
      <c r="CW14" s="2593"/>
      <c r="CX14" s="2612"/>
      <c r="CY14" s="2496"/>
      <c r="CZ14" s="2372"/>
      <c r="DA14" s="2496"/>
      <c r="DB14" s="2372"/>
      <c r="DC14" s="2496"/>
      <c r="DD14" s="2372"/>
      <c r="DE14" s="2496"/>
      <c r="DF14" s="2372"/>
      <c r="DG14" s="2495" t="s">
        <v>1451</v>
      </c>
      <c r="DH14" s="2547"/>
      <c r="DI14" s="2495" t="s">
        <v>1452</v>
      </c>
      <c r="DJ14" s="2547"/>
      <c r="DK14" s="2595"/>
      <c r="DL14" s="2593"/>
      <c r="DM14" s="2593"/>
      <c r="DN14" s="2593"/>
      <c r="DO14" s="2593"/>
      <c r="DP14" s="2593"/>
      <c r="DQ14" s="2593"/>
      <c r="DR14" s="2593"/>
      <c r="DS14" s="2593"/>
      <c r="DT14" s="2593"/>
      <c r="DU14" s="2593"/>
      <c r="DV14" s="2593"/>
      <c r="DW14" s="2593"/>
      <c r="DX14" s="2593"/>
      <c r="DY14" s="2593"/>
      <c r="DZ14" s="2593"/>
      <c r="EA14" s="2593"/>
      <c r="EB14" s="2593"/>
      <c r="EC14" s="2593"/>
      <c r="ED14" s="2593"/>
      <c r="EE14" s="2593"/>
      <c r="EF14" s="2593"/>
      <c r="EG14" s="2593"/>
      <c r="EH14" s="2593"/>
      <c r="EI14" s="2593"/>
      <c r="EJ14" s="2593"/>
      <c r="EK14" s="2593"/>
      <c r="EL14" s="2593"/>
      <c r="EM14" s="2593"/>
      <c r="EN14" s="2593"/>
      <c r="EO14" s="2593"/>
      <c r="EP14" s="2593"/>
      <c r="EQ14" s="2593"/>
      <c r="ER14" s="2593"/>
      <c r="ES14" s="2593"/>
      <c r="ET14" s="2593"/>
      <c r="EU14" s="2593"/>
      <c r="EV14" s="2593"/>
      <c r="EW14" s="2593"/>
      <c r="EX14" s="2593"/>
      <c r="EY14" s="2593"/>
      <c r="EZ14" s="2593"/>
      <c r="FA14" s="2593"/>
      <c r="FB14" s="2593"/>
      <c r="FC14" s="2593"/>
      <c r="FD14" s="2593"/>
      <c r="FE14" s="2593"/>
      <c r="FF14" s="2593"/>
      <c r="FG14" s="2593"/>
      <c r="FH14" s="2593"/>
      <c r="FI14" s="2593"/>
      <c r="FJ14" s="2593"/>
      <c r="FK14" s="2593"/>
      <c r="FL14" s="2593"/>
      <c r="FM14" s="2593"/>
      <c r="FN14" s="2593"/>
      <c r="FO14" s="2593"/>
      <c r="FP14" s="2593"/>
      <c r="FQ14" s="2593"/>
      <c r="FR14" s="2593"/>
      <c r="FS14" s="2593"/>
      <c r="FT14" s="2593"/>
      <c r="FU14" s="2593"/>
      <c r="FV14" s="2593"/>
      <c r="FW14" s="2607"/>
      <c r="FX14" s="908"/>
      <c r="GC14" s="1072">
        <v>36</v>
      </c>
    </row>
    <row customHeight="1" ht="37.8">
      <c r="D15" s="1084"/>
      <c r="E15" s="1083"/>
      <c r="F15" s="2364"/>
      <c r="G15" s="2364"/>
      <c r="H15" s="2596"/>
      <c r="I15" s="2596"/>
      <c r="J15" s="2597"/>
      <c r="K15" s="2597"/>
      <c r="L15" s="2597"/>
      <c r="M15" s="2597"/>
      <c r="N15" s="2597"/>
      <c r="O15" s="2497"/>
      <c r="P15" s="2594"/>
      <c r="Q15" s="2497"/>
      <c r="R15" s="2594"/>
      <c r="S15" s="2497"/>
      <c r="T15" s="2594"/>
      <c r="U15" s="2497"/>
      <c r="V15" s="2594"/>
      <c r="W15" s="2497"/>
      <c r="X15" s="2594"/>
      <c r="Y15" s="2497"/>
      <c r="Z15" s="2594"/>
      <c r="AA15" s="2497"/>
      <c r="AB15" s="2594"/>
      <c r="AC15" s="2593"/>
      <c r="AD15" s="2593"/>
      <c r="AE15" s="2593"/>
      <c r="AF15" s="2593"/>
      <c r="AG15" s="2593"/>
      <c r="AH15" s="2593"/>
      <c r="AI15" s="2593"/>
      <c r="AJ15" s="2593"/>
      <c r="AK15" s="2593"/>
      <c r="AL15" s="2593"/>
      <c r="AM15" s="2593"/>
      <c r="AN15" s="2593"/>
      <c r="AO15" s="2593"/>
      <c r="AP15" s="2593"/>
      <c r="AQ15" s="2593"/>
      <c r="AR15" s="2593"/>
      <c r="AS15" s="2593"/>
      <c r="AT15" s="2593"/>
      <c r="AU15" s="2593"/>
      <c r="AV15" s="2593"/>
      <c r="AW15" s="2593"/>
      <c r="AX15" s="2593"/>
      <c r="AY15" s="2593"/>
      <c r="AZ15" s="2593"/>
      <c r="BA15" s="2593"/>
      <c r="BB15" s="2593"/>
      <c r="BC15" s="2593"/>
      <c r="BD15" s="2593"/>
      <c r="BE15" s="2593"/>
      <c r="BF15" s="2593"/>
      <c r="BG15" s="2593"/>
      <c r="BH15" s="2593"/>
      <c r="BI15" s="2593"/>
      <c r="BJ15" s="2593"/>
      <c r="BK15" s="2593"/>
      <c r="BL15" s="2593"/>
      <c r="BM15" s="2593"/>
      <c r="BN15" s="2593"/>
      <c r="BO15" s="2593"/>
      <c r="BP15" s="2593"/>
      <c r="BQ15" s="2593"/>
      <c r="BR15" s="2593"/>
      <c r="BS15" s="2612"/>
      <c r="BT15" s="2497"/>
      <c r="BU15" s="2594"/>
      <c r="BV15" s="2497"/>
      <c r="BW15" s="2594"/>
      <c r="BX15" s="2497"/>
      <c r="BY15" s="2594"/>
      <c r="BZ15" s="2497"/>
      <c r="CA15" s="2594"/>
      <c r="CB15" s="2497"/>
      <c r="CC15" s="2594"/>
      <c r="CD15" s="2497"/>
      <c r="CE15" s="2594"/>
      <c r="CF15" s="2497"/>
      <c r="CG15" s="2594"/>
      <c r="CH15" s="2497"/>
      <c r="CI15" s="2594"/>
      <c r="CJ15" s="2497"/>
      <c r="CK15" s="2594"/>
      <c r="CL15" s="2595"/>
      <c r="CM15" s="2593"/>
      <c r="CN15" s="2593"/>
      <c r="CO15" s="2593"/>
      <c r="CP15" s="2593"/>
      <c r="CQ15" s="2593"/>
      <c r="CR15" s="2593"/>
      <c r="CS15" s="2593"/>
      <c r="CT15" s="2593"/>
      <c r="CU15" s="2593"/>
      <c r="CV15" s="2593"/>
      <c r="CW15" s="2593"/>
      <c r="CX15" s="2612"/>
      <c r="CY15" s="2497"/>
      <c r="CZ15" s="2594"/>
      <c r="DA15" s="2497"/>
      <c r="DB15" s="2594"/>
      <c r="DC15" s="2497"/>
      <c r="DD15" s="2594"/>
      <c r="DE15" s="2497"/>
      <c r="DF15" s="2594"/>
      <c r="DG15" s="2497"/>
      <c r="DH15" s="2594"/>
      <c r="DI15" s="2497"/>
      <c r="DJ15" s="2594"/>
      <c r="DK15" s="2595"/>
      <c r="DL15" s="2593"/>
      <c r="DM15" s="2593"/>
      <c r="DN15" s="2593"/>
      <c r="DO15" s="2593"/>
      <c r="DP15" s="2593"/>
      <c r="DQ15" s="2593"/>
      <c r="DR15" s="2593"/>
      <c r="DS15" s="2593"/>
      <c r="DT15" s="2593"/>
      <c r="DU15" s="2593"/>
      <c r="DV15" s="2593"/>
      <c r="DW15" s="2593"/>
      <c r="DX15" s="2593"/>
      <c r="DY15" s="2593"/>
      <c r="DZ15" s="2593"/>
      <c r="EA15" s="2593"/>
      <c r="EB15" s="2593"/>
      <c r="EC15" s="2593"/>
      <c r="ED15" s="2593"/>
      <c r="EE15" s="2593"/>
      <c r="EF15" s="2593"/>
      <c r="EG15" s="2593"/>
      <c r="EH15" s="2593"/>
      <c r="EI15" s="2593"/>
      <c r="EJ15" s="2593"/>
      <c r="EK15" s="2593"/>
      <c r="EL15" s="2593"/>
      <c r="EM15" s="2593"/>
      <c r="EN15" s="2593"/>
      <c r="EO15" s="2593"/>
      <c r="EP15" s="2593"/>
      <c r="EQ15" s="2593"/>
      <c r="ER15" s="2593"/>
      <c r="ES15" s="2593"/>
      <c r="ET15" s="2593"/>
      <c r="EU15" s="2593"/>
      <c r="EV15" s="2593"/>
      <c r="EW15" s="2593"/>
      <c r="EX15" s="2593"/>
      <c r="EY15" s="2593"/>
      <c r="EZ15" s="2593"/>
      <c r="FA15" s="2593"/>
      <c r="FB15" s="2593"/>
      <c r="FC15" s="2593"/>
      <c r="FD15" s="2593"/>
      <c r="FE15" s="2593"/>
      <c r="FF15" s="2593"/>
      <c r="FG15" s="2593"/>
      <c r="FH15" s="2593"/>
      <c r="FI15" s="2593"/>
      <c r="FJ15" s="2593"/>
      <c r="FK15" s="2593"/>
      <c r="FL15" s="2593"/>
      <c r="FM15" s="2593"/>
      <c r="FN15" s="2593"/>
      <c r="FO15" s="2593"/>
      <c r="FP15" s="2593"/>
      <c r="FQ15" s="2593"/>
      <c r="FR15" s="2593"/>
      <c r="FS15" s="2593"/>
      <c r="FT15" s="2593"/>
      <c r="FU15" s="2593"/>
      <c r="FV15" s="2593"/>
      <c r="FW15" s="2607"/>
      <c r="FX15" s="908"/>
      <c r="GC15" s="1072">
        <v>36</v>
      </c>
    </row>
    <row customHeight="1" ht="12.75">
      <c r="D16" s="1084"/>
      <c r="E16" s="1083"/>
      <c r="F16" s="2364"/>
      <c r="G16" s="2364"/>
      <c r="H16" s="2596"/>
      <c r="I16" s="2596"/>
      <c r="J16" s="2597"/>
      <c r="K16" s="2597"/>
      <c r="L16" s="2597"/>
      <c r="M16" s="2597"/>
      <c r="N16" s="2597"/>
      <c r="O16" s="2545" t="s">
        <v>890</v>
      </c>
      <c r="P16" s="2592"/>
      <c r="Q16" s="2545" t="s">
        <v>892</v>
      </c>
      <c r="R16" s="2592"/>
      <c r="S16" s="2545" t="s">
        <v>896</v>
      </c>
      <c r="T16" s="2592"/>
      <c r="U16" s="2545" t="s">
        <v>901</v>
      </c>
      <c r="V16" s="2592"/>
      <c r="W16" s="2545" t="s">
        <v>904</v>
      </c>
      <c r="X16" s="2592"/>
      <c r="Y16" s="2545" t="s">
        <v>908</v>
      </c>
      <c r="Z16" s="2592"/>
      <c r="AA16" s="2545" t="s">
        <v>911</v>
      </c>
      <c r="AB16" s="2592"/>
      <c r="AC16" s="2593"/>
      <c r="AD16" s="2593"/>
      <c r="AE16" s="2593"/>
      <c r="AF16" s="2593"/>
      <c r="AG16" s="2593"/>
      <c r="AH16" s="2593"/>
      <c r="AI16" s="2593"/>
      <c r="AJ16" s="2593"/>
      <c r="AK16" s="2593"/>
      <c r="AL16" s="2593"/>
      <c r="AM16" s="2593"/>
      <c r="AN16" s="2593"/>
      <c r="AO16" s="2593"/>
      <c r="AP16" s="2593"/>
      <c r="AQ16" s="2593"/>
      <c r="AR16" s="2593"/>
      <c r="AS16" s="2593"/>
      <c r="AT16" s="2593"/>
      <c r="AU16" s="2593"/>
      <c r="AV16" s="2593"/>
      <c r="AW16" s="2593"/>
      <c r="AX16" s="2593"/>
      <c r="AY16" s="2593"/>
      <c r="AZ16" s="2593"/>
      <c r="BA16" s="2593"/>
      <c r="BB16" s="2593"/>
      <c r="BC16" s="2593"/>
      <c r="BD16" s="2593"/>
      <c r="BE16" s="2593"/>
      <c r="BF16" s="2593"/>
      <c r="BG16" s="2593"/>
      <c r="BH16" s="2593"/>
      <c r="BI16" s="2593"/>
      <c r="BJ16" s="2593"/>
      <c r="BK16" s="2593"/>
      <c r="BL16" s="2593"/>
      <c r="BM16" s="2593"/>
      <c r="BN16" s="2593"/>
      <c r="BO16" s="2593"/>
      <c r="BP16" s="2593"/>
      <c r="BQ16" s="2593"/>
      <c r="BR16" s="2593"/>
      <c r="BS16" s="2612"/>
      <c r="BT16" s="2545" t="s">
        <v>580</v>
      </c>
      <c r="BU16" s="2592"/>
      <c r="BV16" s="2545" t="s">
        <v>580</v>
      </c>
      <c r="BW16" s="2592"/>
      <c r="BX16" s="2545" t="s">
        <v>580</v>
      </c>
      <c r="BY16" s="2592"/>
      <c r="BZ16" s="2545" t="s">
        <v>580</v>
      </c>
      <c r="CA16" s="2592"/>
      <c r="CB16" s="2545" t="s">
        <v>1453</v>
      </c>
      <c r="CC16" s="2592"/>
      <c r="CD16" s="2545" t="s">
        <v>580</v>
      </c>
      <c r="CE16" s="2592"/>
      <c r="CF16" s="2545" t="s">
        <v>1454</v>
      </c>
      <c r="CG16" s="2592"/>
      <c r="CH16" s="2545" t="s">
        <v>1455</v>
      </c>
      <c r="CI16" s="2592"/>
      <c r="CJ16" s="2545" t="s">
        <v>1455</v>
      </c>
      <c r="CK16" s="2592"/>
      <c r="CL16" s="2595"/>
      <c r="CM16" s="2593"/>
      <c r="CN16" s="2593"/>
      <c r="CO16" s="2593"/>
      <c r="CP16" s="2593"/>
      <c r="CQ16" s="2593"/>
      <c r="CR16" s="2593"/>
      <c r="CS16" s="2593"/>
      <c r="CT16" s="2593"/>
      <c r="CU16" s="2593"/>
      <c r="CV16" s="2593"/>
      <c r="CW16" s="2593"/>
      <c r="CX16" s="2612"/>
      <c r="CY16" s="2495" t="s">
        <v>580</v>
      </c>
      <c r="CZ16" s="2547"/>
      <c r="DA16" s="2495" t="s">
        <v>580</v>
      </c>
      <c r="DB16" s="2547"/>
      <c r="DC16" s="2495" t="s">
        <v>580</v>
      </c>
      <c r="DD16" s="2547"/>
      <c r="DE16" s="2545" t="s">
        <v>1453</v>
      </c>
      <c r="DF16" s="2592"/>
      <c r="DG16" s="2545" t="s">
        <v>1456</v>
      </c>
      <c r="DH16" s="2592"/>
      <c r="DI16" s="2545" t="s">
        <v>1456</v>
      </c>
      <c r="DJ16" s="2592"/>
      <c r="DK16" s="2595"/>
      <c r="DL16" s="2593"/>
      <c r="DM16" s="2593"/>
      <c r="DN16" s="2593"/>
      <c r="DO16" s="2593"/>
      <c r="DP16" s="2593"/>
      <c r="DQ16" s="2593"/>
      <c r="DR16" s="2593"/>
      <c r="DS16" s="2593"/>
      <c r="DT16" s="2593"/>
      <c r="DU16" s="2593"/>
      <c r="DV16" s="2593"/>
      <c r="DW16" s="2593"/>
      <c r="DX16" s="2593"/>
      <c r="DY16" s="2593"/>
      <c r="DZ16" s="2593"/>
      <c r="EA16" s="2593"/>
      <c r="EB16" s="2593"/>
      <c r="EC16" s="2593"/>
      <c r="ED16" s="2593"/>
      <c r="EE16" s="2593"/>
      <c r="EF16" s="2593"/>
      <c r="EG16" s="2593"/>
      <c r="EH16" s="2593"/>
      <c r="EI16" s="2593"/>
      <c r="EJ16" s="2593"/>
      <c r="EK16" s="2593"/>
      <c r="EL16" s="2593"/>
      <c r="EM16" s="2593"/>
      <c r="EN16" s="2593"/>
      <c r="EO16" s="2593"/>
      <c r="EP16" s="2593"/>
      <c r="EQ16" s="2593"/>
      <c r="ER16" s="2593"/>
      <c r="ES16" s="2593"/>
      <c r="ET16" s="2593"/>
      <c r="EU16" s="2593"/>
      <c r="EV16" s="2593"/>
      <c r="EW16" s="2593"/>
      <c r="EX16" s="2593"/>
      <c r="EY16" s="2593"/>
      <c r="EZ16" s="2593"/>
      <c r="FA16" s="2593"/>
      <c r="FB16" s="2593"/>
      <c r="FC16" s="2593"/>
      <c r="FD16" s="2593"/>
      <c r="FE16" s="2593"/>
      <c r="FF16" s="2593"/>
      <c r="FG16" s="2593"/>
      <c r="FH16" s="2593"/>
      <c r="FI16" s="2593"/>
      <c r="FJ16" s="2593"/>
      <c r="FK16" s="2593"/>
      <c r="FL16" s="2593"/>
      <c r="FM16" s="2593"/>
      <c r="FN16" s="2593"/>
      <c r="FO16" s="2593"/>
      <c r="FP16" s="2593"/>
      <c r="FQ16" s="2593"/>
      <c r="FR16" s="2593"/>
      <c r="FS16" s="2593"/>
      <c r="FT16" s="2593"/>
      <c r="FU16" s="2593"/>
      <c r="FV16" s="2593"/>
      <c r="FW16" s="2607"/>
      <c r="FX16" s="908"/>
      <c r="GC16" s="1072">
        <v>12</v>
      </c>
    </row>
    <row customHeight="1" ht="15.75">
      <c r="E17" s="1083"/>
      <c r="F17" s="2364"/>
      <c r="G17" s="2364"/>
      <c r="H17" s="2596"/>
      <c r="I17" s="2596"/>
      <c r="J17" s="2597"/>
      <c r="K17" s="2597"/>
      <c r="L17" s="2597"/>
      <c r="M17" s="2597"/>
      <c r="N17" s="2597"/>
      <c r="O17" s="1337" t="s">
        <v>1457</v>
      </c>
      <c r="P17" s="1337" t="s">
        <v>1458</v>
      </c>
      <c r="Q17" s="1337" t="s">
        <v>1457</v>
      </c>
      <c r="R17" s="1337" t="s">
        <v>1458</v>
      </c>
      <c r="S17" s="1337" t="s">
        <v>1457</v>
      </c>
      <c r="T17" s="1337" t="s">
        <v>1458</v>
      </c>
      <c r="U17" s="1337" t="s">
        <v>1457</v>
      </c>
      <c r="V17" s="1337" t="s">
        <v>1458</v>
      </c>
      <c r="W17" s="1337" t="s">
        <v>1457</v>
      </c>
      <c r="X17" s="1337" t="s">
        <v>1458</v>
      </c>
      <c r="Y17" s="1337" t="s">
        <v>1457</v>
      </c>
      <c r="Z17" s="1337" t="s">
        <v>1458</v>
      </c>
      <c r="AA17" s="1337" t="s">
        <v>1457</v>
      </c>
      <c r="AB17" s="1337" t="s">
        <v>1458</v>
      </c>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3"/>
      <c r="AZ17" s="2593"/>
      <c r="BA17" s="2593"/>
      <c r="BB17" s="2593"/>
      <c r="BC17" s="2593"/>
      <c r="BD17" s="2593"/>
      <c r="BE17" s="2593"/>
      <c r="BF17" s="2593"/>
      <c r="BG17" s="2593"/>
      <c r="BH17" s="2593"/>
      <c r="BI17" s="2593"/>
      <c r="BJ17" s="2593"/>
      <c r="BK17" s="2593"/>
      <c r="BL17" s="2593"/>
      <c r="BM17" s="2593"/>
      <c r="BN17" s="2593"/>
      <c r="BO17" s="2593"/>
      <c r="BP17" s="2593"/>
      <c r="BQ17" s="2593"/>
      <c r="BR17" s="2593"/>
      <c r="BS17" s="2612"/>
      <c r="BT17" s="1337" t="s">
        <v>1457</v>
      </c>
      <c r="BU17" s="1337" t="s">
        <v>1458</v>
      </c>
      <c r="BV17" s="1337" t="s">
        <v>1457</v>
      </c>
      <c r="BW17" s="1337" t="s">
        <v>1458</v>
      </c>
      <c r="BX17" s="1337" t="s">
        <v>1457</v>
      </c>
      <c r="BY17" s="1337" t="s">
        <v>1458</v>
      </c>
      <c r="BZ17" s="1337" t="s">
        <v>1457</v>
      </c>
      <c r="CA17" s="1337" t="s">
        <v>1458</v>
      </c>
      <c r="CB17" s="1337" t="s">
        <v>1457</v>
      </c>
      <c r="CC17" s="1337" t="s">
        <v>1458</v>
      </c>
      <c r="CD17" s="1337" t="s">
        <v>1457</v>
      </c>
      <c r="CE17" s="1337" t="s">
        <v>1458</v>
      </c>
      <c r="CF17" s="1337" t="s">
        <v>1457</v>
      </c>
      <c r="CG17" s="1337" t="s">
        <v>1458</v>
      </c>
      <c r="CH17" s="1337" t="s">
        <v>1457</v>
      </c>
      <c r="CI17" s="1337" t="s">
        <v>1458</v>
      </c>
      <c r="CJ17" s="1337" t="s">
        <v>1457</v>
      </c>
      <c r="CK17" s="1337" t="s">
        <v>1458</v>
      </c>
      <c r="CL17" s="2595"/>
      <c r="CM17" s="2593"/>
      <c r="CN17" s="2593"/>
      <c r="CO17" s="2593"/>
      <c r="CP17" s="2593"/>
      <c r="CQ17" s="2593"/>
      <c r="CR17" s="2593"/>
      <c r="CS17" s="2593"/>
      <c r="CT17" s="2593"/>
      <c r="CU17" s="2593"/>
      <c r="CV17" s="2593"/>
      <c r="CW17" s="2593"/>
      <c r="CX17" s="2612"/>
      <c r="CY17" s="1337" t="s">
        <v>1457</v>
      </c>
      <c r="CZ17" s="1337" t="s">
        <v>1458</v>
      </c>
      <c r="DA17" s="1337" t="s">
        <v>1457</v>
      </c>
      <c r="DB17" s="1337" t="s">
        <v>1458</v>
      </c>
      <c r="DC17" s="1337" t="s">
        <v>1457</v>
      </c>
      <c r="DD17" s="1337" t="s">
        <v>1458</v>
      </c>
      <c r="DE17" s="1337" t="s">
        <v>1457</v>
      </c>
      <c r="DF17" s="1337" t="s">
        <v>1458</v>
      </c>
      <c r="DG17" s="1337" t="s">
        <v>1457</v>
      </c>
      <c r="DH17" s="1337" t="s">
        <v>1458</v>
      </c>
      <c r="DI17" s="1337" t="s">
        <v>1457</v>
      </c>
      <c r="DJ17" s="1337" t="s">
        <v>1458</v>
      </c>
      <c r="DK17" s="2595"/>
      <c r="DL17" s="2593"/>
      <c r="DM17" s="2593"/>
      <c r="DN17" s="2593"/>
      <c r="DO17" s="2593"/>
      <c r="DP17" s="2593"/>
      <c r="DQ17" s="2593"/>
      <c r="DR17" s="2593"/>
      <c r="DS17" s="2593"/>
      <c r="DT17" s="2593"/>
      <c r="DU17" s="2593"/>
      <c r="DV17" s="2593"/>
      <c r="DW17" s="2593"/>
      <c r="DX17" s="2593"/>
      <c r="DY17" s="2593"/>
      <c r="DZ17" s="2593"/>
      <c r="EA17" s="2593"/>
      <c r="EB17" s="2593"/>
      <c r="EC17" s="2593"/>
      <c r="ED17" s="2593"/>
      <c r="EE17" s="2593"/>
      <c r="EF17" s="2593"/>
      <c r="EG17" s="2593"/>
      <c r="EH17" s="2593"/>
      <c r="EI17" s="2593"/>
      <c r="EJ17" s="2593"/>
      <c r="EK17" s="2593"/>
      <c r="EL17" s="2593"/>
      <c r="EM17" s="2593"/>
      <c r="EN17" s="2593"/>
      <c r="EO17" s="2593"/>
      <c r="EP17" s="2593"/>
      <c r="EQ17" s="2593"/>
      <c r="ER17" s="2593"/>
      <c r="ES17" s="2593"/>
      <c r="ET17" s="2593"/>
      <c r="EU17" s="2593"/>
      <c r="EV17" s="2593"/>
      <c r="EW17" s="2593"/>
      <c r="EX17" s="2593"/>
      <c r="EY17" s="2593"/>
      <c r="EZ17" s="2593"/>
      <c r="FA17" s="2593"/>
      <c r="FB17" s="2593"/>
      <c r="FC17" s="2593"/>
      <c r="FD17" s="2593"/>
      <c r="FE17" s="2593"/>
      <c r="FF17" s="2593"/>
      <c r="FG17" s="2593"/>
      <c r="FH17" s="2593"/>
      <c r="FI17" s="2593"/>
      <c r="FJ17" s="2593"/>
      <c r="FK17" s="2593"/>
      <c r="FL17" s="2593"/>
      <c r="FM17" s="2593"/>
      <c r="FN17" s="2593"/>
      <c r="FO17" s="2593"/>
      <c r="FP17" s="2593"/>
      <c r="FQ17" s="2593"/>
      <c r="FR17" s="2593"/>
      <c r="FS17" s="2593"/>
      <c r="FT17" s="2593"/>
      <c r="FU17" s="2593"/>
      <c r="FV17" s="2593"/>
      <c r="FW17" s="2608"/>
      <c r="FX17" s="908"/>
      <c r="GC17" s="1072">
        <v>15</v>
      </c>
    </row>
    <row s="7070" customFormat="1" customHeight="1" ht="12" hidden="1">
      <c r="B18" s="1069"/>
      <c r="E18" s="1085"/>
      <c r="F18" s="1338"/>
      <c r="G18" s="1338"/>
      <c r="H18" s="1338"/>
      <c r="I18" s="1338"/>
      <c r="J18" s="1339"/>
      <c r="K18" s="1339"/>
      <c r="L18" s="1339"/>
      <c r="M18" s="1339"/>
      <c r="N18" s="1339"/>
      <c r="O18" s="1338"/>
      <c r="P18" s="1338"/>
      <c r="Q18" s="1338"/>
      <c r="R18" s="1338"/>
      <c r="S18" s="1338"/>
      <c r="T18" s="1338"/>
      <c r="U18" s="1340"/>
      <c r="V18" s="1340"/>
      <c r="W18" s="1340"/>
      <c r="X18" s="1340"/>
      <c r="Y18" s="1340"/>
      <c r="Z18" s="1340"/>
      <c r="AA18" s="1340"/>
      <c r="AB18" s="1338"/>
      <c r="AC18" s="1339"/>
      <c r="AD18" s="1339"/>
      <c r="AE18" s="1339"/>
      <c r="AF18" s="1339"/>
      <c r="AG18" s="1339"/>
      <c r="AH18" s="1339"/>
      <c r="AI18" s="1339"/>
      <c r="AJ18" s="1339"/>
      <c r="AK18" s="1339"/>
      <c r="AL18" s="1339"/>
      <c r="AM18" s="1339"/>
      <c r="AN18" s="1339"/>
      <c r="AO18" s="1339"/>
      <c r="AP18" s="1339"/>
      <c r="AQ18" s="1339"/>
      <c r="AR18" s="1339"/>
      <c r="AS18" s="1339"/>
      <c r="AT18" s="1339"/>
      <c r="AU18" s="1339"/>
      <c r="AV18" s="1339"/>
      <c r="AW18" s="1339"/>
      <c r="AX18" s="1339"/>
      <c r="AY18" s="1339"/>
      <c r="AZ18" s="1339"/>
      <c r="BA18" s="1339"/>
      <c r="BB18" s="1339"/>
      <c r="BC18" s="1339"/>
      <c r="BD18" s="1339"/>
      <c r="BE18" s="1339"/>
      <c r="BF18" s="1339"/>
      <c r="BG18" s="1339"/>
      <c r="BH18" s="1339"/>
      <c r="BI18" s="1339"/>
      <c r="BJ18" s="1339"/>
      <c r="BK18" s="1339"/>
      <c r="BL18" s="1339"/>
      <c r="BM18" s="1339"/>
      <c r="BN18" s="1339"/>
      <c r="BO18" s="1339"/>
      <c r="BP18" s="1339"/>
      <c r="BQ18" s="1339"/>
      <c r="BR18" s="1339"/>
      <c r="BS18" s="1339"/>
      <c r="BT18" s="1341"/>
      <c r="BU18" s="1341"/>
      <c r="BV18" s="1341"/>
      <c r="BW18" s="1341"/>
      <c r="BX18" s="1341"/>
      <c r="BY18" s="1341"/>
      <c r="BZ18" s="1341"/>
      <c r="CA18" s="1341"/>
      <c r="CB18" s="1341"/>
      <c r="CC18" s="1341"/>
      <c r="CD18" s="1341"/>
      <c r="CE18" s="1341"/>
      <c r="CF18" s="1341"/>
      <c r="CG18" s="1341"/>
      <c r="CH18" s="1341"/>
      <c r="CI18" s="1341"/>
      <c r="CJ18" s="1341"/>
      <c r="CK18" s="1341"/>
      <c r="CL18" s="1339"/>
      <c r="CM18" s="1339"/>
      <c r="CN18" s="1339"/>
      <c r="CO18" s="1339"/>
      <c r="CP18" s="1339"/>
      <c r="CQ18" s="1339"/>
      <c r="CR18" s="1339"/>
      <c r="CS18" s="1339"/>
      <c r="CT18" s="1339"/>
      <c r="CU18" s="1339"/>
      <c r="CV18" s="1339"/>
      <c r="CW18" s="1339"/>
      <c r="CX18" s="1339"/>
      <c r="CY18" s="1341"/>
      <c r="CZ18" s="1341"/>
      <c r="DA18" s="1341"/>
      <c r="DB18" s="1341"/>
      <c r="DC18" s="1341"/>
      <c r="DD18" s="1341"/>
      <c r="DE18" s="1341"/>
      <c r="DF18" s="1341"/>
      <c r="DG18" s="1341"/>
      <c r="DH18" s="1341"/>
      <c r="DI18" s="1341"/>
      <c r="DJ18" s="1341"/>
      <c r="DK18" s="1339"/>
      <c r="DL18" s="1339"/>
      <c r="DM18" s="1339"/>
      <c r="DN18" s="1339"/>
      <c r="DO18" s="1339"/>
      <c r="DP18" s="1339"/>
      <c r="DQ18" s="1339"/>
      <c r="DR18" s="1339"/>
      <c r="DS18" s="1339"/>
      <c r="DT18" s="1339"/>
      <c r="DU18" s="1339"/>
      <c r="DV18" s="1339"/>
      <c r="DW18" s="1339"/>
      <c r="DX18" s="1339"/>
      <c r="DY18" s="1339"/>
      <c r="DZ18" s="1339"/>
      <c r="EA18" s="1339"/>
      <c r="EB18" s="1339"/>
      <c r="EC18" s="1339"/>
      <c r="ED18" s="1339"/>
      <c r="EE18" s="1339"/>
      <c r="EF18" s="1339"/>
      <c r="EG18" s="1339"/>
      <c r="EH18" s="1339"/>
      <c r="EI18" s="1339"/>
      <c r="EJ18" s="1339"/>
      <c r="EK18" s="1339"/>
      <c r="EL18" s="1339"/>
      <c r="EM18" s="1339"/>
      <c r="EN18" s="1339"/>
      <c r="EO18" s="1339"/>
      <c r="EP18" s="1339"/>
      <c r="EQ18" s="1339"/>
      <c r="ER18" s="1339"/>
      <c r="ES18" s="1339"/>
      <c r="ET18" s="1339"/>
      <c r="EU18" s="1339"/>
      <c r="EV18" s="1339"/>
      <c r="EW18" s="1339"/>
      <c r="EX18" s="1339"/>
      <c r="EY18" s="1339"/>
      <c r="EZ18" s="1339"/>
      <c r="FA18" s="1339"/>
      <c r="FB18" s="1339"/>
      <c r="FC18" s="1339"/>
      <c r="FD18" s="1339"/>
      <c r="FE18" s="1339"/>
      <c r="FF18" s="1339"/>
      <c r="FG18" s="1339"/>
      <c r="FH18" s="1339"/>
      <c r="FI18" s="1339"/>
      <c r="FJ18" s="1339"/>
      <c r="FK18" s="1339"/>
      <c r="FL18" s="1339"/>
      <c r="FM18" s="1339"/>
      <c r="FN18" s="1339"/>
      <c r="FO18" s="1339"/>
      <c r="FP18" s="1339"/>
      <c r="FQ18" s="1339"/>
      <c r="FR18" s="1339"/>
      <c r="FS18" s="1339"/>
      <c r="FT18" s="1339"/>
      <c r="FU18" s="1339"/>
      <c r="FV18" s="1339"/>
      <c r="FW18" s="1338"/>
      <c r="FX18" s="1342"/>
      <c r="GC18" s="1070">
        <v>0</v>
      </c>
    </row>
    <row s="7070" customFormat="1" customHeight="1" ht="11.25" hidden="1">
      <c r="B19" s="1069"/>
      <c r="E19" s="1085"/>
      <c r="F19" s="1338"/>
      <c r="G19" s="1338"/>
      <c r="H19" s="1338"/>
      <c r="I19" s="1338"/>
      <c r="J19" s="1338"/>
      <c r="K19" s="1338"/>
      <c r="L19" s="1338"/>
      <c r="M19" s="1338"/>
      <c r="N19" s="1338"/>
      <c r="O19" s="1338"/>
      <c r="P19" s="1338"/>
      <c r="Q19" s="1338"/>
      <c r="R19" s="1338"/>
      <c r="S19" s="1338"/>
      <c r="T19" s="1338"/>
      <c r="U19" s="1340"/>
      <c r="V19" s="1340"/>
      <c r="W19" s="1340"/>
      <c r="X19" s="1340"/>
      <c r="Y19" s="1340"/>
      <c r="Z19" s="1340"/>
      <c r="AA19" s="1340"/>
      <c r="AB19" s="1338"/>
      <c r="AC19" s="1338"/>
      <c r="AD19" s="1338"/>
      <c r="AE19" s="1338"/>
      <c r="AF19" s="1338"/>
      <c r="AG19" s="1338"/>
      <c r="AH19" s="1338"/>
      <c r="AI19" s="1338"/>
      <c r="AJ19" s="1338"/>
      <c r="AK19" s="1338"/>
      <c r="AL19" s="1338"/>
      <c r="AM19" s="1338"/>
      <c r="AN19" s="1338"/>
      <c r="AO19" s="1338"/>
      <c r="AP19" s="1338"/>
      <c r="AQ19" s="1338"/>
      <c r="AR19" s="1338"/>
      <c r="AS19" s="1338"/>
      <c r="AT19" s="1338"/>
      <c r="AU19" s="1338"/>
      <c r="AV19" s="1338"/>
      <c r="AW19" s="1338"/>
      <c r="AX19" s="1338"/>
      <c r="AY19" s="1338"/>
      <c r="AZ19" s="1338"/>
      <c r="BA19" s="1338"/>
      <c r="BB19" s="1338"/>
      <c r="BC19" s="1338"/>
      <c r="BD19" s="1338"/>
      <c r="BE19" s="1338"/>
      <c r="BF19" s="1338"/>
      <c r="BG19" s="1338"/>
      <c r="BH19" s="1338"/>
      <c r="BI19" s="1338"/>
      <c r="BJ19" s="1338"/>
      <c r="BK19" s="1338"/>
      <c r="BL19" s="1338"/>
      <c r="BM19" s="1338"/>
      <c r="BN19" s="1338"/>
      <c r="BO19" s="1338"/>
      <c r="BP19" s="1338"/>
      <c r="BQ19" s="1338"/>
      <c r="BR19" s="1338"/>
      <c r="BS19" s="1338"/>
      <c r="BT19" s="1338"/>
      <c r="BU19" s="1338"/>
      <c r="BV19" s="1338"/>
      <c r="BW19" s="1338"/>
      <c r="BX19" s="1338"/>
      <c r="BY19" s="1338"/>
      <c r="BZ19" s="1338"/>
      <c r="CA19" s="1338"/>
      <c r="CB19" s="1338"/>
      <c r="CC19" s="1338"/>
      <c r="CD19" s="1338"/>
      <c r="CE19" s="1338"/>
      <c r="CF19" s="1338"/>
      <c r="CG19" s="1338"/>
      <c r="CH19" s="1338"/>
      <c r="CI19" s="1338"/>
      <c r="CJ19" s="1338"/>
      <c r="CK19" s="1338"/>
      <c r="CL19" s="1338"/>
      <c r="CM19" s="1338"/>
      <c r="CN19" s="1338"/>
      <c r="CO19" s="1338"/>
      <c r="CP19" s="1338"/>
      <c r="CQ19" s="1338"/>
      <c r="CR19" s="1338"/>
      <c r="CS19" s="1338"/>
      <c r="CT19" s="1338"/>
      <c r="CU19" s="1338"/>
      <c r="CV19" s="1338"/>
      <c r="CW19" s="1338"/>
      <c r="CX19" s="1338"/>
      <c r="CY19" s="1338"/>
      <c r="CZ19" s="1338"/>
      <c r="DA19" s="1338"/>
      <c r="DB19" s="1338"/>
      <c r="DC19" s="1338"/>
      <c r="DD19" s="1338"/>
      <c r="DE19" s="1338"/>
      <c r="DF19" s="1338"/>
      <c r="DG19" s="1338"/>
      <c r="DH19" s="1338"/>
      <c r="DI19" s="1338"/>
      <c r="DJ19" s="1338"/>
      <c r="DK19" s="1338"/>
      <c r="DL19" s="1338"/>
      <c r="DM19" s="1338"/>
      <c r="DN19" s="1338"/>
      <c r="DO19" s="1338"/>
      <c r="DP19" s="1338"/>
      <c r="DQ19" s="1338"/>
      <c r="DR19" s="1338"/>
      <c r="DS19" s="1338"/>
      <c r="DT19" s="1338"/>
      <c r="DU19" s="1338"/>
      <c r="DV19" s="1338"/>
      <c r="DW19" s="1338"/>
      <c r="DX19" s="1338"/>
      <c r="DY19" s="1338"/>
      <c r="DZ19" s="1338"/>
      <c r="EA19" s="1338"/>
      <c r="EB19" s="1338"/>
      <c r="EC19" s="1338"/>
      <c r="ED19" s="1338"/>
      <c r="EE19" s="1338"/>
      <c r="EF19" s="1338"/>
      <c r="EG19" s="1338"/>
      <c r="EH19" s="1338"/>
      <c r="EI19" s="1338"/>
      <c r="EJ19" s="1338"/>
      <c r="EK19" s="1338"/>
      <c r="EL19" s="1338"/>
      <c r="EM19" s="1338"/>
      <c r="EN19" s="1338"/>
      <c r="EO19" s="1338"/>
      <c r="EP19" s="1338"/>
      <c r="EQ19" s="1338"/>
      <c r="ER19" s="1338"/>
      <c r="ES19" s="1338"/>
      <c r="ET19" s="1338"/>
      <c r="EU19" s="1338"/>
      <c r="EV19" s="1338"/>
      <c r="EW19" s="1338"/>
      <c r="EX19" s="1338"/>
      <c r="EY19" s="1338"/>
      <c r="EZ19" s="1338"/>
      <c r="FA19" s="1338"/>
      <c r="FB19" s="1338"/>
      <c r="FC19" s="1338"/>
      <c r="FD19" s="1338"/>
      <c r="FE19" s="1338"/>
      <c r="FF19" s="1338"/>
      <c r="FG19" s="1338"/>
      <c r="FH19" s="1338"/>
      <c r="FI19" s="1338"/>
      <c r="FJ19" s="1338"/>
      <c r="FK19" s="1338"/>
      <c r="FL19" s="1338"/>
      <c r="FM19" s="1338"/>
      <c r="FN19" s="1338"/>
      <c r="FO19" s="1338"/>
      <c r="FP19" s="1338"/>
      <c r="FQ19" s="1338"/>
      <c r="FR19" s="1338"/>
      <c r="FS19" s="1338"/>
      <c r="FT19" s="1338"/>
      <c r="FU19" s="1338"/>
      <c r="FV19" s="1338"/>
      <c r="FW19" s="1338"/>
      <c r="FX19" s="1342"/>
      <c r="GC19" s="1070">
        <v>0</v>
      </c>
    </row>
    <row s="7070" customFormat="1" customHeight="1" ht="11.25" hidden="1">
      <c r="B20" s="1086"/>
      <c r="D20" s="1070"/>
      <c r="E20" s="1085"/>
      <c r="F20" s="1343" t="s">
        <v>398</v>
      </c>
      <c r="G20" s="1344"/>
      <c r="H20" s="1345"/>
      <c r="I20" s="1345"/>
      <c r="J20" s="1345"/>
      <c r="K20" s="1345"/>
      <c r="L20" s="1345"/>
      <c r="M20" s="1345"/>
      <c r="N20" s="1345"/>
      <c r="O20" s="1344"/>
      <c r="P20" s="1344"/>
      <c r="Q20" s="1344"/>
      <c r="R20" s="1344"/>
      <c r="S20" s="1344"/>
      <c r="T20" s="1344"/>
      <c r="U20" s="1346"/>
      <c r="V20" s="1346"/>
      <c r="W20" s="1346"/>
      <c r="X20" s="1346"/>
      <c r="Y20" s="1346"/>
      <c r="Z20" s="1346"/>
      <c r="AA20" s="1346"/>
      <c r="AB20" s="1344"/>
      <c r="AC20" s="1345"/>
      <c r="AD20" s="1345"/>
      <c r="AE20" s="1345"/>
      <c r="AF20" s="1345"/>
      <c r="AG20" s="1345"/>
      <c r="AH20" s="1345"/>
      <c r="AI20" s="1345"/>
      <c r="AJ20" s="1345"/>
      <c r="AK20" s="1345"/>
      <c r="AL20" s="1345"/>
      <c r="AM20" s="1345"/>
      <c r="AN20" s="1345"/>
      <c r="AO20" s="1345"/>
      <c r="AP20" s="1345"/>
      <c r="AQ20" s="1345"/>
      <c r="AR20" s="1345"/>
      <c r="AS20" s="1345"/>
      <c r="AT20" s="1345"/>
      <c r="AU20" s="1345"/>
      <c r="AV20" s="1345"/>
      <c r="AW20" s="1345"/>
      <c r="AX20" s="1345"/>
      <c r="AY20" s="1345"/>
      <c r="AZ20" s="1345"/>
      <c r="BA20" s="1345"/>
      <c r="BB20" s="1345"/>
      <c r="BC20" s="1345"/>
      <c r="BD20" s="1345"/>
      <c r="BE20" s="1345"/>
      <c r="BF20" s="1345"/>
      <c r="BG20" s="1345"/>
      <c r="BH20" s="1345"/>
      <c r="BI20" s="1345"/>
      <c r="BJ20" s="1345"/>
      <c r="BK20" s="1345"/>
      <c r="BL20" s="1345"/>
      <c r="BM20" s="1345"/>
      <c r="BN20" s="1345"/>
      <c r="BO20" s="1345"/>
      <c r="BP20" s="1345"/>
      <c r="BQ20" s="1345"/>
      <c r="BR20" s="1345"/>
      <c r="BS20" s="1345"/>
      <c r="BT20" s="1345"/>
      <c r="BU20" s="1345"/>
      <c r="BV20" s="1345"/>
      <c r="BW20" s="1345"/>
      <c r="BX20" s="1345"/>
      <c r="BY20" s="1345"/>
      <c r="BZ20" s="1345"/>
      <c r="CA20" s="1345"/>
      <c r="CB20" s="1345"/>
      <c r="CC20" s="1345"/>
      <c r="CD20" s="1345"/>
      <c r="CE20" s="1345"/>
      <c r="CF20" s="1345"/>
      <c r="CG20" s="1345"/>
      <c r="CH20" s="1345"/>
      <c r="CI20" s="1345"/>
      <c r="CJ20" s="1345"/>
      <c r="CK20" s="1345"/>
      <c r="CL20" s="1347"/>
      <c r="CM20" s="1347"/>
      <c r="CN20" s="1347"/>
      <c r="CO20" s="1347"/>
      <c r="CP20" s="1347"/>
      <c r="CQ20" s="1347"/>
      <c r="CR20" s="1347"/>
      <c r="CS20" s="1347"/>
      <c r="CT20" s="1347"/>
      <c r="CU20" s="1347"/>
      <c r="CV20" s="1347"/>
      <c r="CW20" s="1347"/>
      <c r="CX20" s="1347"/>
      <c r="CY20" s="1347"/>
      <c r="CZ20" s="1347"/>
      <c r="DA20" s="1347"/>
      <c r="DB20" s="1347"/>
      <c r="DC20" s="1347"/>
      <c r="DD20" s="1347"/>
      <c r="DE20" s="1347"/>
      <c r="DF20" s="1347"/>
      <c r="DG20" s="1347"/>
      <c r="DH20" s="1347"/>
      <c r="DI20" s="1347"/>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1347"/>
      <c r="EO20" s="1347"/>
      <c r="EP20" s="1347"/>
      <c r="EQ20" s="1347"/>
      <c r="ER20" s="1347"/>
      <c r="ES20" s="1347"/>
      <c r="ET20" s="1347"/>
      <c r="EU20" s="1347"/>
      <c r="EV20" s="1347"/>
      <c r="EW20" s="1347"/>
      <c r="EX20" s="1347"/>
      <c r="EY20" s="1347"/>
      <c r="EZ20" s="1347"/>
      <c r="FA20" s="1347"/>
      <c r="FB20" s="1347"/>
      <c r="FC20" s="1347"/>
      <c r="FD20" s="1347"/>
      <c r="FE20" s="1347"/>
      <c r="FF20" s="1347"/>
      <c r="FG20" s="1347"/>
      <c r="FH20" s="1347"/>
      <c r="FI20" s="1347"/>
      <c r="FJ20" s="1347"/>
      <c r="FK20" s="1347"/>
      <c r="FL20" s="1347"/>
      <c r="FM20" s="1347"/>
      <c r="FN20" s="1347"/>
      <c r="FO20" s="1347"/>
      <c r="FP20" s="1347"/>
      <c r="FQ20" s="1347"/>
      <c r="FR20" s="1347"/>
      <c r="FS20" s="1347"/>
      <c r="FT20" s="1347"/>
      <c r="FU20" s="1347"/>
      <c r="FV20" s="1347"/>
      <c r="FW20" s="1347"/>
      <c r="FX20" s="1348"/>
      <c r="GC20" s="1068">
        <v>0</v>
      </c>
    </row>
    <row s="7070" customFormat="1" customHeight="1" ht="21">
      <c r="A21" s="6981" t="s">
        <v>1060</v>
      </c>
      <c r="B21" s="7127"/>
      <c r="C21" s="7070"/>
      <c r="D21" s="7070"/>
      <c r="E21" s="7121" t="s">
        <v>22</v>
      </c>
      <c r="F21" s="7694" t="str">
        <f>INDEX(IP_MAIN_LIST_NAME_IP,MATCH(A21,IP_MAIN_LIST_IP_ID,0))&amp;" ("&amp;INDEX(IP_MAIN_START_DATE,MATCH(A21,IP_MAIN_LIST_IP_ID,0))&amp;"-"&amp;INDEX(IP_MAIN_END_DATE,MATCH(A21,IP_MAIN_LIST_IP_ID,0))&amp;")"</f>
        <v>Инвестиционная программа от 29.03.2019 ПАО "ТГК-14"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котельных и тепловых сетей, на территории городского округа Чита на 2019-2028 годы (29.03.2019-31.12.2028)</v>
      </c>
      <c r="G21" s="7695"/>
      <c r="H21" s="7696"/>
      <c r="I21" s="7696"/>
      <c r="J21" s="7696"/>
      <c r="K21" s="7696"/>
      <c r="L21" s="7696"/>
      <c r="M21" s="7696"/>
      <c r="N21" s="7696"/>
      <c r="O21" s="7695"/>
      <c r="P21" s="7695"/>
      <c r="Q21" s="7695"/>
      <c r="R21" s="7695"/>
      <c r="S21" s="7695"/>
      <c r="T21" s="7695"/>
      <c r="U21" s="7697"/>
      <c r="V21" s="7697"/>
      <c r="W21" s="7697"/>
      <c r="X21" s="7697"/>
      <c r="Y21" s="7697"/>
      <c r="Z21" s="7697"/>
      <c r="AA21" s="7697"/>
      <c r="AB21" s="7695"/>
      <c r="AC21" s="7696"/>
      <c r="AD21" s="7696"/>
      <c r="AE21" s="7696"/>
      <c r="AF21" s="7696"/>
      <c r="AG21" s="7696"/>
      <c r="AH21" s="7696"/>
      <c r="AI21" s="7696"/>
      <c r="AJ21" s="7696"/>
      <c r="AK21" s="7696"/>
      <c r="AL21" s="7696"/>
      <c r="AM21" s="7696"/>
      <c r="AN21" s="7696"/>
      <c r="AO21" s="7696"/>
      <c r="AP21" s="7696"/>
      <c r="AQ21" s="7696"/>
      <c r="AR21" s="7696"/>
      <c r="AS21" s="7696"/>
      <c r="AT21" s="7696"/>
      <c r="AU21" s="7696"/>
      <c r="AV21" s="7696"/>
      <c r="AW21" s="7696"/>
      <c r="AX21" s="7696"/>
      <c r="AY21" s="7696"/>
      <c r="AZ21" s="7696"/>
      <c r="BA21" s="7696"/>
      <c r="BB21" s="7696"/>
      <c r="BC21" s="7696"/>
      <c r="BD21" s="7696"/>
      <c r="BE21" s="7696"/>
      <c r="BF21" s="7696"/>
      <c r="BG21" s="7696"/>
      <c r="BH21" s="7696"/>
      <c r="BI21" s="7696"/>
      <c r="BJ21" s="7696"/>
      <c r="BK21" s="7696"/>
      <c r="BL21" s="7696"/>
      <c r="BM21" s="7696"/>
      <c r="BN21" s="7696"/>
      <c r="BO21" s="7696"/>
      <c r="BP21" s="7696"/>
      <c r="BQ21" s="7696"/>
      <c r="BR21" s="7696"/>
      <c r="BS21" s="7696"/>
      <c r="BT21" s="7696"/>
      <c r="BU21" s="7696"/>
      <c r="BV21" s="7696"/>
      <c r="BW21" s="7696"/>
      <c r="BX21" s="7696"/>
      <c r="BY21" s="7696"/>
      <c r="BZ21" s="7696"/>
      <c r="CA21" s="7696"/>
      <c r="CB21" s="7696"/>
      <c r="CC21" s="7696"/>
      <c r="CD21" s="7696"/>
      <c r="CE21" s="7696"/>
      <c r="CF21" s="7696"/>
      <c r="CG21" s="7696"/>
      <c r="CH21" s="7696"/>
      <c r="CI21" s="7696"/>
      <c r="CJ21" s="7696"/>
      <c r="CK21" s="7696"/>
      <c r="CL21" s="7698"/>
      <c r="CM21" s="7698"/>
      <c r="CN21" s="7698"/>
      <c r="CO21" s="7698"/>
      <c r="CP21" s="7698"/>
      <c r="CQ21" s="7698"/>
      <c r="CR21" s="7698"/>
      <c r="CS21" s="7698"/>
      <c r="CT21" s="7698"/>
      <c r="CU21" s="7698"/>
      <c r="CV21" s="7698"/>
      <c r="CW21" s="7698"/>
      <c r="CX21" s="7698"/>
      <c r="CY21" s="7698"/>
      <c r="CZ21" s="7698"/>
      <c r="DA21" s="7698"/>
      <c r="DB21" s="7698"/>
      <c r="DC21" s="7698"/>
      <c r="DD21" s="7698"/>
      <c r="DE21" s="7698"/>
      <c r="DF21" s="7698"/>
      <c r="DG21" s="7698"/>
      <c r="DH21" s="7698"/>
      <c r="DI21" s="7698"/>
      <c r="DJ21" s="7698"/>
      <c r="DK21" s="7698"/>
      <c r="DL21" s="7698"/>
      <c r="DM21" s="7698"/>
      <c r="DN21" s="7698"/>
      <c r="DO21" s="7698"/>
      <c r="DP21" s="7698"/>
      <c r="DQ21" s="7698"/>
      <c r="DR21" s="7698"/>
      <c r="DS21" s="7698"/>
      <c r="DT21" s="7698"/>
      <c r="DU21" s="7698"/>
      <c r="DV21" s="7698"/>
      <c r="DW21" s="7698"/>
      <c r="DX21" s="7698"/>
      <c r="DY21" s="7698"/>
      <c r="DZ21" s="7698"/>
      <c r="EA21" s="7698"/>
      <c r="EB21" s="7698"/>
      <c r="EC21" s="7698"/>
      <c r="ED21" s="7698"/>
      <c r="EE21" s="7698"/>
      <c r="EF21" s="7698"/>
      <c r="EG21" s="7698"/>
      <c r="EH21" s="7698"/>
      <c r="EI21" s="7698"/>
      <c r="EJ21" s="7698"/>
      <c r="EK21" s="7698"/>
      <c r="EL21" s="7698"/>
      <c r="EM21" s="7698"/>
      <c r="EN21" s="7698"/>
      <c r="EO21" s="7698"/>
      <c r="EP21" s="7698"/>
      <c r="EQ21" s="7698"/>
      <c r="ER21" s="7698"/>
      <c r="ES21" s="7698"/>
      <c r="ET21" s="7698"/>
      <c r="EU21" s="7698"/>
      <c r="EV21" s="7698"/>
      <c r="EW21" s="7698"/>
      <c r="EX21" s="7698"/>
      <c r="EY21" s="7698"/>
      <c r="EZ21" s="7698"/>
      <c r="FA21" s="7698"/>
      <c r="FB21" s="7698"/>
      <c r="FC21" s="7698"/>
      <c r="FD21" s="7698"/>
      <c r="FE21" s="7698"/>
      <c r="FF21" s="7698"/>
      <c r="FG21" s="7698"/>
      <c r="FH21" s="7698"/>
      <c r="FI21" s="7698"/>
      <c r="FJ21" s="7698"/>
      <c r="FK21" s="7698"/>
      <c r="FL21" s="7698"/>
      <c r="FM21" s="7698"/>
      <c r="FN21" s="7698"/>
      <c r="FO21" s="7698"/>
      <c r="FP21" s="7698"/>
      <c r="FQ21" s="7698"/>
      <c r="FR21" s="7698"/>
      <c r="FS21" s="7698"/>
      <c r="FT21" s="7698"/>
      <c r="FU21" s="7698"/>
      <c r="FV21" s="7699"/>
      <c r="FW21" s="7132"/>
      <c r="FX21" s="7381"/>
      <c r="FY21" s="7070"/>
      <c r="FZ21" s="7070"/>
      <c r="GA21" s="7070"/>
      <c r="GB21" s="7070"/>
    </row>
    <row s="7070" customFormat="1" customHeight="1" ht="24.75">
      <c r="A22" s="7070" t="s">
        <v>1060</v>
      </c>
      <c r="B22" s="7127"/>
      <c r="C22" s="7070"/>
      <c r="D22" s="7070"/>
      <c r="E22" s="7976"/>
      <c r="F22" s="7701">
        <v>1</v>
      </c>
      <c r="G22" s="7702" t="s">
        <v>1049</v>
      </c>
      <c r="H22" s="7703" t="s">
        <v>1459</v>
      </c>
      <c r="I22" s="7704" t="s">
        <v>1460</v>
      </c>
      <c r="J22" s="7705"/>
      <c r="K22" s="7705"/>
      <c r="L22" s="7705"/>
      <c r="M22" s="7705"/>
      <c r="N22" s="7705"/>
      <c r="O22" s="7706">
        <v>0.51</v>
      </c>
      <c r="P22" s="7706">
        <v>0.39</v>
      </c>
      <c r="Q22" s="7706">
        <v>0.17</v>
      </c>
      <c r="R22" s="7706">
        <v>0</v>
      </c>
      <c r="S22" s="7706">
        <v>222.3</v>
      </c>
      <c r="T22" s="7706">
        <v>203.4</v>
      </c>
      <c r="U22" s="7706">
        <v>2.16</v>
      </c>
      <c r="V22" s="7706">
        <v>1.37</v>
      </c>
      <c r="W22" s="7706">
        <v>5.58</v>
      </c>
      <c r="X22" s="7706">
        <v>1.47</v>
      </c>
      <c r="Y22" s="7706">
        <v>37135</v>
      </c>
      <c r="Z22" s="7706">
        <v>18676</v>
      </c>
      <c r="AA22" s="7706">
        <v>96115</v>
      </c>
      <c r="AB22" s="7706">
        <v>20031</v>
      </c>
      <c r="AC22" s="7705"/>
      <c r="AD22" s="7705"/>
      <c r="AE22" s="7705"/>
      <c r="AF22" s="7705"/>
      <c r="AG22" s="7705"/>
      <c r="AH22" s="7705"/>
      <c r="AI22" s="7705"/>
      <c r="AJ22" s="7705"/>
      <c r="AK22" s="7705"/>
      <c r="AL22" s="7705"/>
      <c r="AM22" s="7705"/>
      <c r="AN22" s="7705"/>
      <c r="AO22" s="7705"/>
      <c r="AP22" s="7705"/>
      <c r="AQ22" s="7705"/>
      <c r="AR22" s="7705"/>
      <c r="AS22" s="7705"/>
      <c r="AT22" s="7705"/>
      <c r="AU22" s="7705"/>
      <c r="AV22" s="7705"/>
      <c r="AW22" s="7705"/>
      <c r="AX22" s="7705"/>
      <c r="AY22" s="7705"/>
      <c r="AZ22" s="7705"/>
      <c r="BA22" s="7705"/>
      <c r="BB22" s="7705"/>
      <c r="BC22" s="7705"/>
      <c r="BD22" s="7705"/>
      <c r="BE22" s="7705"/>
      <c r="BF22" s="7705"/>
      <c r="BG22" s="7705"/>
      <c r="BH22" s="7705"/>
      <c r="BI22" s="7705"/>
      <c r="BJ22" s="7705"/>
      <c r="BK22" s="7705"/>
      <c r="BL22" s="7705"/>
      <c r="BM22" s="7705"/>
      <c r="BN22" s="7705"/>
      <c r="BO22" s="7705"/>
      <c r="BP22" s="7705"/>
      <c r="BQ22" s="7705"/>
      <c r="BR22" s="7705"/>
      <c r="BS22" s="7705"/>
      <c r="BT22" s="7706"/>
      <c r="BU22" s="7706"/>
      <c r="BV22" s="7706"/>
      <c r="BW22" s="7706"/>
      <c r="BX22" s="7706"/>
      <c r="BY22" s="7706"/>
      <c r="BZ22" s="7706"/>
      <c r="CA22" s="7706"/>
      <c r="CB22" s="7706"/>
      <c r="CC22" s="7706"/>
      <c r="CD22" s="7706"/>
      <c r="CE22" s="7706"/>
      <c r="CF22" s="7706"/>
      <c r="CG22" s="7706"/>
      <c r="CH22" s="7706"/>
      <c r="CI22" s="7706"/>
      <c r="CJ22" s="7706"/>
      <c r="CK22" s="7706"/>
      <c r="CL22" s="7705"/>
      <c r="CM22" s="7705"/>
      <c r="CN22" s="7705"/>
      <c r="CO22" s="7705"/>
      <c r="CP22" s="7705"/>
      <c r="CQ22" s="7705"/>
      <c r="CR22" s="7705"/>
      <c r="CS22" s="7705"/>
      <c r="CT22" s="7705"/>
      <c r="CU22" s="7705"/>
      <c r="CV22" s="7705"/>
      <c r="CW22" s="7705"/>
      <c r="CX22" s="7705"/>
      <c r="CY22" s="7706"/>
      <c r="CZ22" s="7706"/>
      <c r="DA22" s="7706"/>
      <c r="DB22" s="7706"/>
      <c r="DC22" s="7706"/>
      <c r="DD22" s="7706"/>
      <c r="DE22" s="7706"/>
      <c r="DF22" s="7706"/>
      <c r="DG22" s="7706"/>
      <c r="DH22" s="7706"/>
      <c r="DI22" s="7706"/>
      <c r="DJ22" s="7706"/>
      <c r="DK22" s="7705"/>
      <c r="DL22" s="7705"/>
      <c r="DM22" s="7705"/>
      <c r="DN22" s="7705"/>
      <c r="DO22" s="7705"/>
      <c r="DP22" s="7705"/>
      <c r="DQ22" s="7705"/>
      <c r="DR22" s="7705"/>
      <c r="DS22" s="7705"/>
      <c r="DT22" s="7705"/>
      <c r="DU22" s="7705"/>
      <c r="DV22" s="7705"/>
      <c r="DW22" s="7705"/>
      <c r="DX22" s="7705"/>
      <c r="DY22" s="7705"/>
      <c r="DZ22" s="7705"/>
      <c r="EA22" s="7705"/>
      <c r="EB22" s="7705"/>
      <c r="EC22" s="7705"/>
      <c r="ED22" s="7705"/>
      <c r="EE22" s="7705"/>
      <c r="EF22" s="7705"/>
      <c r="EG22" s="7705"/>
      <c r="EH22" s="7705"/>
      <c r="EI22" s="7705"/>
      <c r="EJ22" s="7705"/>
      <c r="EK22" s="7705"/>
      <c r="EL22" s="7705"/>
      <c r="EM22" s="7705"/>
      <c r="EN22" s="7705"/>
      <c r="EO22" s="7705"/>
      <c r="EP22" s="7705"/>
      <c r="EQ22" s="7705"/>
      <c r="ER22" s="7705"/>
      <c r="ES22" s="7705"/>
      <c r="ET22" s="7705"/>
      <c r="EU22" s="7705"/>
      <c r="EV22" s="7705"/>
      <c r="EW22" s="7705"/>
      <c r="EX22" s="7705"/>
      <c r="EY22" s="7705"/>
      <c r="EZ22" s="7705"/>
      <c r="FA22" s="7705"/>
      <c r="FB22" s="7705"/>
      <c r="FC22" s="7705"/>
      <c r="FD22" s="7705"/>
      <c r="FE22" s="7705"/>
      <c r="FF22" s="7705"/>
      <c r="FG22" s="7705"/>
      <c r="FH22" s="7705"/>
      <c r="FI22" s="7705"/>
      <c r="FJ22" s="7705"/>
      <c r="FK22" s="7705"/>
      <c r="FL22" s="7705"/>
      <c r="FM22" s="7705"/>
      <c r="FN22" s="7705"/>
      <c r="FO22" s="7705"/>
      <c r="FP22" s="7705"/>
      <c r="FQ22" s="7705"/>
      <c r="FR22" s="7705"/>
      <c r="FS22" s="7705"/>
      <c r="FT22" s="7705"/>
      <c r="FU22" s="7705"/>
      <c r="FV22" s="7705"/>
      <c r="FW22" s="7705"/>
      <c r="FX22" s="7381"/>
      <c r="FY22" s="7070"/>
      <c r="FZ22" s="7070"/>
      <c r="GA22" s="7070"/>
      <c r="GB22" s="7070"/>
    </row>
    <row s="7070" customFormat="1" customHeight="1" ht="12">
      <c r="A23" s="7070" t="s">
        <v>1060</v>
      </c>
      <c r="B23" s="7127"/>
      <c r="C23" s="7070"/>
      <c r="D23" s="7070"/>
      <c r="E23" s="7070"/>
      <c r="F23" s="8256"/>
      <c r="G23" s="8257" t="s">
        <v>1461</v>
      </c>
      <c r="H23" s="8258"/>
      <c r="I23" s="8259"/>
      <c r="J23" s="8260"/>
      <c r="K23" s="8261"/>
      <c r="L23" s="8262"/>
      <c r="M23" s="8263"/>
      <c r="N23" s="8264"/>
      <c r="O23" s="8265"/>
      <c r="P23" s="8266"/>
      <c r="Q23" s="8267"/>
      <c r="R23" s="8268"/>
      <c r="S23" s="8269"/>
      <c r="T23" s="8270"/>
      <c r="U23" s="8271"/>
      <c r="V23" s="8272"/>
      <c r="W23" s="8273"/>
      <c r="X23" s="8274"/>
      <c r="Y23" s="8275"/>
      <c r="Z23" s="8276"/>
      <c r="AA23" s="8277"/>
      <c r="AB23" s="8278"/>
      <c r="AC23" s="8279"/>
      <c r="AD23" s="8280"/>
      <c r="AE23" s="8281"/>
      <c r="AF23" s="8282"/>
      <c r="AG23" s="8283"/>
      <c r="AH23" s="8284"/>
      <c r="AI23" s="8285"/>
      <c r="AJ23" s="8286"/>
      <c r="AK23" s="8287"/>
      <c r="AL23" s="8288"/>
      <c r="AM23" s="8289"/>
      <c r="AN23" s="8290"/>
      <c r="AO23" s="8291"/>
      <c r="AP23" s="8292"/>
      <c r="AQ23" s="8293"/>
      <c r="AR23" s="8294"/>
      <c r="AS23" s="8295"/>
      <c r="AT23" s="8296"/>
      <c r="AU23" s="8297"/>
      <c r="AV23" s="8298"/>
      <c r="AW23" s="8299"/>
      <c r="AX23" s="8300"/>
      <c r="AY23" s="8301"/>
      <c r="AZ23" s="8302"/>
      <c r="BA23" s="8303"/>
      <c r="BB23" s="8304"/>
      <c r="BC23" s="8305"/>
      <c r="BD23" s="8306"/>
      <c r="BE23" s="8307"/>
      <c r="BF23" s="8308"/>
      <c r="BG23" s="8309"/>
      <c r="BH23" s="8310"/>
      <c r="BI23" s="8311"/>
      <c r="BJ23" s="8312"/>
      <c r="BK23" s="8313"/>
      <c r="BL23" s="8314"/>
      <c r="BM23" s="8315"/>
      <c r="BN23" s="8316"/>
      <c r="BO23" s="8317"/>
      <c r="BP23" s="8318"/>
      <c r="BQ23" s="8319"/>
      <c r="BR23" s="8320"/>
      <c r="BS23" s="8321"/>
      <c r="BT23" s="8322"/>
      <c r="BU23" s="8323"/>
      <c r="BV23" s="8324"/>
      <c r="BW23" s="8325"/>
      <c r="BX23" s="8326"/>
      <c r="BY23" s="8327"/>
      <c r="BZ23" s="8328"/>
      <c r="CA23" s="8329"/>
      <c r="CB23" s="8330"/>
      <c r="CC23" s="8331"/>
      <c r="CD23" s="8332"/>
      <c r="CE23" s="8333"/>
      <c r="CF23" s="8334"/>
      <c r="CG23" s="8335"/>
      <c r="CH23" s="8336"/>
      <c r="CI23" s="8337"/>
      <c r="CJ23" s="8338"/>
      <c r="CK23" s="8339"/>
      <c r="CL23" s="8340"/>
      <c r="CM23" s="8341"/>
      <c r="CN23" s="8342"/>
      <c r="CO23" s="8343"/>
      <c r="CP23" s="8344"/>
      <c r="CQ23" s="8345"/>
      <c r="CR23" s="8346"/>
      <c r="CS23" s="8347"/>
      <c r="CT23" s="8348"/>
      <c r="CU23" s="8349"/>
      <c r="CV23" s="8350"/>
      <c r="CW23" s="8351"/>
      <c r="CX23" s="8352"/>
      <c r="CY23" s="8353"/>
      <c r="CZ23" s="8354"/>
      <c r="DA23" s="8355"/>
      <c r="DB23" s="8356"/>
      <c r="DC23" s="8357"/>
      <c r="DD23" s="8358"/>
      <c r="DE23" s="8359"/>
      <c r="DF23" s="8360"/>
      <c r="DG23" s="8361"/>
      <c r="DH23" s="8362"/>
      <c r="DI23" s="8363"/>
      <c r="DJ23" s="8364"/>
      <c r="DK23" s="8365"/>
      <c r="DL23" s="8366"/>
      <c r="DM23" s="8367"/>
      <c r="DN23" s="8368"/>
      <c r="DO23" s="8369"/>
      <c r="DP23" s="8370"/>
      <c r="DQ23" s="8371"/>
      <c r="DR23" s="8372"/>
      <c r="DS23" s="8373"/>
      <c r="DT23" s="8374"/>
      <c r="DU23" s="8375"/>
      <c r="DV23" s="8376"/>
      <c r="DW23" s="8377"/>
      <c r="DX23" s="8378"/>
      <c r="DY23" s="8379"/>
      <c r="DZ23" s="8380"/>
      <c r="EA23" s="8381"/>
      <c r="EB23" s="8382"/>
      <c r="EC23" s="8383"/>
      <c r="ED23" s="8384"/>
      <c r="EE23" s="8385"/>
      <c r="EF23" s="8386"/>
      <c r="EG23" s="8387"/>
      <c r="EH23" s="8388"/>
      <c r="EI23" s="8389"/>
      <c r="EJ23" s="8390"/>
      <c r="EK23" s="8391"/>
      <c r="EL23" s="8392"/>
      <c r="EM23" s="8393"/>
      <c r="EN23" s="8394"/>
      <c r="EO23" s="8395"/>
      <c r="EP23" s="8396"/>
      <c r="EQ23" s="8397"/>
      <c r="ER23" s="8398"/>
      <c r="ES23" s="8399"/>
      <c r="ET23" s="8400"/>
      <c r="EU23" s="8401"/>
      <c r="EV23" s="8402"/>
      <c r="EW23" s="8403"/>
      <c r="EX23" s="8404"/>
      <c r="EY23" s="8405"/>
      <c r="EZ23" s="8406"/>
      <c r="FA23" s="8407"/>
      <c r="FB23" s="8408"/>
      <c r="FC23" s="8409"/>
      <c r="FD23" s="8410"/>
      <c r="FE23" s="8411"/>
      <c r="FF23" s="8412"/>
      <c r="FG23" s="8413"/>
      <c r="FH23" s="8414"/>
      <c r="FI23" s="8415"/>
      <c r="FJ23" s="8416"/>
      <c r="FK23" s="8417"/>
      <c r="FL23" s="8418"/>
      <c r="FM23" s="8419"/>
      <c r="FN23" s="8420"/>
      <c r="FO23" s="8421"/>
      <c r="FP23" s="8422"/>
      <c r="FQ23" s="8423"/>
      <c r="FR23" s="8424"/>
      <c r="FS23" s="8425"/>
      <c r="FT23" s="8426"/>
      <c r="FU23" s="8427"/>
      <c r="FV23" s="8428"/>
      <c r="FW23" s="8429"/>
      <c r="FX23" s="7711"/>
      <c r="FY23" s="7523"/>
      <c r="FZ23" s="7523"/>
      <c r="GA23" s="7523"/>
      <c r="GB23" s="7523"/>
    </row>
    <row s="7070" customFormat="1" customHeight="1" ht="21">
      <c r="A24" s="6981" t="s">
        <v>1069</v>
      </c>
      <c r="B24" s="7127"/>
      <c r="C24" s="7070"/>
      <c r="D24" s="7070"/>
      <c r="E24" s="7121" t="s">
        <v>22</v>
      </c>
      <c r="F24" s="7694" t="str">
        <f>INDEX(IP_MAIN_LIST_NAME_IP,MATCH(A24,IP_MAIN_LIST_IP_ID,0))&amp;" ("&amp;INDEX(IP_MAIN_START_DATE,MATCH(A24,IP_MAIN_LIST_IP_ID,0))&amp;"-"&amp;INDEX(IP_MAIN_END_DATE,MATCH(A24,IP_MAIN_LIST_IP_ID,0))&amp;")"</f>
        <v>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 (01.01.2024-31.12.2028)</v>
      </c>
      <c r="G24" s="7695"/>
      <c r="H24" s="7696"/>
      <c r="I24" s="7696"/>
      <c r="J24" s="7696"/>
      <c r="K24" s="7696"/>
      <c r="L24" s="7696"/>
      <c r="M24" s="7696"/>
      <c r="N24" s="7696"/>
      <c r="O24" s="7695"/>
      <c r="P24" s="7695"/>
      <c r="Q24" s="7695"/>
      <c r="R24" s="7695"/>
      <c r="S24" s="7695"/>
      <c r="T24" s="7695"/>
      <c r="U24" s="7697"/>
      <c r="V24" s="7697"/>
      <c r="W24" s="7697"/>
      <c r="X24" s="7697"/>
      <c r="Y24" s="7697"/>
      <c r="Z24" s="7697"/>
      <c r="AA24" s="7697"/>
      <c r="AB24" s="7695"/>
      <c r="AC24" s="7696"/>
      <c r="AD24" s="7696"/>
      <c r="AE24" s="7696"/>
      <c r="AF24" s="7696"/>
      <c r="AG24" s="7696"/>
      <c r="AH24" s="7696"/>
      <c r="AI24" s="7696"/>
      <c r="AJ24" s="7696"/>
      <c r="AK24" s="7696"/>
      <c r="AL24" s="7696"/>
      <c r="AM24" s="7696"/>
      <c r="AN24" s="7696"/>
      <c r="AO24" s="7696"/>
      <c r="AP24" s="7696"/>
      <c r="AQ24" s="7696"/>
      <c r="AR24" s="7696"/>
      <c r="AS24" s="7696"/>
      <c r="AT24" s="7696"/>
      <c r="AU24" s="7696"/>
      <c r="AV24" s="7696"/>
      <c r="AW24" s="7696"/>
      <c r="AX24" s="7696"/>
      <c r="AY24" s="7696"/>
      <c r="AZ24" s="7696"/>
      <c r="BA24" s="7696"/>
      <c r="BB24" s="7696"/>
      <c r="BC24" s="7696"/>
      <c r="BD24" s="7696"/>
      <c r="BE24" s="7696"/>
      <c r="BF24" s="7696"/>
      <c r="BG24" s="7696"/>
      <c r="BH24" s="7696"/>
      <c r="BI24" s="7696"/>
      <c r="BJ24" s="7696"/>
      <c r="BK24" s="7696"/>
      <c r="BL24" s="7696"/>
      <c r="BM24" s="7696"/>
      <c r="BN24" s="7696"/>
      <c r="BO24" s="7696"/>
      <c r="BP24" s="7696"/>
      <c r="BQ24" s="7696"/>
      <c r="BR24" s="7696"/>
      <c r="BS24" s="7696"/>
      <c r="BT24" s="7696"/>
      <c r="BU24" s="7696"/>
      <c r="BV24" s="7696"/>
      <c r="BW24" s="7696"/>
      <c r="BX24" s="7696"/>
      <c r="BY24" s="7696"/>
      <c r="BZ24" s="7696"/>
      <c r="CA24" s="7696"/>
      <c r="CB24" s="7696"/>
      <c r="CC24" s="7696"/>
      <c r="CD24" s="7696"/>
      <c r="CE24" s="7696"/>
      <c r="CF24" s="7696"/>
      <c r="CG24" s="7696"/>
      <c r="CH24" s="7696"/>
      <c r="CI24" s="7696"/>
      <c r="CJ24" s="7696"/>
      <c r="CK24" s="7696"/>
      <c r="CL24" s="7698"/>
      <c r="CM24" s="7698"/>
      <c r="CN24" s="7698"/>
      <c r="CO24" s="7698"/>
      <c r="CP24" s="7698"/>
      <c r="CQ24" s="7698"/>
      <c r="CR24" s="7698"/>
      <c r="CS24" s="7698"/>
      <c r="CT24" s="7698"/>
      <c r="CU24" s="7698"/>
      <c r="CV24" s="7698"/>
      <c r="CW24" s="7698"/>
      <c r="CX24" s="7698"/>
      <c r="CY24" s="7698"/>
      <c r="CZ24" s="7698"/>
      <c r="DA24" s="7698"/>
      <c r="DB24" s="7698"/>
      <c r="DC24" s="7698"/>
      <c r="DD24" s="7698"/>
      <c r="DE24" s="7698"/>
      <c r="DF24" s="7698"/>
      <c r="DG24" s="7698"/>
      <c r="DH24" s="7698"/>
      <c r="DI24" s="7698"/>
      <c r="DJ24" s="7698"/>
      <c r="DK24" s="7698"/>
      <c r="DL24" s="7698"/>
      <c r="DM24" s="7698"/>
      <c r="DN24" s="7698"/>
      <c r="DO24" s="7698"/>
      <c r="DP24" s="7698"/>
      <c r="DQ24" s="7698"/>
      <c r="DR24" s="7698"/>
      <c r="DS24" s="7698"/>
      <c r="DT24" s="7698"/>
      <c r="DU24" s="7698"/>
      <c r="DV24" s="7698"/>
      <c r="DW24" s="7698"/>
      <c r="DX24" s="7698"/>
      <c r="DY24" s="7698"/>
      <c r="DZ24" s="7698"/>
      <c r="EA24" s="7698"/>
      <c r="EB24" s="7698"/>
      <c r="EC24" s="7698"/>
      <c r="ED24" s="7698"/>
      <c r="EE24" s="7698"/>
      <c r="EF24" s="7698"/>
      <c r="EG24" s="7698"/>
      <c r="EH24" s="7698"/>
      <c r="EI24" s="7698"/>
      <c r="EJ24" s="7698"/>
      <c r="EK24" s="7698"/>
      <c r="EL24" s="7698"/>
      <c r="EM24" s="7698"/>
      <c r="EN24" s="7698"/>
      <c r="EO24" s="7698"/>
      <c r="EP24" s="7698"/>
      <c r="EQ24" s="7698"/>
      <c r="ER24" s="7698"/>
      <c r="ES24" s="7698"/>
      <c r="ET24" s="7698"/>
      <c r="EU24" s="7698"/>
      <c r="EV24" s="7698"/>
      <c r="EW24" s="7698"/>
      <c r="EX24" s="7698"/>
      <c r="EY24" s="7698"/>
      <c r="EZ24" s="7698"/>
      <c r="FA24" s="7698"/>
      <c r="FB24" s="7698"/>
      <c r="FC24" s="7698"/>
      <c r="FD24" s="7698"/>
      <c r="FE24" s="7698"/>
      <c r="FF24" s="7698"/>
      <c r="FG24" s="7698"/>
      <c r="FH24" s="7698"/>
      <c r="FI24" s="7698"/>
      <c r="FJ24" s="7698"/>
      <c r="FK24" s="7698"/>
      <c r="FL24" s="7698"/>
      <c r="FM24" s="7698"/>
      <c r="FN24" s="7698"/>
      <c r="FO24" s="7698"/>
      <c r="FP24" s="7698"/>
      <c r="FQ24" s="7698"/>
      <c r="FR24" s="7698"/>
      <c r="FS24" s="7698"/>
      <c r="FT24" s="7698"/>
      <c r="FU24" s="7698"/>
      <c r="FV24" s="7699"/>
      <c r="FW24" s="7132"/>
      <c r="FX24" s="7381"/>
      <c r="FY24" s="7070"/>
      <c r="FZ24" s="7070"/>
      <c r="GA24" s="7070"/>
      <c r="GB24" s="7070"/>
    </row>
    <row s="7070" customFormat="1" customHeight="1" ht="24.75">
      <c r="A25" s="7070" t="s">
        <v>1069</v>
      </c>
      <c r="B25" s="7127"/>
      <c r="C25" s="7070"/>
      <c r="D25" s="7070"/>
      <c r="E25" s="7976"/>
      <c r="F25" s="7701">
        <v>1</v>
      </c>
      <c r="G25" s="7702" t="s">
        <v>1049</v>
      </c>
      <c r="H25" s="7703" t="s">
        <v>1459</v>
      </c>
      <c r="I25" s="7704" t="s">
        <v>1460</v>
      </c>
      <c r="J25" s="7705"/>
      <c r="K25" s="7705"/>
      <c r="L25" s="7705"/>
      <c r="M25" s="7705"/>
      <c r="N25" s="7705"/>
      <c r="O25" s="7706"/>
      <c r="P25" s="7706"/>
      <c r="Q25" s="7706">
        <v>0</v>
      </c>
      <c r="R25" s="7706">
        <v>0</v>
      </c>
      <c r="S25" s="7706">
        <v>149.8</v>
      </c>
      <c r="T25" s="7706">
        <v>148.29</v>
      </c>
      <c r="U25" s="7706"/>
      <c r="V25" s="7706"/>
      <c r="W25" s="7706"/>
      <c r="X25" s="7706"/>
      <c r="Y25" s="7706"/>
      <c r="Z25" s="7706"/>
      <c r="AA25" s="7706"/>
      <c r="AB25" s="7706"/>
      <c r="AC25" s="7705"/>
      <c r="AD25" s="7705"/>
      <c r="AE25" s="7705"/>
      <c r="AF25" s="7705"/>
      <c r="AG25" s="7705"/>
      <c r="AH25" s="7705"/>
      <c r="AI25" s="7705"/>
      <c r="AJ25" s="7705"/>
      <c r="AK25" s="7705"/>
      <c r="AL25" s="7705"/>
      <c r="AM25" s="7705"/>
      <c r="AN25" s="7705"/>
      <c r="AO25" s="7705"/>
      <c r="AP25" s="7705"/>
      <c r="AQ25" s="7705"/>
      <c r="AR25" s="7705"/>
      <c r="AS25" s="7705"/>
      <c r="AT25" s="7705"/>
      <c r="AU25" s="7705"/>
      <c r="AV25" s="7705"/>
      <c r="AW25" s="7705"/>
      <c r="AX25" s="7705"/>
      <c r="AY25" s="7705"/>
      <c r="AZ25" s="7705"/>
      <c r="BA25" s="7705"/>
      <c r="BB25" s="7705"/>
      <c r="BC25" s="7705"/>
      <c r="BD25" s="7705"/>
      <c r="BE25" s="7705"/>
      <c r="BF25" s="7705"/>
      <c r="BG25" s="7705"/>
      <c r="BH25" s="7705"/>
      <c r="BI25" s="7705"/>
      <c r="BJ25" s="7705"/>
      <c r="BK25" s="7705"/>
      <c r="BL25" s="7705"/>
      <c r="BM25" s="7705"/>
      <c r="BN25" s="7705"/>
      <c r="BO25" s="7705"/>
      <c r="BP25" s="7705"/>
      <c r="BQ25" s="7705"/>
      <c r="BR25" s="7705"/>
      <c r="BS25" s="7705"/>
      <c r="BT25" s="7706"/>
      <c r="BU25" s="7706"/>
      <c r="BV25" s="7706"/>
      <c r="BW25" s="7706"/>
      <c r="BX25" s="7706"/>
      <c r="BY25" s="7706"/>
      <c r="BZ25" s="7706"/>
      <c r="CA25" s="7706"/>
      <c r="CB25" s="7706"/>
      <c r="CC25" s="7706"/>
      <c r="CD25" s="7706"/>
      <c r="CE25" s="7706"/>
      <c r="CF25" s="7706"/>
      <c r="CG25" s="7706"/>
      <c r="CH25" s="7706"/>
      <c r="CI25" s="7706"/>
      <c r="CJ25" s="7706"/>
      <c r="CK25" s="7706"/>
      <c r="CL25" s="7705"/>
      <c r="CM25" s="7705"/>
      <c r="CN25" s="7705"/>
      <c r="CO25" s="7705"/>
      <c r="CP25" s="7705"/>
      <c r="CQ25" s="7705"/>
      <c r="CR25" s="7705"/>
      <c r="CS25" s="7705"/>
      <c r="CT25" s="7705"/>
      <c r="CU25" s="7705"/>
      <c r="CV25" s="7705"/>
      <c r="CW25" s="7705"/>
      <c r="CX25" s="7705"/>
      <c r="CY25" s="7706"/>
      <c r="CZ25" s="7706"/>
      <c r="DA25" s="7706"/>
      <c r="DB25" s="7706"/>
      <c r="DC25" s="7706"/>
      <c r="DD25" s="7706"/>
      <c r="DE25" s="7706"/>
      <c r="DF25" s="7706"/>
      <c r="DG25" s="7706"/>
      <c r="DH25" s="7706"/>
      <c r="DI25" s="7706"/>
      <c r="DJ25" s="7706"/>
      <c r="DK25" s="7705"/>
      <c r="DL25" s="7705"/>
      <c r="DM25" s="7705"/>
      <c r="DN25" s="7705"/>
      <c r="DO25" s="7705"/>
      <c r="DP25" s="7705"/>
      <c r="DQ25" s="7705"/>
      <c r="DR25" s="7705"/>
      <c r="DS25" s="7705"/>
      <c r="DT25" s="7705"/>
      <c r="DU25" s="7705"/>
      <c r="DV25" s="7705"/>
      <c r="DW25" s="7705"/>
      <c r="DX25" s="7705"/>
      <c r="DY25" s="7705"/>
      <c r="DZ25" s="7705"/>
      <c r="EA25" s="7705"/>
      <c r="EB25" s="7705"/>
      <c r="EC25" s="7705"/>
      <c r="ED25" s="7705"/>
      <c r="EE25" s="7705"/>
      <c r="EF25" s="7705"/>
      <c r="EG25" s="7705"/>
      <c r="EH25" s="7705"/>
      <c r="EI25" s="7705"/>
      <c r="EJ25" s="7705"/>
      <c r="EK25" s="7705"/>
      <c r="EL25" s="7705"/>
      <c r="EM25" s="7705"/>
      <c r="EN25" s="7705"/>
      <c r="EO25" s="7705"/>
      <c r="EP25" s="7705"/>
      <c r="EQ25" s="7705"/>
      <c r="ER25" s="7705"/>
      <c r="ES25" s="7705"/>
      <c r="ET25" s="7705"/>
      <c r="EU25" s="7705"/>
      <c r="EV25" s="7705"/>
      <c r="EW25" s="7705"/>
      <c r="EX25" s="7705"/>
      <c r="EY25" s="7705"/>
      <c r="EZ25" s="7705"/>
      <c r="FA25" s="7705"/>
      <c r="FB25" s="7705"/>
      <c r="FC25" s="7705"/>
      <c r="FD25" s="7705"/>
      <c r="FE25" s="7705"/>
      <c r="FF25" s="7705"/>
      <c r="FG25" s="7705"/>
      <c r="FH25" s="7705"/>
      <c r="FI25" s="7705"/>
      <c r="FJ25" s="7705"/>
      <c r="FK25" s="7705"/>
      <c r="FL25" s="7705"/>
      <c r="FM25" s="7705"/>
      <c r="FN25" s="7705"/>
      <c r="FO25" s="7705"/>
      <c r="FP25" s="7705"/>
      <c r="FQ25" s="7705"/>
      <c r="FR25" s="7705"/>
      <c r="FS25" s="7705"/>
      <c r="FT25" s="7705"/>
      <c r="FU25" s="7705"/>
      <c r="FV25" s="7705"/>
      <c r="FW25" s="7705"/>
      <c r="FX25" s="7381"/>
      <c r="FY25" s="7070"/>
      <c r="FZ25" s="7070"/>
      <c r="GA25" s="7070"/>
      <c r="GB25" s="7070"/>
    </row>
    <row s="7070" customFormat="1" customHeight="1" ht="24.75">
      <c r="A26" s="7070" t="s">
        <v>22</v>
      </c>
      <c r="B26" s="7127"/>
      <c r="C26" s="7070"/>
      <c r="D26" s="7070"/>
      <c r="E26" s="7143" t="s">
        <v>106</v>
      </c>
      <c r="F26" s="7701" t="s">
        <v>105</v>
      </c>
      <c r="G26" s="7702" t="s">
        <v>1049</v>
      </c>
      <c r="H26" s="7703" t="s">
        <v>1459</v>
      </c>
      <c r="I26" s="7704" t="s">
        <v>1460</v>
      </c>
      <c r="J26" s="7705"/>
      <c r="K26" s="7705"/>
      <c r="L26" s="7705"/>
      <c r="M26" s="7705"/>
      <c r="N26" s="7705"/>
      <c r="O26" s="7706"/>
      <c r="P26" s="7706"/>
      <c r="Q26" s="7706">
        <v>0</v>
      </c>
      <c r="R26" s="7706">
        <v>0</v>
      </c>
      <c r="S26" s="7706">
        <v>168.41</v>
      </c>
      <c r="T26" s="7706">
        <v>177.53</v>
      </c>
      <c r="U26" s="7706"/>
      <c r="V26" s="7706"/>
      <c r="W26" s="7706"/>
      <c r="X26" s="7706"/>
      <c r="Y26" s="7706"/>
      <c r="Z26" s="7706"/>
      <c r="AA26" s="7706"/>
      <c r="AB26" s="7706"/>
      <c r="AC26" s="7705"/>
      <c r="AD26" s="7705"/>
      <c r="AE26" s="7705"/>
      <c r="AF26" s="7705"/>
      <c r="AG26" s="7705"/>
      <c r="AH26" s="7705"/>
      <c r="AI26" s="7705"/>
      <c r="AJ26" s="7705"/>
      <c r="AK26" s="7705"/>
      <c r="AL26" s="7705"/>
      <c r="AM26" s="7705"/>
      <c r="AN26" s="7705"/>
      <c r="AO26" s="7705"/>
      <c r="AP26" s="7705"/>
      <c r="AQ26" s="7705"/>
      <c r="AR26" s="7705"/>
      <c r="AS26" s="7705"/>
      <c r="AT26" s="7705"/>
      <c r="AU26" s="7705"/>
      <c r="AV26" s="7705"/>
      <c r="AW26" s="7705"/>
      <c r="AX26" s="7705"/>
      <c r="AY26" s="7705"/>
      <c r="AZ26" s="7705"/>
      <c r="BA26" s="7705"/>
      <c r="BB26" s="7705"/>
      <c r="BC26" s="7705"/>
      <c r="BD26" s="7705"/>
      <c r="BE26" s="7705"/>
      <c r="BF26" s="7705"/>
      <c r="BG26" s="7705"/>
      <c r="BH26" s="7705"/>
      <c r="BI26" s="7705"/>
      <c r="BJ26" s="7705"/>
      <c r="BK26" s="7705"/>
      <c r="BL26" s="7705"/>
      <c r="BM26" s="7705"/>
      <c r="BN26" s="7705"/>
      <c r="BO26" s="7705"/>
      <c r="BP26" s="7705"/>
      <c r="BQ26" s="7705"/>
      <c r="BR26" s="7705"/>
      <c r="BS26" s="7705"/>
      <c r="BT26" s="7706"/>
      <c r="BU26" s="7706"/>
      <c r="BV26" s="7706"/>
      <c r="BW26" s="7706"/>
      <c r="BX26" s="7706"/>
      <c r="BY26" s="7706"/>
      <c r="BZ26" s="7706"/>
      <c r="CA26" s="7706"/>
      <c r="CB26" s="7706"/>
      <c r="CC26" s="7706"/>
      <c r="CD26" s="7706"/>
      <c r="CE26" s="7706"/>
      <c r="CF26" s="7706"/>
      <c r="CG26" s="7706"/>
      <c r="CH26" s="7706"/>
      <c r="CI26" s="7706"/>
      <c r="CJ26" s="7706"/>
      <c r="CK26" s="7706"/>
      <c r="CL26" s="7705"/>
      <c r="CM26" s="7705"/>
      <c r="CN26" s="7705"/>
      <c r="CO26" s="7705"/>
      <c r="CP26" s="7705"/>
      <c r="CQ26" s="7705"/>
      <c r="CR26" s="7705"/>
      <c r="CS26" s="7705"/>
      <c r="CT26" s="7705"/>
      <c r="CU26" s="7705"/>
      <c r="CV26" s="7705"/>
      <c r="CW26" s="7705"/>
      <c r="CX26" s="7705"/>
      <c r="CY26" s="7706"/>
      <c r="CZ26" s="7706"/>
      <c r="DA26" s="7706"/>
      <c r="DB26" s="7706"/>
      <c r="DC26" s="7706"/>
      <c r="DD26" s="7706"/>
      <c r="DE26" s="7706"/>
      <c r="DF26" s="7706"/>
      <c r="DG26" s="7706"/>
      <c r="DH26" s="7706"/>
      <c r="DI26" s="7706"/>
      <c r="DJ26" s="7706"/>
      <c r="DK26" s="7705"/>
      <c r="DL26" s="7705"/>
      <c r="DM26" s="7705"/>
      <c r="DN26" s="7705"/>
      <c r="DO26" s="7705"/>
      <c r="DP26" s="7705"/>
      <c r="DQ26" s="7705"/>
      <c r="DR26" s="7705"/>
      <c r="DS26" s="7705"/>
      <c r="DT26" s="7705"/>
      <c r="DU26" s="7705"/>
      <c r="DV26" s="7705"/>
      <c r="DW26" s="7705"/>
      <c r="DX26" s="7705"/>
      <c r="DY26" s="7705"/>
      <c r="DZ26" s="7705"/>
      <c r="EA26" s="7705"/>
      <c r="EB26" s="7705"/>
      <c r="EC26" s="7705"/>
      <c r="ED26" s="7705"/>
      <c r="EE26" s="7705"/>
      <c r="EF26" s="7705"/>
      <c r="EG26" s="7705"/>
      <c r="EH26" s="7705"/>
      <c r="EI26" s="7705"/>
      <c r="EJ26" s="7705"/>
      <c r="EK26" s="7705"/>
      <c r="EL26" s="7705"/>
      <c r="EM26" s="7705"/>
      <c r="EN26" s="7705"/>
      <c r="EO26" s="7705"/>
      <c r="EP26" s="7705"/>
      <c r="EQ26" s="7705"/>
      <c r="ER26" s="7705"/>
      <c r="ES26" s="7705"/>
      <c r="ET26" s="7705"/>
      <c r="EU26" s="7705"/>
      <c r="EV26" s="7705"/>
      <c r="EW26" s="7705"/>
      <c r="EX26" s="7705"/>
      <c r="EY26" s="7705"/>
      <c r="EZ26" s="7705"/>
      <c r="FA26" s="7705"/>
      <c r="FB26" s="7705"/>
      <c r="FC26" s="7705"/>
      <c r="FD26" s="7705"/>
      <c r="FE26" s="7705"/>
      <c r="FF26" s="7705"/>
      <c r="FG26" s="7705"/>
      <c r="FH26" s="7705"/>
      <c r="FI26" s="7705"/>
      <c r="FJ26" s="7705"/>
      <c r="FK26" s="7705"/>
      <c r="FL26" s="7705"/>
      <c r="FM26" s="7705"/>
      <c r="FN26" s="7705"/>
      <c r="FO26" s="7705"/>
      <c r="FP26" s="7705"/>
      <c r="FQ26" s="7705"/>
      <c r="FR26" s="7705"/>
      <c r="FS26" s="7705"/>
      <c r="FT26" s="7705"/>
      <c r="FU26" s="7705"/>
      <c r="FV26" s="7705"/>
      <c r="FW26" s="7705"/>
      <c r="FX26" s="7381"/>
      <c r="FY26" s="7070"/>
      <c r="FZ26" s="7070"/>
      <c r="GA26" s="7070"/>
      <c r="GB26" s="7070"/>
    </row>
    <row s="7070" customFormat="1" customHeight="1" ht="24.75">
      <c r="A27" s="7070" t="s">
        <v>22</v>
      </c>
      <c r="B27" s="7127"/>
      <c r="C27" s="7070"/>
      <c r="D27" s="7070"/>
      <c r="E27" s="7143" t="s">
        <v>106</v>
      </c>
      <c r="F27" s="7701" t="s">
        <v>91</v>
      </c>
      <c r="G27" s="7702" t="s">
        <v>1049</v>
      </c>
      <c r="H27" s="7703" t="s">
        <v>1459</v>
      </c>
      <c r="I27" s="7704" t="s">
        <v>1460</v>
      </c>
      <c r="J27" s="7705"/>
      <c r="K27" s="7705"/>
      <c r="L27" s="7705"/>
      <c r="M27" s="7705"/>
      <c r="N27" s="7705"/>
      <c r="O27" s="7706"/>
      <c r="P27" s="7706"/>
      <c r="Q27" s="7706">
        <v>0</v>
      </c>
      <c r="R27" s="7706">
        <v>0</v>
      </c>
      <c r="S27" s="7706">
        <v>171.45</v>
      </c>
      <c r="T27" s="7706">
        <v>171.49</v>
      </c>
      <c r="U27" s="7706"/>
      <c r="V27" s="7706"/>
      <c r="W27" s="7706"/>
      <c r="X27" s="7706"/>
      <c r="Y27" s="7706"/>
      <c r="Z27" s="7706"/>
      <c r="AA27" s="7706"/>
      <c r="AB27" s="7706"/>
      <c r="AC27" s="7705"/>
      <c r="AD27" s="7705"/>
      <c r="AE27" s="7705"/>
      <c r="AF27" s="7705"/>
      <c r="AG27" s="7705"/>
      <c r="AH27" s="7705"/>
      <c r="AI27" s="7705"/>
      <c r="AJ27" s="7705"/>
      <c r="AK27" s="7705"/>
      <c r="AL27" s="7705"/>
      <c r="AM27" s="7705"/>
      <c r="AN27" s="7705"/>
      <c r="AO27" s="7705"/>
      <c r="AP27" s="7705"/>
      <c r="AQ27" s="7705"/>
      <c r="AR27" s="7705"/>
      <c r="AS27" s="7705"/>
      <c r="AT27" s="7705"/>
      <c r="AU27" s="7705"/>
      <c r="AV27" s="7705"/>
      <c r="AW27" s="7705"/>
      <c r="AX27" s="7705"/>
      <c r="AY27" s="7705"/>
      <c r="AZ27" s="7705"/>
      <c r="BA27" s="7705"/>
      <c r="BB27" s="7705"/>
      <c r="BC27" s="7705"/>
      <c r="BD27" s="7705"/>
      <c r="BE27" s="7705"/>
      <c r="BF27" s="7705"/>
      <c r="BG27" s="7705"/>
      <c r="BH27" s="7705"/>
      <c r="BI27" s="7705"/>
      <c r="BJ27" s="7705"/>
      <c r="BK27" s="7705"/>
      <c r="BL27" s="7705"/>
      <c r="BM27" s="7705"/>
      <c r="BN27" s="7705"/>
      <c r="BO27" s="7705"/>
      <c r="BP27" s="7705"/>
      <c r="BQ27" s="7705"/>
      <c r="BR27" s="7705"/>
      <c r="BS27" s="7705"/>
      <c r="BT27" s="7706"/>
      <c r="BU27" s="7706"/>
      <c r="BV27" s="7706"/>
      <c r="BW27" s="7706"/>
      <c r="BX27" s="7706"/>
      <c r="BY27" s="7706"/>
      <c r="BZ27" s="7706"/>
      <c r="CA27" s="7706"/>
      <c r="CB27" s="7706"/>
      <c r="CC27" s="7706"/>
      <c r="CD27" s="7706"/>
      <c r="CE27" s="7706"/>
      <c r="CF27" s="7706"/>
      <c r="CG27" s="7706"/>
      <c r="CH27" s="7706"/>
      <c r="CI27" s="7706"/>
      <c r="CJ27" s="7706"/>
      <c r="CK27" s="7706"/>
      <c r="CL27" s="7705"/>
      <c r="CM27" s="7705"/>
      <c r="CN27" s="7705"/>
      <c r="CO27" s="7705"/>
      <c r="CP27" s="7705"/>
      <c r="CQ27" s="7705"/>
      <c r="CR27" s="7705"/>
      <c r="CS27" s="7705"/>
      <c r="CT27" s="7705"/>
      <c r="CU27" s="7705"/>
      <c r="CV27" s="7705"/>
      <c r="CW27" s="7705"/>
      <c r="CX27" s="7705"/>
      <c r="CY27" s="7706"/>
      <c r="CZ27" s="7706"/>
      <c r="DA27" s="7706"/>
      <c r="DB27" s="7706"/>
      <c r="DC27" s="7706"/>
      <c r="DD27" s="7706"/>
      <c r="DE27" s="7706"/>
      <c r="DF27" s="7706"/>
      <c r="DG27" s="7706"/>
      <c r="DH27" s="7706"/>
      <c r="DI27" s="7706"/>
      <c r="DJ27" s="7706"/>
      <c r="DK27" s="7705"/>
      <c r="DL27" s="7705"/>
      <c r="DM27" s="7705"/>
      <c r="DN27" s="7705"/>
      <c r="DO27" s="7705"/>
      <c r="DP27" s="7705"/>
      <c r="DQ27" s="7705"/>
      <c r="DR27" s="7705"/>
      <c r="DS27" s="7705"/>
      <c r="DT27" s="7705"/>
      <c r="DU27" s="7705"/>
      <c r="DV27" s="7705"/>
      <c r="DW27" s="7705"/>
      <c r="DX27" s="7705"/>
      <c r="DY27" s="7705"/>
      <c r="DZ27" s="7705"/>
      <c r="EA27" s="7705"/>
      <c r="EB27" s="7705"/>
      <c r="EC27" s="7705"/>
      <c r="ED27" s="7705"/>
      <c r="EE27" s="7705"/>
      <c r="EF27" s="7705"/>
      <c r="EG27" s="7705"/>
      <c r="EH27" s="7705"/>
      <c r="EI27" s="7705"/>
      <c r="EJ27" s="7705"/>
      <c r="EK27" s="7705"/>
      <c r="EL27" s="7705"/>
      <c r="EM27" s="7705"/>
      <c r="EN27" s="7705"/>
      <c r="EO27" s="7705"/>
      <c r="EP27" s="7705"/>
      <c r="EQ27" s="7705"/>
      <c r="ER27" s="7705"/>
      <c r="ES27" s="7705"/>
      <c r="ET27" s="7705"/>
      <c r="EU27" s="7705"/>
      <c r="EV27" s="7705"/>
      <c r="EW27" s="7705"/>
      <c r="EX27" s="7705"/>
      <c r="EY27" s="7705"/>
      <c r="EZ27" s="7705"/>
      <c r="FA27" s="7705"/>
      <c r="FB27" s="7705"/>
      <c r="FC27" s="7705"/>
      <c r="FD27" s="7705"/>
      <c r="FE27" s="7705"/>
      <c r="FF27" s="7705"/>
      <c r="FG27" s="7705"/>
      <c r="FH27" s="7705"/>
      <c r="FI27" s="7705"/>
      <c r="FJ27" s="7705"/>
      <c r="FK27" s="7705"/>
      <c r="FL27" s="7705"/>
      <c r="FM27" s="7705"/>
      <c r="FN27" s="7705"/>
      <c r="FO27" s="7705"/>
      <c r="FP27" s="7705"/>
      <c r="FQ27" s="7705"/>
      <c r="FR27" s="7705"/>
      <c r="FS27" s="7705"/>
      <c r="FT27" s="7705"/>
      <c r="FU27" s="7705"/>
      <c r="FV27" s="7705"/>
      <c r="FW27" s="7705"/>
      <c r="FX27" s="7381"/>
      <c r="FY27" s="7070"/>
      <c r="FZ27" s="7070"/>
      <c r="GA27" s="7070"/>
      <c r="GB27" s="7070"/>
    </row>
    <row s="7070" customFormat="1" customHeight="1" ht="24.75">
      <c r="A28" s="7070" t="s">
        <v>22</v>
      </c>
      <c r="B28" s="7127"/>
      <c r="C28" s="7070"/>
      <c r="D28" s="7070"/>
      <c r="E28" s="7143" t="s">
        <v>106</v>
      </c>
      <c r="F28" s="7701" t="s">
        <v>92</v>
      </c>
      <c r="G28" s="7702" t="s">
        <v>1049</v>
      </c>
      <c r="H28" s="7703" t="s">
        <v>1459</v>
      </c>
      <c r="I28" s="7704" t="s">
        <v>1460</v>
      </c>
      <c r="J28" s="7705"/>
      <c r="K28" s="7705"/>
      <c r="L28" s="7705"/>
      <c r="M28" s="7705"/>
      <c r="N28" s="7705"/>
      <c r="O28" s="7706"/>
      <c r="P28" s="7706"/>
      <c r="Q28" s="7706">
        <v>0</v>
      </c>
      <c r="R28" s="7706">
        <v>0</v>
      </c>
      <c r="S28" s="7706">
        <v>157.43</v>
      </c>
      <c r="T28" s="7706">
        <v>153.66</v>
      </c>
      <c r="U28" s="7706"/>
      <c r="V28" s="7706"/>
      <c r="W28" s="7706"/>
      <c r="X28" s="7706"/>
      <c r="Y28" s="7706"/>
      <c r="Z28" s="7706"/>
      <c r="AA28" s="7706"/>
      <c r="AB28" s="7706"/>
      <c r="AC28" s="7705"/>
      <c r="AD28" s="7705"/>
      <c r="AE28" s="7705"/>
      <c r="AF28" s="7705"/>
      <c r="AG28" s="7705"/>
      <c r="AH28" s="7705"/>
      <c r="AI28" s="7705"/>
      <c r="AJ28" s="7705"/>
      <c r="AK28" s="7705"/>
      <c r="AL28" s="7705"/>
      <c r="AM28" s="7705"/>
      <c r="AN28" s="7705"/>
      <c r="AO28" s="7705"/>
      <c r="AP28" s="7705"/>
      <c r="AQ28" s="7705"/>
      <c r="AR28" s="7705"/>
      <c r="AS28" s="7705"/>
      <c r="AT28" s="7705"/>
      <c r="AU28" s="7705"/>
      <c r="AV28" s="7705"/>
      <c r="AW28" s="7705"/>
      <c r="AX28" s="7705"/>
      <c r="AY28" s="7705"/>
      <c r="AZ28" s="7705"/>
      <c r="BA28" s="7705"/>
      <c r="BB28" s="7705"/>
      <c r="BC28" s="7705"/>
      <c r="BD28" s="7705"/>
      <c r="BE28" s="7705"/>
      <c r="BF28" s="7705"/>
      <c r="BG28" s="7705"/>
      <c r="BH28" s="7705"/>
      <c r="BI28" s="7705"/>
      <c r="BJ28" s="7705"/>
      <c r="BK28" s="7705"/>
      <c r="BL28" s="7705"/>
      <c r="BM28" s="7705"/>
      <c r="BN28" s="7705"/>
      <c r="BO28" s="7705"/>
      <c r="BP28" s="7705"/>
      <c r="BQ28" s="7705"/>
      <c r="BR28" s="7705"/>
      <c r="BS28" s="7705"/>
      <c r="BT28" s="7706"/>
      <c r="BU28" s="7706"/>
      <c r="BV28" s="7706"/>
      <c r="BW28" s="7706"/>
      <c r="BX28" s="7706"/>
      <c r="BY28" s="7706"/>
      <c r="BZ28" s="7706"/>
      <c r="CA28" s="7706"/>
      <c r="CB28" s="7706"/>
      <c r="CC28" s="7706"/>
      <c r="CD28" s="7706"/>
      <c r="CE28" s="7706"/>
      <c r="CF28" s="7706"/>
      <c r="CG28" s="7706"/>
      <c r="CH28" s="7706"/>
      <c r="CI28" s="7706"/>
      <c r="CJ28" s="7706"/>
      <c r="CK28" s="7706"/>
      <c r="CL28" s="7705"/>
      <c r="CM28" s="7705"/>
      <c r="CN28" s="7705"/>
      <c r="CO28" s="7705"/>
      <c r="CP28" s="7705"/>
      <c r="CQ28" s="7705"/>
      <c r="CR28" s="7705"/>
      <c r="CS28" s="7705"/>
      <c r="CT28" s="7705"/>
      <c r="CU28" s="7705"/>
      <c r="CV28" s="7705"/>
      <c r="CW28" s="7705"/>
      <c r="CX28" s="7705"/>
      <c r="CY28" s="7706"/>
      <c r="CZ28" s="7706"/>
      <c r="DA28" s="7706"/>
      <c r="DB28" s="7706"/>
      <c r="DC28" s="7706"/>
      <c r="DD28" s="7706"/>
      <c r="DE28" s="7706"/>
      <c r="DF28" s="7706"/>
      <c r="DG28" s="7706"/>
      <c r="DH28" s="7706"/>
      <c r="DI28" s="7706"/>
      <c r="DJ28" s="7706"/>
      <c r="DK28" s="7705"/>
      <c r="DL28" s="7705"/>
      <c r="DM28" s="7705"/>
      <c r="DN28" s="7705"/>
      <c r="DO28" s="7705"/>
      <c r="DP28" s="7705"/>
      <c r="DQ28" s="7705"/>
      <c r="DR28" s="7705"/>
      <c r="DS28" s="7705"/>
      <c r="DT28" s="7705"/>
      <c r="DU28" s="7705"/>
      <c r="DV28" s="7705"/>
      <c r="DW28" s="7705"/>
      <c r="DX28" s="7705"/>
      <c r="DY28" s="7705"/>
      <c r="DZ28" s="7705"/>
      <c r="EA28" s="7705"/>
      <c r="EB28" s="7705"/>
      <c r="EC28" s="7705"/>
      <c r="ED28" s="7705"/>
      <c r="EE28" s="7705"/>
      <c r="EF28" s="7705"/>
      <c r="EG28" s="7705"/>
      <c r="EH28" s="7705"/>
      <c r="EI28" s="7705"/>
      <c r="EJ28" s="7705"/>
      <c r="EK28" s="7705"/>
      <c r="EL28" s="7705"/>
      <c r="EM28" s="7705"/>
      <c r="EN28" s="7705"/>
      <c r="EO28" s="7705"/>
      <c r="EP28" s="7705"/>
      <c r="EQ28" s="7705"/>
      <c r="ER28" s="7705"/>
      <c r="ES28" s="7705"/>
      <c r="ET28" s="7705"/>
      <c r="EU28" s="7705"/>
      <c r="EV28" s="7705"/>
      <c r="EW28" s="7705"/>
      <c r="EX28" s="7705"/>
      <c r="EY28" s="7705"/>
      <c r="EZ28" s="7705"/>
      <c r="FA28" s="7705"/>
      <c r="FB28" s="7705"/>
      <c r="FC28" s="7705"/>
      <c r="FD28" s="7705"/>
      <c r="FE28" s="7705"/>
      <c r="FF28" s="7705"/>
      <c r="FG28" s="7705"/>
      <c r="FH28" s="7705"/>
      <c r="FI28" s="7705"/>
      <c r="FJ28" s="7705"/>
      <c r="FK28" s="7705"/>
      <c r="FL28" s="7705"/>
      <c r="FM28" s="7705"/>
      <c r="FN28" s="7705"/>
      <c r="FO28" s="7705"/>
      <c r="FP28" s="7705"/>
      <c r="FQ28" s="7705"/>
      <c r="FR28" s="7705"/>
      <c r="FS28" s="7705"/>
      <c r="FT28" s="7705"/>
      <c r="FU28" s="7705"/>
      <c r="FV28" s="7705"/>
      <c r="FW28" s="7705"/>
      <c r="FX28" s="7381"/>
      <c r="FY28" s="7070"/>
      <c r="FZ28" s="7070"/>
      <c r="GA28" s="7070"/>
      <c r="GB28" s="7070"/>
    </row>
    <row s="7070" customFormat="1" customHeight="1" ht="24.75">
      <c r="A29" s="7070" t="s">
        <v>22</v>
      </c>
      <c r="B29" s="7127"/>
      <c r="C29" s="7070"/>
      <c r="D29" s="7070"/>
      <c r="E29" s="7143" t="s">
        <v>106</v>
      </c>
      <c r="F29" s="7701" t="s">
        <v>122</v>
      </c>
      <c r="G29" s="7702" t="s">
        <v>1049</v>
      </c>
      <c r="H29" s="7703" t="s">
        <v>1459</v>
      </c>
      <c r="I29" s="7704" t="s">
        <v>1460</v>
      </c>
      <c r="J29" s="7705"/>
      <c r="K29" s="7705"/>
      <c r="L29" s="7705"/>
      <c r="M29" s="7705"/>
      <c r="N29" s="7705"/>
      <c r="O29" s="7706">
        <v>0.175</v>
      </c>
      <c r="P29" s="7706">
        <v>0.152</v>
      </c>
      <c r="Q29" s="7706"/>
      <c r="R29" s="7706"/>
      <c r="S29" s="7706"/>
      <c r="T29" s="7706"/>
      <c r="U29" s="7706">
        <v>2.22</v>
      </c>
      <c r="V29" s="7706">
        <v>2.09</v>
      </c>
      <c r="W29" s="7706">
        <v>2.65</v>
      </c>
      <c r="X29" s="7706">
        <v>2.61</v>
      </c>
      <c r="Y29" s="7706">
        <v>24279</v>
      </c>
      <c r="Z29" s="7706">
        <v>23221</v>
      </c>
      <c r="AA29" s="7706">
        <v>28938</v>
      </c>
      <c r="AB29" s="7706">
        <v>28934</v>
      </c>
      <c r="AC29" s="7705"/>
      <c r="AD29" s="7705"/>
      <c r="AE29" s="7705"/>
      <c r="AF29" s="7705"/>
      <c r="AG29" s="7705"/>
      <c r="AH29" s="7705"/>
      <c r="AI29" s="7705"/>
      <c r="AJ29" s="7705"/>
      <c r="AK29" s="7705"/>
      <c r="AL29" s="7705"/>
      <c r="AM29" s="7705"/>
      <c r="AN29" s="7705"/>
      <c r="AO29" s="7705"/>
      <c r="AP29" s="7705"/>
      <c r="AQ29" s="7705"/>
      <c r="AR29" s="7705"/>
      <c r="AS29" s="7705"/>
      <c r="AT29" s="7705"/>
      <c r="AU29" s="7705"/>
      <c r="AV29" s="7705"/>
      <c r="AW29" s="7705"/>
      <c r="AX29" s="7705"/>
      <c r="AY29" s="7705"/>
      <c r="AZ29" s="7705"/>
      <c r="BA29" s="7705"/>
      <c r="BB29" s="7705"/>
      <c r="BC29" s="7705"/>
      <c r="BD29" s="7705"/>
      <c r="BE29" s="7705"/>
      <c r="BF29" s="7705"/>
      <c r="BG29" s="7705"/>
      <c r="BH29" s="7705"/>
      <c r="BI29" s="7705"/>
      <c r="BJ29" s="7705"/>
      <c r="BK29" s="7705"/>
      <c r="BL29" s="7705"/>
      <c r="BM29" s="7705"/>
      <c r="BN29" s="7705"/>
      <c r="BO29" s="7705"/>
      <c r="BP29" s="7705"/>
      <c r="BQ29" s="7705"/>
      <c r="BR29" s="7705"/>
      <c r="BS29" s="7705"/>
      <c r="BT29" s="7706"/>
      <c r="BU29" s="7706"/>
      <c r="BV29" s="7706"/>
      <c r="BW29" s="7706"/>
      <c r="BX29" s="7706"/>
      <c r="BY29" s="7706"/>
      <c r="BZ29" s="7706"/>
      <c r="CA29" s="7706"/>
      <c r="CB29" s="7706"/>
      <c r="CC29" s="7706"/>
      <c r="CD29" s="7706"/>
      <c r="CE29" s="7706"/>
      <c r="CF29" s="7706"/>
      <c r="CG29" s="7706"/>
      <c r="CH29" s="7706"/>
      <c r="CI29" s="7706"/>
      <c r="CJ29" s="7706"/>
      <c r="CK29" s="7706"/>
      <c r="CL29" s="7705"/>
      <c r="CM29" s="7705"/>
      <c r="CN29" s="7705"/>
      <c r="CO29" s="7705"/>
      <c r="CP29" s="7705"/>
      <c r="CQ29" s="7705"/>
      <c r="CR29" s="7705"/>
      <c r="CS29" s="7705"/>
      <c r="CT29" s="7705"/>
      <c r="CU29" s="7705"/>
      <c r="CV29" s="7705"/>
      <c r="CW29" s="7705"/>
      <c r="CX29" s="7705"/>
      <c r="CY29" s="7706"/>
      <c r="CZ29" s="7706"/>
      <c r="DA29" s="7706"/>
      <c r="DB29" s="7706"/>
      <c r="DC29" s="7706"/>
      <c r="DD29" s="7706"/>
      <c r="DE29" s="7706"/>
      <c r="DF29" s="7706"/>
      <c r="DG29" s="7706"/>
      <c r="DH29" s="7706"/>
      <c r="DI29" s="7706"/>
      <c r="DJ29" s="7706"/>
      <c r="DK29" s="7705"/>
      <c r="DL29" s="7705"/>
      <c r="DM29" s="7705"/>
      <c r="DN29" s="7705"/>
      <c r="DO29" s="7705"/>
      <c r="DP29" s="7705"/>
      <c r="DQ29" s="7705"/>
      <c r="DR29" s="7705"/>
      <c r="DS29" s="7705"/>
      <c r="DT29" s="7705"/>
      <c r="DU29" s="7705"/>
      <c r="DV29" s="7705"/>
      <c r="DW29" s="7705"/>
      <c r="DX29" s="7705"/>
      <c r="DY29" s="7705"/>
      <c r="DZ29" s="7705"/>
      <c r="EA29" s="7705"/>
      <c r="EB29" s="7705"/>
      <c r="EC29" s="7705"/>
      <c r="ED29" s="7705"/>
      <c r="EE29" s="7705"/>
      <c r="EF29" s="7705"/>
      <c r="EG29" s="7705"/>
      <c r="EH29" s="7705"/>
      <c r="EI29" s="7705"/>
      <c r="EJ29" s="7705"/>
      <c r="EK29" s="7705"/>
      <c r="EL29" s="7705"/>
      <c r="EM29" s="7705"/>
      <c r="EN29" s="7705"/>
      <c r="EO29" s="7705"/>
      <c r="EP29" s="7705"/>
      <c r="EQ29" s="7705"/>
      <c r="ER29" s="7705"/>
      <c r="ES29" s="7705"/>
      <c r="ET29" s="7705"/>
      <c r="EU29" s="7705"/>
      <c r="EV29" s="7705"/>
      <c r="EW29" s="7705"/>
      <c r="EX29" s="7705"/>
      <c r="EY29" s="7705"/>
      <c r="EZ29" s="7705"/>
      <c r="FA29" s="7705"/>
      <c r="FB29" s="7705"/>
      <c r="FC29" s="7705"/>
      <c r="FD29" s="7705"/>
      <c r="FE29" s="7705"/>
      <c r="FF29" s="7705"/>
      <c r="FG29" s="7705"/>
      <c r="FH29" s="7705"/>
      <c r="FI29" s="7705"/>
      <c r="FJ29" s="7705"/>
      <c r="FK29" s="7705"/>
      <c r="FL29" s="7705"/>
      <c r="FM29" s="7705"/>
      <c r="FN29" s="7705"/>
      <c r="FO29" s="7705"/>
      <c r="FP29" s="7705"/>
      <c r="FQ29" s="7705"/>
      <c r="FR29" s="7705"/>
      <c r="FS29" s="7705"/>
      <c r="FT29" s="7705"/>
      <c r="FU29" s="7705"/>
      <c r="FV29" s="7705"/>
      <c r="FW29" s="7705"/>
      <c r="FX29" s="7381"/>
      <c r="FY29" s="7070"/>
      <c r="FZ29" s="7070"/>
      <c r="GA29" s="7070"/>
      <c r="GB29" s="7070"/>
    </row>
    <row s="7070" customFormat="1" customHeight="1" ht="24.75">
      <c r="A30" s="7070" t="s">
        <v>22</v>
      </c>
      <c r="B30" s="7127"/>
      <c r="C30" s="7070"/>
      <c r="D30" s="7070"/>
      <c r="E30" s="7143" t="s">
        <v>106</v>
      </c>
      <c r="F30" s="7701" t="s">
        <v>93</v>
      </c>
      <c r="G30" s="7702" t="s">
        <v>1049</v>
      </c>
      <c r="H30" s="7703" t="s">
        <v>1459</v>
      </c>
      <c r="I30" s="7704" t="s">
        <v>1460</v>
      </c>
      <c r="J30" s="7705"/>
      <c r="K30" s="7705"/>
      <c r="L30" s="7705"/>
      <c r="M30" s="7705"/>
      <c r="N30" s="7705"/>
      <c r="O30" s="7706">
        <v>0.065</v>
      </c>
      <c r="P30" s="7706">
        <v>0.065</v>
      </c>
      <c r="Q30" s="7706"/>
      <c r="R30" s="7706"/>
      <c r="S30" s="7706"/>
      <c r="T30" s="7706"/>
      <c r="U30" s="7706">
        <v>2.29</v>
      </c>
      <c r="V30" s="7706">
        <v>3.85</v>
      </c>
      <c r="W30" s="7706">
        <v>2.37</v>
      </c>
      <c r="X30" s="7706">
        <v>2.4</v>
      </c>
      <c r="Y30" s="7706">
        <v>29710</v>
      </c>
      <c r="Z30" s="7706">
        <v>49846</v>
      </c>
      <c r="AA30" s="7706">
        <v>30767</v>
      </c>
      <c r="AB30" s="7706">
        <v>31090</v>
      </c>
      <c r="AC30" s="7705"/>
      <c r="AD30" s="7705"/>
      <c r="AE30" s="7705"/>
      <c r="AF30" s="7705"/>
      <c r="AG30" s="7705"/>
      <c r="AH30" s="7705"/>
      <c r="AI30" s="7705"/>
      <c r="AJ30" s="7705"/>
      <c r="AK30" s="7705"/>
      <c r="AL30" s="7705"/>
      <c r="AM30" s="7705"/>
      <c r="AN30" s="7705"/>
      <c r="AO30" s="7705"/>
      <c r="AP30" s="7705"/>
      <c r="AQ30" s="7705"/>
      <c r="AR30" s="7705"/>
      <c r="AS30" s="7705"/>
      <c r="AT30" s="7705"/>
      <c r="AU30" s="7705"/>
      <c r="AV30" s="7705"/>
      <c r="AW30" s="7705"/>
      <c r="AX30" s="7705"/>
      <c r="AY30" s="7705"/>
      <c r="AZ30" s="7705"/>
      <c r="BA30" s="7705"/>
      <c r="BB30" s="7705"/>
      <c r="BC30" s="7705"/>
      <c r="BD30" s="7705"/>
      <c r="BE30" s="7705"/>
      <c r="BF30" s="7705"/>
      <c r="BG30" s="7705"/>
      <c r="BH30" s="7705"/>
      <c r="BI30" s="7705"/>
      <c r="BJ30" s="7705"/>
      <c r="BK30" s="7705"/>
      <c r="BL30" s="7705"/>
      <c r="BM30" s="7705"/>
      <c r="BN30" s="7705"/>
      <c r="BO30" s="7705"/>
      <c r="BP30" s="7705"/>
      <c r="BQ30" s="7705"/>
      <c r="BR30" s="7705"/>
      <c r="BS30" s="7705"/>
      <c r="BT30" s="7706"/>
      <c r="BU30" s="7706"/>
      <c r="BV30" s="7706"/>
      <c r="BW30" s="7706"/>
      <c r="BX30" s="7706"/>
      <c r="BY30" s="7706"/>
      <c r="BZ30" s="7706"/>
      <c r="CA30" s="7706"/>
      <c r="CB30" s="7706"/>
      <c r="CC30" s="7706"/>
      <c r="CD30" s="7706"/>
      <c r="CE30" s="7706"/>
      <c r="CF30" s="7706"/>
      <c r="CG30" s="7706"/>
      <c r="CH30" s="7706"/>
      <c r="CI30" s="7706"/>
      <c r="CJ30" s="7706"/>
      <c r="CK30" s="7706"/>
      <c r="CL30" s="7705"/>
      <c r="CM30" s="7705"/>
      <c r="CN30" s="7705"/>
      <c r="CO30" s="7705"/>
      <c r="CP30" s="7705"/>
      <c r="CQ30" s="7705"/>
      <c r="CR30" s="7705"/>
      <c r="CS30" s="7705"/>
      <c r="CT30" s="7705"/>
      <c r="CU30" s="7705"/>
      <c r="CV30" s="7705"/>
      <c r="CW30" s="7705"/>
      <c r="CX30" s="7705"/>
      <c r="CY30" s="7706"/>
      <c r="CZ30" s="7706"/>
      <c r="DA30" s="7706"/>
      <c r="DB30" s="7706"/>
      <c r="DC30" s="7706"/>
      <c r="DD30" s="7706"/>
      <c r="DE30" s="7706"/>
      <c r="DF30" s="7706"/>
      <c r="DG30" s="7706"/>
      <c r="DH30" s="7706"/>
      <c r="DI30" s="7706"/>
      <c r="DJ30" s="7706"/>
      <c r="DK30" s="7705"/>
      <c r="DL30" s="7705"/>
      <c r="DM30" s="7705"/>
      <c r="DN30" s="7705"/>
      <c r="DO30" s="7705"/>
      <c r="DP30" s="7705"/>
      <c r="DQ30" s="7705"/>
      <c r="DR30" s="7705"/>
      <c r="DS30" s="7705"/>
      <c r="DT30" s="7705"/>
      <c r="DU30" s="7705"/>
      <c r="DV30" s="7705"/>
      <c r="DW30" s="7705"/>
      <c r="DX30" s="7705"/>
      <c r="DY30" s="7705"/>
      <c r="DZ30" s="7705"/>
      <c r="EA30" s="7705"/>
      <c r="EB30" s="7705"/>
      <c r="EC30" s="7705"/>
      <c r="ED30" s="7705"/>
      <c r="EE30" s="7705"/>
      <c r="EF30" s="7705"/>
      <c r="EG30" s="7705"/>
      <c r="EH30" s="7705"/>
      <c r="EI30" s="7705"/>
      <c r="EJ30" s="7705"/>
      <c r="EK30" s="7705"/>
      <c r="EL30" s="7705"/>
      <c r="EM30" s="7705"/>
      <c r="EN30" s="7705"/>
      <c r="EO30" s="7705"/>
      <c r="EP30" s="7705"/>
      <c r="EQ30" s="7705"/>
      <c r="ER30" s="7705"/>
      <c r="ES30" s="7705"/>
      <c r="ET30" s="7705"/>
      <c r="EU30" s="7705"/>
      <c r="EV30" s="7705"/>
      <c r="EW30" s="7705"/>
      <c r="EX30" s="7705"/>
      <c r="EY30" s="7705"/>
      <c r="EZ30" s="7705"/>
      <c r="FA30" s="7705"/>
      <c r="FB30" s="7705"/>
      <c r="FC30" s="7705"/>
      <c r="FD30" s="7705"/>
      <c r="FE30" s="7705"/>
      <c r="FF30" s="7705"/>
      <c r="FG30" s="7705"/>
      <c r="FH30" s="7705"/>
      <c r="FI30" s="7705"/>
      <c r="FJ30" s="7705"/>
      <c r="FK30" s="7705"/>
      <c r="FL30" s="7705"/>
      <c r="FM30" s="7705"/>
      <c r="FN30" s="7705"/>
      <c r="FO30" s="7705"/>
      <c r="FP30" s="7705"/>
      <c r="FQ30" s="7705"/>
      <c r="FR30" s="7705"/>
      <c r="FS30" s="7705"/>
      <c r="FT30" s="7705"/>
      <c r="FU30" s="7705"/>
      <c r="FV30" s="7705"/>
      <c r="FW30" s="7705"/>
      <c r="FX30" s="7381"/>
      <c r="FY30" s="7070"/>
      <c r="FZ30" s="7070"/>
      <c r="GA30" s="7070"/>
      <c r="GB30" s="7070"/>
    </row>
    <row s="7070" customFormat="1" customHeight="1" ht="24.75">
      <c r="A31" s="7070" t="s">
        <v>22</v>
      </c>
      <c r="B31" s="7127"/>
      <c r="C31" s="7070"/>
      <c r="D31" s="7070"/>
      <c r="E31" s="7143" t="s">
        <v>106</v>
      </c>
      <c r="F31" s="7701" t="s">
        <v>94</v>
      </c>
      <c r="G31" s="7702" t="s">
        <v>1049</v>
      </c>
      <c r="H31" s="7703" t="s">
        <v>1459</v>
      </c>
      <c r="I31" s="7704" t="s">
        <v>1460</v>
      </c>
      <c r="J31" s="7705"/>
      <c r="K31" s="7705"/>
      <c r="L31" s="7705"/>
      <c r="M31" s="7705"/>
      <c r="N31" s="7705"/>
      <c r="O31" s="7706">
        <v>0.759</v>
      </c>
      <c r="P31" s="7706">
        <v>0.72</v>
      </c>
      <c r="Q31" s="7706"/>
      <c r="R31" s="7706"/>
      <c r="S31" s="7706"/>
      <c r="T31" s="7706"/>
      <c r="U31" s="7706">
        <v>1.99</v>
      </c>
      <c r="V31" s="7706">
        <v>1.17</v>
      </c>
      <c r="W31" s="7706">
        <v>8.85</v>
      </c>
      <c r="X31" s="7706">
        <v>8.22</v>
      </c>
      <c r="Y31" s="7706">
        <v>385255</v>
      </c>
      <c r="Z31" s="7706">
        <v>233813</v>
      </c>
      <c r="AA31" s="7706">
        <v>1712941</v>
      </c>
      <c r="AB31" s="7706">
        <v>1636974</v>
      </c>
      <c r="AC31" s="7705"/>
      <c r="AD31" s="7705"/>
      <c r="AE31" s="7705"/>
      <c r="AF31" s="7705"/>
      <c r="AG31" s="7705"/>
      <c r="AH31" s="7705"/>
      <c r="AI31" s="7705"/>
      <c r="AJ31" s="7705"/>
      <c r="AK31" s="7705"/>
      <c r="AL31" s="7705"/>
      <c r="AM31" s="7705"/>
      <c r="AN31" s="7705"/>
      <c r="AO31" s="7705"/>
      <c r="AP31" s="7705"/>
      <c r="AQ31" s="7705"/>
      <c r="AR31" s="7705"/>
      <c r="AS31" s="7705"/>
      <c r="AT31" s="7705"/>
      <c r="AU31" s="7705"/>
      <c r="AV31" s="7705"/>
      <c r="AW31" s="7705"/>
      <c r="AX31" s="7705"/>
      <c r="AY31" s="7705"/>
      <c r="AZ31" s="7705"/>
      <c r="BA31" s="7705"/>
      <c r="BB31" s="7705"/>
      <c r="BC31" s="7705"/>
      <c r="BD31" s="7705"/>
      <c r="BE31" s="7705"/>
      <c r="BF31" s="7705"/>
      <c r="BG31" s="7705"/>
      <c r="BH31" s="7705"/>
      <c r="BI31" s="7705"/>
      <c r="BJ31" s="7705"/>
      <c r="BK31" s="7705"/>
      <c r="BL31" s="7705"/>
      <c r="BM31" s="7705"/>
      <c r="BN31" s="7705"/>
      <c r="BO31" s="7705"/>
      <c r="BP31" s="7705"/>
      <c r="BQ31" s="7705"/>
      <c r="BR31" s="7705"/>
      <c r="BS31" s="7705"/>
      <c r="BT31" s="7706"/>
      <c r="BU31" s="7706"/>
      <c r="BV31" s="7706"/>
      <c r="BW31" s="7706"/>
      <c r="BX31" s="7706"/>
      <c r="BY31" s="7706"/>
      <c r="BZ31" s="7706"/>
      <c r="CA31" s="7706"/>
      <c r="CB31" s="7706"/>
      <c r="CC31" s="7706"/>
      <c r="CD31" s="7706"/>
      <c r="CE31" s="7706"/>
      <c r="CF31" s="7706"/>
      <c r="CG31" s="7706"/>
      <c r="CH31" s="7706"/>
      <c r="CI31" s="7706"/>
      <c r="CJ31" s="7706"/>
      <c r="CK31" s="7706"/>
      <c r="CL31" s="7705"/>
      <c r="CM31" s="7705"/>
      <c r="CN31" s="7705"/>
      <c r="CO31" s="7705"/>
      <c r="CP31" s="7705"/>
      <c r="CQ31" s="7705"/>
      <c r="CR31" s="7705"/>
      <c r="CS31" s="7705"/>
      <c r="CT31" s="7705"/>
      <c r="CU31" s="7705"/>
      <c r="CV31" s="7705"/>
      <c r="CW31" s="7705"/>
      <c r="CX31" s="7705"/>
      <c r="CY31" s="7706"/>
      <c r="CZ31" s="7706"/>
      <c r="DA31" s="7706"/>
      <c r="DB31" s="7706"/>
      <c r="DC31" s="7706"/>
      <c r="DD31" s="7706"/>
      <c r="DE31" s="7706"/>
      <c r="DF31" s="7706"/>
      <c r="DG31" s="7706"/>
      <c r="DH31" s="7706"/>
      <c r="DI31" s="7706"/>
      <c r="DJ31" s="7706"/>
      <c r="DK31" s="7705"/>
      <c r="DL31" s="7705"/>
      <c r="DM31" s="7705"/>
      <c r="DN31" s="7705"/>
      <c r="DO31" s="7705"/>
      <c r="DP31" s="7705"/>
      <c r="DQ31" s="7705"/>
      <c r="DR31" s="7705"/>
      <c r="DS31" s="7705"/>
      <c r="DT31" s="7705"/>
      <c r="DU31" s="7705"/>
      <c r="DV31" s="7705"/>
      <c r="DW31" s="7705"/>
      <c r="DX31" s="7705"/>
      <c r="DY31" s="7705"/>
      <c r="DZ31" s="7705"/>
      <c r="EA31" s="7705"/>
      <c r="EB31" s="7705"/>
      <c r="EC31" s="7705"/>
      <c r="ED31" s="7705"/>
      <c r="EE31" s="7705"/>
      <c r="EF31" s="7705"/>
      <c r="EG31" s="7705"/>
      <c r="EH31" s="7705"/>
      <c r="EI31" s="7705"/>
      <c r="EJ31" s="7705"/>
      <c r="EK31" s="7705"/>
      <c r="EL31" s="7705"/>
      <c r="EM31" s="7705"/>
      <c r="EN31" s="7705"/>
      <c r="EO31" s="7705"/>
      <c r="EP31" s="7705"/>
      <c r="EQ31" s="7705"/>
      <c r="ER31" s="7705"/>
      <c r="ES31" s="7705"/>
      <c r="ET31" s="7705"/>
      <c r="EU31" s="7705"/>
      <c r="EV31" s="7705"/>
      <c r="EW31" s="7705"/>
      <c r="EX31" s="7705"/>
      <c r="EY31" s="7705"/>
      <c r="EZ31" s="7705"/>
      <c r="FA31" s="7705"/>
      <c r="FB31" s="7705"/>
      <c r="FC31" s="7705"/>
      <c r="FD31" s="7705"/>
      <c r="FE31" s="7705"/>
      <c r="FF31" s="7705"/>
      <c r="FG31" s="7705"/>
      <c r="FH31" s="7705"/>
      <c r="FI31" s="7705"/>
      <c r="FJ31" s="7705"/>
      <c r="FK31" s="7705"/>
      <c r="FL31" s="7705"/>
      <c r="FM31" s="7705"/>
      <c r="FN31" s="7705"/>
      <c r="FO31" s="7705"/>
      <c r="FP31" s="7705"/>
      <c r="FQ31" s="7705"/>
      <c r="FR31" s="7705"/>
      <c r="FS31" s="7705"/>
      <c r="FT31" s="7705"/>
      <c r="FU31" s="7705"/>
      <c r="FV31" s="7705"/>
      <c r="FW31" s="7705"/>
      <c r="FX31" s="7381"/>
      <c r="FY31" s="7070"/>
      <c r="FZ31" s="7070"/>
      <c r="GA31" s="7070"/>
      <c r="GB31" s="7070"/>
    </row>
    <row s="7070" customFormat="1" customHeight="1" ht="12">
      <c r="A32" s="7070" t="s">
        <v>1069</v>
      </c>
      <c r="B32" s="7127"/>
      <c r="C32" s="7070"/>
      <c r="D32" s="7070"/>
      <c r="E32" s="7070"/>
      <c r="F32" s="8464"/>
      <c r="G32" s="8465" t="s">
        <v>1461</v>
      </c>
      <c r="H32" s="8466"/>
      <c r="I32" s="8467"/>
      <c r="J32" s="8468"/>
      <c r="K32" s="8469"/>
      <c r="L32" s="8470"/>
      <c r="M32" s="8471"/>
      <c r="N32" s="8472"/>
      <c r="O32" s="8473"/>
      <c r="P32" s="8474"/>
      <c r="Q32" s="8475"/>
      <c r="R32" s="8476"/>
      <c r="S32" s="8477"/>
      <c r="T32" s="8478"/>
      <c r="U32" s="8479"/>
      <c r="V32" s="8480"/>
      <c r="W32" s="8481"/>
      <c r="X32" s="8482"/>
      <c r="Y32" s="8483"/>
      <c r="Z32" s="8484"/>
      <c r="AA32" s="8485"/>
      <c r="AB32" s="8486"/>
      <c r="AC32" s="8487"/>
      <c r="AD32" s="8488"/>
      <c r="AE32" s="8489"/>
      <c r="AF32" s="8490"/>
      <c r="AG32" s="8491"/>
      <c r="AH32" s="8492"/>
      <c r="AI32" s="8493"/>
      <c r="AJ32" s="8494"/>
      <c r="AK32" s="8495"/>
      <c r="AL32" s="8496"/>
      <c r="AM32" s="8497"/>
      <c r="AN32" s="8498"/>
      <c r="AO32" s="8499"/>
      <c r="AP32" s="8500"/>
      <c r="AQ32" s="8501"/>
      <c r="AR32" s="8502"/>
      <c r="AS32" s="8503"/>
      <c r="AT32" s="8504"/>
      <c r="AU32" s="8505"/>
      <c r="AV32" s="8506"/>
      <c r="AW32" s="8507"/>
      <c r="AX32" s="8508"/>
      <c r="AY32" s="8509"/>
      <c r="AZ32" s="8510"/>
      <c r="BA32" s="8511"/>
      <c r="BB32" s="8512"/>
      <c r="BC32" s="8513"/>
      <c r="BD32" s="8514"/>
      <c r="BE32" s="8515"/>
      <c r="BF32" s="8516"/>
      <c r="BG32" s="8517"/>
      <c r="BH32" s="8518"/>
      <c r="BI32" s="8519"/>
      <c r="BJ32" s="8520"/>
      <c r="BK32" s="8521"/>
      <c r="BL32" s="8522"/>
      <c r="BM32" s="8523"/>
      <c r="BN32" s="8524"/>
      <c r="BO32" s="8525"/>
      <c r="BP32" s="8526"/>
      <c r="BQ32" s="8527"/>
      <c r="BR32" s="8528"/>
      <c r="BS32" s="8529"/>
      <c r="BT32" s="8530"/>
      <c r="BU32" s="8531"/>
      <c r="BV32" s="8532"/>
      <c r="BW32" s="8533"/>
      <c r="BX32" s="8534"/>
      <c r="BY32" s="8535"/>
      <c r="BZ32" s="8536"/>
      <c r="CA32" s="8537"/>
      <c r="CB32" s="8538"/>
      <c r="CC32" s="8539"/>
      <c r="CD32" s="8540"/>
      <c r="CE32" s="8541"/>
      <c r="CF32" s="8542"/>
      <c r="CG32" s="8543"/>
      <c r="CH32" s="8544"/>
      <c r="CI32" s="8545"/>
      <c r="CJ32" s="8546"/>
      <c r="CK32" s="8547"/>
      <c r="CL32" s="8548"/>
      <c r="CM32" s="8549"/>
      <c r="CN32" s="8550"/>
      <c r="CO32" s="8551"/>
      <c r="CP32" s="8552"/>
      <c r="CQ32" s="8553"/>
      <c r="CR32" s="8554"/>
      <c r="CS32" s="8555"/>
      <c r="CT32" s="8556"/>
      <c r="CU32" s="8557"/>
      <c r="CV32" s="8558"/>
      <c r="CW32" s="8559"/>
      <c r="CX32" s="8560"/>
      <c r="CY32" s="8561"/>
      <c r="CZ32" s="8562"/>
      <c r="DA32" s="8563"/>
      <c r="DB32" s="8564"/>
      <c r="DC32" s="8565"/>
      <c r="DD32" s="8566"/>
      <c r="DE32" s="8567"/>
      <c r="DF32" s="8568"/>
      <c r="DG32" s="8569"/>
      <c r="DH32" s="8570"/>
      <c r="DI32" s="8571"/>
      <c r="DJ32" s="8572"/>
      <c r="DK32" s="8573"/>
      <c r="DL32" s="8574"/>
      <c r="DM32" s="8575"/>
      <c r="DN32" s="8576"/>
      <c r="DO32" s="8577"/>
      <c r="DP32" s="8578"/>
      <c r="DQ32" s="8579"/>
      <c r="DR32" s="8580"/>
      <c r="DS32" s="8581"/>
      <c r="DT32" s="8582"/>
      <c r="DU32" s="8583"/>
      <c r="DV32" s="8584"/>
      <c r="DW32" s="8585"/>
      <c r="DX32" s="8586"/>
      <c r="DY32" s="8587"/>
      <c r="DZ32" s="8588"/>
      <c r="EA32" s="8589"/>
      <c r="EB32" s="8590"/>
      <c r="EC32" s="8591"/>
      <c r="ED32" s="8592"/>
      <c r="EE32" s="8593"/>
      <c r="EF32" s="8594"/>
      <c r="EG32" s="8595"/>
      <c r="EH32" s="8596"/>
      <c r="EI32" s="8597"/>
      <c r="EJ32" s="8598"/>
      <c r="EK32" s="8599"/>
      <c r="EL32" s="8600"/>
      <c r="EM32" s="8601"/>
      <c r="EN32" s="8602"/>
      <c r="EO32" s="8603"/>
      <c r="EP32" s="8604"/>
      <c r="EQ32" s="8605"/>
      <c r="ER32" s="8606"/>
      <c r="ES32" s="8607"/>
      <c r="ET32" s="8608"/>
      <c r="EU32" s="8609"/>
      <c r="EV32" s="8610"/>
      <c r="EW32" s="8611"/>
      <c r="EX32" s="8612"/>
      <c r="EY32" s="8613"/>
      <c r="EZ32" s="8614"/>
      <c r="FA32" s="8615"/>
      <c r="FB32" s="8616"/>
      <c r="FC32" s="8617"/>
      <c r="FD32" s="8618"/>
      <c r="FE32" s="8619"/>
      <c r="FF32" s="8620"/>
      <c r="FG32" s="8621"/>
      <c r="FH32" s="8622"/>
      <c r="FI32" s="8623"/>
      <c r="FJ32" s="8624"/>
      <c r="FK32" s="8625"/>
      <c r="FL32" s="8626"/>
      <c r="FM32" s="8627"/>
      <c r="FN32" s="8628"/>
      <c r="FO32" s="8629"/>
      <c r="FP32" s="8630"/>
      <c r="FQ32" s="8631"/>
      <c r="FR32" s="8632"/>
      <c r="FS32" s="8633"/>
      <c r="FT32" s="8634"/>
      <c r="FU32" s="8635"/>
      <c r="FV32" s="8636"/>
      <c r="FW32" s="8637"/>
      <c r="FX32" s="7711"/>
      <c r="FY32" s="7523"/>
      <c r="FZ32" s="7523"/>
      <c r="GA32" s="7523"/>
      <c r="GB32" s="7523"/>
    </row>
    <row s="7070" customFormat="1" customHeight="1" ht="12.75">
      <c r="A33" s="1087"/>
      <c r="B33" s="1087"/>
      <c r="C33" s="1087"/>
      <c r="D33" s="1087"/>
      <c r="E33" s="1087"/>
      <c r="F33" s="1085"/>
      <c r="G33" s="1085"/>
      <c r="H33" s="1085"/>
      <c r="I33" s="1085"/>
      <c r="J33" s="1085"/>
      <c r="K33" s="1085"/>
      <c r="L33" s="1085"/>
      <c r="M33" s="1085"/>
      <c r="N33" s="1085"/>
      <c r="O33" s="1085"/>
      <c r="P33" s="1085"/>
      <c r="Q33" s="1085"/>
      <c r="R33" s="1085"/>
      <c r="S33" s="1088"/>
      <c r="T33" s="1088"/>
      <c r="U33" s="1085"/>
      <c r="V33" s="1085"/>
      <c r="W33" s="1085"/>
      <c r="X33" s="1085"/>
      <c r="Y33" s="1085"/>
      <c r="Z33" s="1085"/>
      <c r="AA33" s="1085"/>
      <c r="AB33" s="1085"/>
      <c r="AC33" s="1085"/>
      <c r="AD33" s="1085"/>
      <c r="AE33" s="1085"/>
      <c r="AF33" s="1085"/>
      <c r="AG33" s="1085"/>
      <c r="AH33" s="1085"/>
      <c r="AI33" s="1085"/>
      <c r="AJ33" s="1085"/>
      <c r="AK33" s="1085"/>
      <c r="AL33" s="1085"/>
      <c r="AM33" s="1085"/>
      <c r="AN33" s="1085"/>
      <c r="AO33" s="1085"/>
      <c r="AP33" s="1085"/>
      <c r="AQ33" s="1085"/>
      <c r="AR33" s="1085"/>
      <c r="AS33" s="1085"/>
      <c r="AT33" s="1085"/>
      <c r="AU33" s="1085"/>
      <c r="AV33" s="1085"/>
      <c r="AW33" s="1085"/>
      <c r="AX33" s="1085"/>
      <c r="AY33" s="1085"/>
      <c r="AZ33" s="1085"/>
      <c r="BA33" s="1085"/>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085"/>
      <c r="CP33" s="1085"/>
      <c r="CQ33" s="1085"/>
      <c r="CR33" s="1085"/>
      <c r="CS33" s="1085"/>
      <c r="CT33" s="1085"/>
      <c r="CU33" s="1085"/>
      <c r="CV33" s="1085"/>
      <c r="CW33" s="1085"/>
      <c r="CX33" s="1085"/>
      <c r="CY33" s="1085"/>
      <c r="CZ33" s="1085"/>
      <c r="DA33" s="1085"/>
      <c r="DB33" s="1085"/>
      <c r="DC33" s="1085"/>
      <c r="DD33" s="1085"/>
      <c r="DE33" s="1085"/>
      <c r="DF33" s="1085"/>
      <c r="DG33" s="1085"/>
      <c r="DH33" s="1085"/>
      <c r="DI33" s="1085"/>
      <c r="DJ33" s="1085"/>
      <c r="DK33" s="1085"/>
      <c r="DL33" s="1085"/>
      <c r="DM33" s="1085"/>
      <c r="DN33" s="1085"/>
      <c r="DO33" s="1085"/>
      <c r="DP33" s="1085"/>
      <c r="DQ33" s="1085"/>
      <c r="DR33" s="1085"/>
      <c r="DS33" s="1085"/>
      <c r="DT33" s="1085"/>
      <c r="DU33" s="1085"/>
      <c r="DV33" s="1085"/>
      <c r="DW33" s="1085"/>
      <c r="DX33" s="1085"/>
      <c r="DY33" s="1085"/>
      <c r="DZ33" s="1085"/>
      <c r="EA33" s="1085"/>
      <c r="EB33" s="1085"/>
      <c r="EC33" s="1085"/>
      <c r="ED33" s="1085"/>
      <c r="EE33" s="1085"/>
      <c r="EF33" s="1085"/>
      <c r="EG33" s="1085"/>
      <c r="EH33" s="1085"/>
      <c r="EI33" s="1085"/>
      <c r="EJ33" s="1085"/>
      <c r="EK33" s="1085"/>
      <c r="EL33" s="1085"/>
      <c r="EM33" s="1085"/>
      <c r="EN33" s="1085"/>
      <c r="EO33" s="1085"/>
      <c r="EP33" s="1085"/>
      <c r="EQ33" s="1085"/>
      <c r="ER33" s="1085"/>
      <c r="ES33" s="1085"/>
      <c r="ET33" s="1085"/>
      <c r="EU33" s="1085"/>
      <c r="EV33" s="1085"/>
      <c r="EW33" s="1085"/>
      <c r="EX33" s="1085"/>
      <c r="EY33" s="1085"/>
      <c r="EZ33" s="1085"/>
      <c r="FA33" s="1085"/>
      <c r="FB33" s="1085"/>
      <c r="FC33" s="1085"/>
      <c r="FD33" s="1085"/>
      <c r="FE33" s="1085"/>
      <c r="FF33" s="1085"/>
      <c r="FG33" s="1085"/>
      <c r="FH33" s="1085"/>
      <c r="FI33" s="1085"/>
      <c r="FJ33" s="1085"/>
      <c r="FK33" s="1085"/>
      <c r="FL33" s="1085"/>
      <c r="FM33" s="1085"/>
      <c r="FN33" s="1085"/>
      <c r="FO33" s="1085"/>
      <c r="FP33" s="1085"/>
      <c r="FQ33" s="1085"/>
      <c r="FR33" s="1085"/>
      <c r="FS33" s="1085"/>
      <c r="FT33" s="1085"/>
      <c r="FU33" s="1085"/>
      <c r="FV33" s="1085"/>
      <c r="FW33" s="1085"/>
      <c r="FX33" s="1087"/>
      <c r="FY33" s="1087"/>
      <c r="FZ33" s="1087"/>
      <c r="GA33" s="1087"/>
      <c r="GB33" s="1087"/>
      <c r="GC33" s="1068">
        <v>12</v>
      </c>
    </row>
    <row s="7070" customFormat="1" customHeight="1" ht="12.75">
      <c r="A34" s="1087"/>
      <c r="B34" s="1087"/>
      <c r="C34" s="1087"/>
      <c r="D34" s="1087"/>
      <c r="E34" s="1087"/>
      <c r="FX34" s="1087"/>
      <c r="FY34" s="1087"/>
      <c r="FZ34" s="1087"/>
      <c r="GA34" s="1087"/>
      <c r="GB34" s="1087"/>
      <c r="GC34" s="1068">
        <v>12</v>
      </c>
    </row>
    <row s="7140" customFormat="1" customHeight="1" ht="12.75">
      <c r="A35" s="1208"/>
      <c r="B35" s="1208"/>
      <c r="C35" s="1208"/>
      <c r="D35" s="1208"/>
      <c r="E35" s="1208"/>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210"/>
      <c r="AU35" s="1210"/>
      <c r="AV35" s="1210"/>
      <c r="AW35" s="1210"/>
      <c r="AX35" s="1210"/>
      <c r="AY35" s="1210"/>
      <c r="AZ35" s="1210"/>
      <c r="BA35" s="1210"/>
      <c r="BB35" s="1210"/>
      <c r="BC35" s="1210"/>
      <c r="BD35" s="1210"/>
      <c r="BE35" s="1210"/>
      <c r="BF35" s="1210"/>
      <c r="BG35" s="1210"/>
      <c r="BH35" s="1210"/>
      <c r="BI35" s="1210"/>
      <c r="BJ35" s="1210"/>
      <c r="BK35" s="1210"/>
      <c r="BL35" s="1210"/>
      <c r="BM35" s="1210"/>
      <c r="BN35" s="1210"/>
      <c r="BO35" s="1210"/>
      <c r="BP35" s="1210"/>
      <c r="BQ35" s="1210"/>
      <c r="BR35" s="1210"/>
      <c r="BS35" s="1210"/>
      <c r="BT35" s="1211"/>
      <c r="BU35" s="1211"/>
      <c r="BV35" s="1211"/>
      <c r="BW35" s="1211"/>
      <c r="BX35" s="1211"/>
      <c r="BY35" s="1211"/>
      <c r="BZ35" s="1211"/>
      <c r="CA35" s="1211"/>
      <c r="CB35" s="1211"/>
      <c r="CC35" s="1211"/>
      <c r="CD35" s="1211"/>
      <c r="CE35" s="1211"/>
      <c r="CF35" s="1211"/>
      <c r="CG35" s="1211"/>
      <c r="CH35" s="1211"/>
      <c r="CI35" s="1211"/>
      <c r="CJ35" s="1211"/>
      <c r="CK35" s="1211"/>
      <c r="CL35" s="1211"/>
      <c r="CM35" s="1211"/>
      <c r="CN35" s="1211"/>
      <c r="CO35" s="1211"/>
      <c r="CP35" s="1211"/>
      <c r="CQ35" s="1211"/>
      <c r="CR35" s="1211"/>
      <c r="CS35" s="1211"/>
      <c r="CT35" s="1211"/>
      <c r="CU35" s="1211"/>
      <c r="CV35" s="1211"/>
      <c r="CW35" s="1211"/>
      <c r="CX35" s="1211"/>
      <c r="CY35" s="1211"/>
      <c r="CZ35" s="1211"/>
      <c r="DA35" s="1211"/>
      <c r="DB35" s="1211"/>
      <c r="DC35" s="1211"/>
      <c r="DD35" s="1211"/>
      <c r="DE35" s="1211"/>
      <c r="DF35" s="1211"/>
      <c r="DG35" s="1211"/>
      <c r="DH35" s="1211"/>
      <c r="DI35" s="1211"/>
      <c r="DJ35" s="1211"/>
      <c r="DK35" s="1211"/>
      <c r="DL35" s="1211"/>
      <c r="DM35" s="1211"/>
      <c r="DN35" s="1211"/>
      <c r="DO35" s="1211"/>
      <c r="DP35" s="1211"/>
      <c r="DQ35" s="1211"/>
      <c r="DR35" s="1211"/>
      <c r="DS35" s="1211"/>
      <c r="DT35" s="1211"/>
      <c r="DU35" s="1211"/>
      <c r="DV35" s="1211"/>
      <c r="DW35" s="1211"/>
      <c r="DX35" s="1211"/>
      <c r="FX35" s="1208"/>
      <c r="FY35" s="1208"/>
      <c r="FZ35" s="1208"/>
      <c r="GA35" s="1208"/>
      <c r="GB35" s="1208"/>
      <c r="GC35" s="1209">
        <v>12</v>
      </c>
    </row>
    <row customHeight="1" ht="12.75">
      <c r="S36" s="1084"/>
      <c r="T36" s="1084"/>
      <c r="U36" s="1084"/>
      <c r="V36" s="1084"/>
      <c r="W36" s="1084"/>
      <c r="X36" s="1084"/>
      <c r="Y36" s="1084"/>
      <c r="Z36" s="1084"/>
      <c r="AA36" s="1084"/>
      <c r="AB36" s="1084"/>
      <c r="FX36" s="1084"/>
      <c r="FY36" s="1084"/>
      <c r="FZ36" s="1084"/>
      <c r="GA36" s="1084"/>
      <c r="GB36" s="1084"/>
      <c r="GC36" s="1072">
        <v>12</v>
      </c>
    </row>
    <row customHeight="1" ht="12" hidden="1">
      <c r="A37" s="1072" t="s">
        <v>83</v>
      </c>
      <c r="B37" s="1082">
        <v>0</v>
      </c>
      <c r="C37" s="1072">
        <v>0</v>
      </c>
      <c r="D37" s="1072">
        <v>0</v>
      </c>
      <c r="E37" s="1072">
        <v>3</v>
      </c>
      <c r="F37" s="1072">
        <v>6</v>
      </c>
      <c r="G37" s="1072">
        <v>18</v>
      </c>
      <c r="H37" s="1072">
        <v>27</v>
      </c>
      <c r="I37" s="1072">
        <v>18</v>
      </c>
      <c r="J37" s="1072">
        <v>0</v>
      </c>
      <c r="K37" s="1072">
        <v>0</v>
      </c>
      <c r="L37" s="1072">
        <v>0</v>
      </c>
      <c r="M37" s="1072">
        <v>0</v>
      </c>
      <c r="N37" s="1072">
        <v>0</v>
      </c>
      <c r="O37" s="1072">
        <v>0</v>
      </c>
      <c r="P37" s="1072">
        <v>0</v>
      </c>
      <c r="Q37" s="1072">
        <v>0</v>
      </c>
      <c r="R37" s="1072">
        <v>0</v>
      </c>
      <c r="S37" s="1072">
        <v>0</v>
      </c>
      <c r="T37" s="1072">
        <v>0</v>
      </c>
      <c r="U37" s="1072">
        <v>0</v>
      </c>
      <c r="V37" s="1072">
        <v>0</v>
      </c>
      <c r="W37" s="1072">
        <v>0</v>
      </c>
      <c r="X37" s="1072">
        <v>0</v>
      </c>
      <c r="Y37" s="1072">
        <v>0</v>
      </c>
      <c r="Z37" s="1072">
        <v>0</v>
      </c>
      <c r="AA37" s="1072">
        <v>0</v>
      </c>
      <c r="AB37" s="1072">
        <v>0</v>
      </c>
      <c r="AC37" s="1072">
        <v>0</v>
      </c>
      <c r="AD37" s="1072">
        <v>0</v>
      </c>
      <c r="AE37" s="1072">
        <v>0</v>
      </c>
      <c r="AF37" s="1072">
        <v>0</v>
      </c>
      <c r="AG37" s="1072">
        <v>0</v>
      </c>
      <c r="AH37" s="1072">
        <v>0</v>
      </c>
      <c r="AI37" s="1072">
        <v>0</v>
      </c>
      <c r="AJ37" s="1072">
        <v>0</v>
      </c>
      <c r="AK37" s="1072">
        <v>0</v>
      </c>
      <c r="AL37" s="1072">
        <v>0</v>
      </c>
      <c r="AM37" s="1072">
        <v>0</v>
      </c>
      <c r="AN37" s="1072">
        <v>0</v>
      </c>
      <c r="AO37" s="1072">
        <v>0</v>
      </c>
      <c r="AP37" s="1072">
        <v>0</v>
      </c>
      <c r="AQ37" s="1072">
        <v>0</v>
      </c>
      <c r="AR37" s="1072">
        <v>0</v>
      </c>
      <c r="AS37" s="1072">
        <v>0</v>
      </c>
      <c r="AT37" s="1072">
        <v>0</v>
      </c>
      <c r="AU37" s="1072">
        <v>0</v>
      </c>
      <c r="AV37" s="1072">
        <v>0</v>
      </c>
      <c r="AW37" s="1072">
        <v>0</v>
      </c>
      <c r="AX37" s="1072">
        <v>0</v>
      </c>
      <c r="AY37" s="1072">
        <v>0</v>
      </c>
      <c r="AZ37" s="1072">
        <v>0</v>
      </c>
      <c r="BA37" s="1072">
        <v>0</v>
      </c>
      <c r="BB37" s="1072">
        <v>0</v>
      </c>
      <c r="BC37" s="1072">
        <v>0</v>
      </c>
      <c r="BD37" s="1072">
        <v>0</v>
      </c>
      <c r="BE37" s="1072">
        <v>0</v>
      </c>
      <c r="BF37" s="1072">
        <v>0</v>
      </c>
      <c r="BG37" s="1072">
        <v>0</v>
      </c>
      <c r="BH37" s="1072">
        <v>0</v>
      </c>
      <c r="BI37" s="1072">
        <v>0</v>
      </c>
      <c r="BJ37" s="1072">
        <v>0</v>
      </c>
      <c r="BK37" s="1072">
        <v>0</v>
      </c>
      <c r="BL37" s="1072">
        <v>0</v>
      </c>
      <c r="BM37" s="1072">
        <v>0</v>
      </c>
      <c r="BN37" s="1072">
        <v>0</v>
      </c>
      <c r="BO37" s="1072">
        <v>0</v>
      </c>
      <c r="BP37" s="1072">
        <v>0</v>
      </c>
      <c r="BQ37" s="1072">
        <v>0</v>
      </c>
      <c r="BR37" s="1072">
        <v>0</v>
      </c>
      <c r="BS37" s="1072">
        <v>0</v>
      </c>
      <c r="BT37" s="1072">
        <v>0</v>
      </c>
      <c r="BU37" s="1072">
        <v>0</v>
      </c>
      <c r="BV37" s="1072">
        <v>0</v>
      </c>
      <c r="BW37" s="1072">
        <v>0</v>
      </c>
      <c r="BX37" s="1072">
        <v>0</v>
      </c>
      <c r="BY37" s="1072">
        <v>0</v>
      </c>
      <c r="BZ37" s="1072">
        <v>0</v>
      </c>
      <c r="CA37" s="1072">
        <v>0</v>
      </c>
      <c r="CB37" s="1072">
        <v>0</v>
      </c>
      <c r="CC37" s="1072">
        <v>0</v>
      </c>
      <c r="CD37" s="1072">
        <v>0</v>
      </c>
      <c r="CE37" s="1072">
        <v>0</v>
      </c>
      <c r="CF37" s="1072">
        <v>0</v>
      </c>
      <c r="CG37" s="1072">
        <v>0</v>
      </c>
      <c r="CH37" s="1072">
        <v>0</v>
      </c>
      <c r="CI37" s="1072">
        <v>0</v>
      </c>
      <c r="CJ37" s="1072">
        <v>0</v>
      </c>
      <c r="CK37" s="1072">
        <v>0</v>
      </c>
      <c r="CL37" s="1072">
        <v>0</v>
      </c>
      <c r="CM37" s="1072">
        <v>0</v>
      </c>
      <c r="CN37" s="1072">
        <v>0</v>
      </c>
      <c r="CO37" s="1072">
        <v>0</v>
      </c>
      <c r="CP37" s="1072">
        <v>0</v>
      </c>
      <c r="CQ37" s="1072">
        <v>0</v>
      </c>
      <c r="CR37" s="1072">
        <v>0</v>
      </c>
      <c r="CS37" s="1072">
        <v>0</v>
      </c>
      <c r="CT37" s="1072">
        <v>0</v>
      </c>
      <c r="CU37" s="1072">
        <v>0</v>
      </c>
      <c r="CV37" s="1072">
        <v>0</v>
      </c>
      <c r="CW37" s="1072">
        <v>0</v>
      </c>
      <c r="CX37" s="1072">
        <v>0</v>
      </c>
      <c r="CY37" s="1072">
        <v>0</v>
      </c>
      <c r="CZ37" s="1072">
        <v>0</v>
      </c>
      <c r="DA37" s="1072">
        <v>0</v>
      </c>
      <c r="DB37" s="1072">
        <v>0</v>
      </c>
      <c r="DC37" s="1072">
        <v>0</v>
      </c>
      <c r="DD37" s="1072">
        <v>0</v>
      </c>
      <c r="DE37" s="1072">
        <v>0</v>
      </c>
      <c r="DF37" s="1072">
        <v>0</v>
      </c>
      <c r="DG37" s="1072">
        <v>0</v>
      </c>
      <c r="DH37" s="1072">
        <v>0</v>
      </c>
      <c r="DI37" s="1072">
        <v>0</v>
      </c>
      <c r="DJ37" s="1072">
        <v>0</v>
      </c>
      <c r="DK37" s="1072">
        <v>0</v>
      </c>
      <c r="DL37" s="1072">
        <v>0</v>
      </c>
      <c r="DM37" s="1072">
        <v>0</v>
      </c>
      <c r="DN37" s="1072">
        <v>0</v>
      </c>
      <c r="DO37" s="1072">
        <v>0</v>
      </c>
      <c r="DP37" s="1072">
        <v>0</v>
      </c>
      <c r="DQ37" s="1072">
        <v>0</v>
      </c>
      <c r="DR37" s="1072">
        <v>0</v>
      </c>
      <c r="DS37" s="1072">
        <v>0</v>
      </c>
      <c r="DT37" s="1072">
        <v>0</v>
      </c>
      <c r="DU37" s="1072">
        <v>0</v>
      </c>
      <c r="DV37" s="1072">
        <v>0</v>
      </c>
      <c r="DW37" s="1072">
        <v>0</v>
      </c>
      <c r="DX37" s="1072">
        <v>0</v>
      </c>
      <c r="DY37" s="1072">
        <v>0</v>
      </c>
      <c r="DZ37" s="1072">
        <v>0</v>
      </c>
      <c r="EA37" s="1072">
        <v>0</v>
      </c>
      <c r="EB37" s="1072">
        <v>0</v>
      </c>
      <c r="EC37" s="1072">
        <v>0</v>
      </c>
      <c r="ED37" s="1072">
        <v>0</v>
      </c>
      <c r="EE37" s="1072">
        <v>0</v>
      </c>
      <c r="EF37" s="1072">
        <v>0</v>
      </c>
      <c r="EG37" s="1072">
        <v>0</v>
      </c>
      <c r="EH37" s="1072">
        <v>0</v>
      </c>
      <c r="EI37" s="1072">
        <v>0</v>
      </c>
      <c r="EJ37" s="1072">
        <v>0</v>
      </c>
      <c r="EK37" s="1072">
        <v>0</v>
      </c>
      <c r="EL37" s="1072">
        <v>0</v>
      </c>
      <c r="EM37" s="1072">
        <v>0</v>
      </c>
      <c r="EN37" s="1072">
        <v>0</v>
      </c>
      <c r="EO37" s="1072">
        <v>0</v>
      </c>
      <c r="EP37" s="1072">
        <v>0</v>
      </c>
      <c r="EQ37" s="1072">
        <v>0</v>
      </c>
      <c r="ER37" s="1072">
        <v>0</v>
      </c>
      <c r="ES37" s="1072">
        <v>0</v>
      </c>
      <c r="ET37" s="1072">
        <v>0</v>
      </c>
      <c r="EU37" s="1072">
        <v>0</v>
      </c>
      <c r="EV37" s="1072">
        <v>0</v>
      </c>
      <c r="EW37" s="1072">
        <v>0</v>
      </c>
      <c r="EX37" s="1072">
        <v>0</v>
      </c>
      <c r="EY37" s="1072">
        <v>0</v>
      </c>
      <c r="EZ37" s="1072">
        <v>0</v>
      </c>
      <c r="FA37" s="1072">
        <v>0</v>
      </c>
      <c r="FB37" s="1072">
        <v>0</v>
      </c>
      <c r="FC37" s="1072">
        <v>0</v>
      </c>
      <c r="FD37" s="1072">
        <v>0</v>
      </c>
      <c r="FE37" s="1072">
        <v>0</v>
      </c>
      <c r="FF37" s="1072">
        <v>0</v>
      </c>
      <c r="FG37" s="1072">
        <v>0</v>
      </c>
      <c r="FH37" s="1072">
        <v>0</v>
      </c>
      <c r="FI37" s="1072">
        <v>0</v>
      </c>
      <c r="FJ37" s="1072">
        <v>0</v>
      </c>
      <c r="FK37" s="1072">
        <v>0</v>
      </c>
      <c r="FL37" s="1072">
        <v>0</v>
      </c>
      <c r="FM37" s="1072">
        <v>0</v>
      </c>
      <c r="FN37" s="1072">
        <v>0</v>
      </c>
      <c r="FO37" s="1072">
        <v>0</v>
      </c>
      <c r="FP37" s="1072">
        <v>0</v>
      </c>
      <c r="FQ37" s="1072">
        <v>0</v>
      </c>
      <c r="FR37" s="1072">
        <v>0</v>
      </c>
      <c r="FS37" s="1072">
        <v>0</v>
      </c>
      <c r="FT37" s="1072">
        <v>0</v>
      </c>
      <c r="FU37" s="1072">
        <v>0</v>
      </c>
      <c r="FV37" s="1072">
        <v>0</v>
      </c>
      <c r="FW37" s="1072">
        <v>0</v>
      </c>
      <c r="FX37" s="1072">
        <v>8</v>
      </c>
      <c r="FY37" s="1072">
        <v>8</v>
      </c>
      <c r="FZ37" s="1072">
        <v>8</v>
      </c>
      <c r="GA37" s="1072">
        <v>8</v>
      </c>
      <c r="GB37" s="1072">
        <v>8</v>
      </c>
      <c r="GC37" s="1072">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369">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6">
      <formula1>QRE_METHOD_LIST</formula1>
    </dataValidation>
    <dataValidation type="textLength" operator="lessThanOrEqual" allowBlank="1" showInputMessage="1" showErrorMessage="1" errorTitle="Ошибка" error="Допускается ввод не более 900 символов!" sqref="I26">
      <formula1>900</formula1>
    </dataValidation>
    <dataValidation type="decimal" allowBlank="1" showErrorMessage="1" errorTitle="Ошибка" error="Допускается ввод только действительных чисел!" sqref="O26">
      <formula1>-9.99999999999999E+23</formula1>
      <formula2>9.99999999999999E+23</formula2>
    </dataValidation>
    <dataValidation type="decimal" allowBlank="1" showErrorMessage="1" errorTitle="Ошибка" error="Допускается ввод только действительных чисел!" sqref="P26">
      <formula1>-9.99999999999999E+23</formula1>
      <formula2>9.99999999999999E+23</formula2>
    </dataValidation>
    <dataValidation type="decimal" allowBlank="1" showErrorMessage="1" errorTitle="Ошибка" error="Допускается ввод только действительных чисел!" sqref="Q26">
      <formula1>-9.99999999999999E+23</formula1>
      <formula2>9.99999999999999E+23</formula2>
    </dataValidation>
    <dataValidation type="decimal" allowBlank="1" showErrorMessage="1" errorTitle="Ошибка" error="Допускается ввод только действительных чисел!" sqref="R26">
      <formula1>-9.99999999999999E+23</formula1>
      <formula2>9.99999999999999E+23</formula2>
    </dataValidation>
    <dataValidation type="decimal" allowBlank="1" showErrorMessage="1" errorTitle="Ошибка" error="Допускается ввод только действительных чисел!" sqref="S26">
      <formula1>-9.99999999999999E+23</formula1>
      <formula2>9.99999999999999E+23</formula2>
    </dataValidation>
    <dataValidation type="decimal" allowBlank="1" showErrorMessage="1" errorTitle="Ошибка" error="Допускается ввод только действительных чисел!" sqref="T26">
      <formula1>-9.99999999999999E+23</formula1>
      <formula2>9.99999999999999E+23</formula2>
    </dataValidation>
    <dataValidation type="decimal" allowBlank="1" showErrorMessage="1" errorTitle="Ошибка" error="Допускается ввод только действительных чисел!" sqref="U26">
      <formula1>-9.99999999999999E+23</formula1>
      <formula2>9.99999999999999E+23</formula2>
    </dataValidation>
    <dataValidation type="decimal" allowBlank="1" showErrorMessage="1" errorTitle="Ошибка" error="Допускается ввод только действительных чисел!" sqref="V26">
      <formula1>-9.99999999999999E+23</formula1>
      <formula2>9.99999999999999E+23</formula2>
    </dataValidation>
    <dataValidation type="decimal" allowBlank="1" showErrorMessage="1" errorTitle="Ошибка" error="Допускается ввод только действительных чисел!" sqref="W26">
      <formula1>-9.99999999999999E+23</formula1>
      <formula2>9.99999999999999E+23</formula2>
    </dataValidation>
    <dataValidation type="decimal" allowBlank="1" showErrorMessage="1" errorTitle="Ошибка" error="Допускается ввод только действительных чисел!" sqref="X26">
      <formula1>-9.99999999999999E+23</formula1>
      <formula2>9.99999999999999E+23</formula2>
    </dataValidation>
    <dataValidation type="decimal" allowBlank="1" showErrorMessage="1" errorTitle="Ошибка" error="Допускается ввод только действительных чисел!" sqref="Y26">
      <formula1>-9.99999999999999E+23</formula1>
      <formula2>9.99999999999999E+23</formula2>
    </dataValidation>
    <dataValidation type="decimal" allowBlank="1" showErrorMessage="1" errorTitle="Ошибка" error="Допускается ввод только действительных чисел!" sqref="Z26">
      <formula1>-9.99999999999999E+23</formula1>
      <formula2>9.99999999999999E+23</formula2>
    </dataValidation>
    <dataValidation type="decimal" allowBlank="1" showErrorMessage="1" errorTitle="Ошибка" error="Допускается ввод только действительных чисел!" sqref="AA26">
      <formula1>-9.99999999999999E+23</formula1>
      <formula2>9.99999999999999E+23</formula2>
    </dataValidation>
    <dataValidation type="decimal" allowBlank="1" showErrorMessage="1" errorTitle="Ошибка" error="Допускается ввод только действительных чисел!" sqref="AB26">
      <formula1>-9.99999999999999E+23</formula1>
      <formula2>9.99999999999999E+23</formula2>
    </dataValidation>
    <dataValidation type="decimal" allowBlank="1" showErrorMessage="1" errorTitle="Ошибка" error="Допускается ввод только действительных чисел!" sqref="BT26">
      <formula1>-9.99999999999999E+23</formula1>
      <formula2>9.99999999999999E+23</formula2>
    </dataValidation>
    <dataValidation type="decimal" allowBlank="1" showErrorMessage="1" errorTitle="Ошибка" error="Допускается ввод только действительных чисел!" sqref="BU26">
      <formula1>-9.99999999999999E+23</formula1>
      <formula2>9.99999999999999E+23</formula2>
    </dataValidation>
    <dataValidation type="decimal" allowBlank="1" showErrorMessage="1" errorTitle="Ошибка" error="Допускается ввод только действительных чисел!" sqref="BV26">
      <formula1>-9.99999999999999E+23</formula1>
      <formula2>9.99999999999999E+23</formula2>
    </dataValidation>
    <dataValidation type="decimal" allowBlank="1" showErrorMessage="1" errorTitle="Ошибка" error="Допускается ввод только действительных чисел!" sqref="BW26">
      <formula1>-9.99999999999999E+23</formula1>
      <formula2>9.99999999999999E+23</formula2>
    </dataValidation>
    <dataValidation type="decimal" allowBlank="1" showErrorMessage="1" errorTitle="Ошибка" error="Допускается ввод только действительных чисел!" sqref="BX26">
      <formula1>-9.99999999999999E+23</formula1>
      <formula2>9.99999999999999E+23</formula2>
    </dataValidation>
    <dataValidation type="decimal" allowBlank="1" showErrorMessage="1" errorTitle="Ошибка" error="Допускается ввод только действительных чисел!" sqref="BY26">
      <formula1>-9.99999999999999E+23</formula1>
      <formula2>9.99999999999999E+23</formula2>
    </dataValidation>
    <dataValidation type="decimal" allowBlank="1" showErrorMessage="1" errorTitle="Ошибка" error="Допускается ввод только действительных чисел!" sqref="BZ26">
      <formula1>-9.99999999999999E+23</formula1>
      <formula2>9.99999999999999E+23</formula2>
    </dataValidation>
    <dataValidation type="decimal" allowBlank="1" showErrorMessage="1" errorTitle="Ошибка" error="Допускается ввод только действительных чисел!" sqref="CA26">
      <formula1>-9.99999999999999E+23</formula1>
      <formula2>9.99999999999999E+23</formula2>
    </dataValidation>
    <dataValidation type="decimal" allowBlank="1" showErrorMessage="1" errorTitle="Ошибка" error="Допускается ввод только действительных чисел!" sqref="CB26">
      <formula1>-9.99999999999999E+23</formula1>
      <formula2>9.99999999999999E+23</formula2>
    </dataValidation>
    <dataValidation type="decimal" allowBlank="1" showErrorMessage="1" errorTitle="Ошибка" error="Допускается ввод только действительных чисел!" sqref="CC26">
      <formula1>-9.99999999999999E+23</formula1>
      <formula2>9.99999999999999E+23</formula2>
    </dataValidation>
    <dataValidation type="decimal" allowBlank="1" showErrorMessage="1" errorTitle="Ошибка" error="Допускается ввод только действительных чисел!" sqref="CD26">
      <formula1>-9.99999999999999E+23</formula1>
      <formula2>9.99999999999999E+23</formula2>
    </dataValidation>
    <dataValidation type="decimal" allowBlank="1" showErrorMessage="1" errorTitle="Ошибка" error="Допускается ввод только действительных чисел!" sqref="CE26">
      <formula1>-9.99999999999999E+23</formula1>
      <formula2>9.99999999999999E+23</formula2>
    </dataValidation>
    <dataValidation type="decimal" allowBlank="1" showErrorMessage="1" errorTitle="Ошибка" error="Допускается ввод только действительных чисел!" sqref="CF26">
      <formula1>-9.99999999999999E+23</formula1>
      <formula2>9.99999999999999E+23</formula2>
    </dataValidation>
    <dataValidation type="decimal" allowBlank="1" showErrorMessage="1" errorTitle="Ошибка" error="Допускается ввод только действительных чисел!" sqref="CG26">
      <formula1>-9.99999999999999E+23</formula1>
      <formula2>9.99999999999999E+23</formula2>
    </dataValidation>
    <dataValidation type="decimal" allowBlank="1" showErrorMessage="1" errorTitle="Ошибка" error="Допускается ввод только действительных чисел!" sqref="CH26">
      <formula1>-9.99999999999999E+23</formula1>
      <formula2>9.99999999999999E+23</formula2>
    </dataValidation>
    <dataValidation type="decimal" allowBlank="1" showErrorMessage="1" errorTitle="Ошибка" error="Допускается ввод только действительных чисел!" sqref="CI26">
      <formula1>-9.99999999999999E+23</formula1>
      <formula2>9.99999999999999E+23</formula2>
    </dataValidation>
    <dataValidation type="decimal" allowBlank="1" showErrorMessage="1" errorTitle="Ошибка" error="Допускается ввод только действительных чисел!" sqref="CJ26">
      <formula1>-9.99999999999999E+23</formula1>
      <formula2>9.99999999999999E+23</formula2>
    </dataValidation>
    <dataValidation type="decimal" allowBlank="1" showErrorMessage="1" errorTitle="Ошибка" error="Допускается ввод только действительных чисел!" sqref="CK26">
      <formula1>-9.99999999999999E+23</formula1>
      <formula2>9.99999999999999E+23</formula2>
    </dataValidation>
    <dataValidation type="decimal" allowBlank="1" showErrorMessage="1" errorTitle="Ошибка" error="Допускается ввод только действительных чисел!" sqref="CY26">
      <formula1>-9.99999999999999E+23</formula1>
      <formula2>9.99999999999999E+23</formula2>
    </dataValidation>
    <dataValidation type="decimal" allowBlank="1" showErrorMessage="1" errorTitle="Ошибка" error="Допускается ввод только действительных чисел!" sqref="CZ26">
      <formula1>-9.99999999999999E+23</formula1>
      <formula2>9.99999999999999E+23</formula2>
    </dataValidation>
    <dataValidation type="decimal" allowBlank="1" showErrorMessage="1" errorTitle="Ошибка" error="Допускается ввод только действительных чисел!" sqref="DA26">
      <formula1>-9.99999999999999E+23</formula1>
      <formula2>9.99999999999999E+23</formula2>
    </dataValidation>
    <dataValidation type="decimal" allowBlank="1" showErrorMessage="1" errorTitle="Ошибка" error="Допускается ввод только действительных чисел!" sqref="DB26">
      <formula1>-9.99999999999999E+23</formula1>
      <formula2>9.99999999999999E+23</formula2>
    </dataValidation>
    <dataValidation type="decimal" allowBlank="1" showErrorMessage="1" errorTitle="Ошибка" error="Допускается ввод только действительных чисел!" sqref="DC26">
      <formula1>-9.99999999999999E+23</formula1>
      <formula2>9.99999999999999E+23</formula2>
    </dataValidation>
    <dataValidation type="decimal" allowBlank="1" showErrorMessage="1" errorTitle="Ошибка" error="Допускается ввод только действительных чисел!" sqref="DD26">
      <formula1>-9.99999999999999E+23</formula1>
      <formula2>9.99999999999999E+23</formula2>
    </dataValidation>
    <dataValidation type="decimal" allowBlank="1" showErrorMessage="1" errorTitle="Ошибка" error="Допускается ввод только действительных чисел!" sqref="DE26">
      <formula1>-9.99999999999999E+23</formula1>
      <formula2>9.99999999999999E+23</formula2>
    </dataValidation>
    <dataValidation type="decimal" allowBlank="1" showErrorMessage="1" errorTitle="Ошибка" error="Допускается ввод только действительных чисел!" sqref="DF26">
      <formula1>-9.99999999999999E+23</formula1>
      <formula2>9.99999999999999E+23</formula2>
    </dataValidation>
    <dataValidation type="decimal" allowBlank="1" showErrorMessage="1" errorTitle="Ошибка" error="Допускается ввод только действительных чисел!" sqref="DG26">
      <formula1>-9.99999999999999E+23</formula1>
      <formula2>9.99999999999999E+23</formula2>
    </dataValidation>
    <dataValidation type="decimal" allowBlank="1" showErrorMessage="1" errorTitle="Ошибка" error="Допускается ввод только действительных чисел!" sqref="DH26">
      <formula1>-9.99999999999999E+23</formula1>
      <formula2>9.99999999999999E+23</formula2>
    </dataValidation>
    <dataValidation type="decimal" allowBlank="1" showErrorMessage="1" errorTitle="Ошибка" error="Допускается ввод только действительных чисел!" sqref="DI26">
      <formula1>-9.99999999999999E+23</formula1>
      <formula2>9.99999999999999E+23</formula2>
    </dataValidation>
    <dataValidation type="decimal" allowBlank="1" showErrorMessage="1" errorTitle="Ошибка" error="Допускается ввод только действительных чисел!" sqref="DJ26">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7">
      <formula1>QRE_METHOD_LIST</formula1>
    </dataValidation>
    <dataValidation type="textLength" operator="lessThanOrEqual" allowBlank="1" showInputMessage="1" showErrorMessage="1" errorTitle="Ошибка" error="Допускается ввод не более 900 символов!" sqref="I27">
      <formula1>900</formula1>
    </dataValidation>
    <dataValidation type="decimal" allowBlank="1" showErrorMessage="1" errorTitle="Ошибка" error="Допускается ввод только действительных чисел!" sqref="O27">
      <formula1>-9.99999999999999E+23</formula1>
      <formula2>9.99999999999999E+23</formula2>
    </dataValidation>
    <dataValidation type="decimal" allowBlank="1" showErrorMessage="1" errorTitle="Ошибка" error="Допускается ввод только действительных чисел!" sqref="P27">
      <formula1>-9.99999999999999E+23</formula1>
      <formula2>9.99999999999999E+23</formula2>
    </dataValidation>
    <dataValidation type="decimal" allowBlank="1" showErrorMessage="1" errorTitle="Ошибка" error="Допускается ввод только действительных чисел!" sqref="Q27">
      <formula1>-9.99999999999999E+23</formula1>
      <formula2>9.99999999999999E+23</formula2>
    </dataValidation>
    <dataValidation type="decimal" allowBlank="1" showErrorMessage="1" errorTitle="Ошибка" error="Допускается ввод только действительных чисел!" sqref="R27">
      <formula1>-9.99999999999999E+23</formula1>
      <formula2>9.99999999999999E+23</formula2>
    </dataValidation>
    <dataValidation type="decimal" allowBlank="1" showErrorMessage="1" errorTitle="Ошибка" error="Допускается ввод только действительных чисел!" sqref="S27">
      <formula1>-9.99999999999999E+23</formula1>
      <formula2>9.99999999999999E+23</formula2>
    </dataValidation>
    <dataValidation type="decimal" allowBlank="1" showErrorMessage="1" errorTitle="Ошибка" error="Допускается ввод только действительных чисел!" sqref="T27">
      <formula1>-9.99999999999999E+23</formula1>
      <formula2>9.99999999999999E+23</formula2>
    </dataValidation>
    <dataValidation type="decimal" allowBlank="1" showErrorMessage="1" errorTitle="Ошибка" error="Допускается ввод только действительных чисел!" sqref="U27">
      <formula1>-9.99999999999999E+23</formula1>
      <formula2>9.99999999999999E+23</formula2>
    </dataValidation>
    <dataValidation type="decimal" allowBlank="1" showErrorMessage="1" errorTitle="Ошибка" error="Допускается ввод только действительных чисел!" sqref="V27">
      <formula1>-9.99999999999999E+23</formula1>
      <formula2>9.99999999999999E+23</formula2>
    </dataValidation>
    <dataValidation type="decimal" allowBlank="1" showErrorMessage="1" errorTitle="Ошибка" error="Допускается ввод только действительных чисел!" sqref="W27">
      <formula1>-9.99999999999999E+23</formula1>
      <formula2>9.99999999999999E+23</formula2>
    </dataValidation>
    <dataValidation type="decimal" allowBlank="1" showErrorMessage="1" errorTitle="Ошибка" error="Допускается ввод только действительных чисел!" sqref="X27">
      <formula1>-9.99999999999999E+23</formula1>
      <formula2>9.99999999999999E+23</formula2>
    </dataValidation>
    <dataValidation type="decimal" allowBlank="1" showErrorMessage="1" errorTitle="Ошибка" error="Допускается ввод только действительных чисел!" sqref="Y27">
      <formula1>-9.99999999999999E+23</formula1>
      <formula2>9.99999999999999E+23</formula2>
    </dataValidation>
    <dataValidation type="decimal" allowBlank="1" showErrorMessage="1" errorTitle="Ошибка" error="Допускается ввод только действительных чисел!" sqref="Z27">
      <formula1>-9.99999999999999E+23</formula1>
      <formula2>9.99999999999999E+23</formula2>
    </dataValidation>
    <dataValidation type="decimal" allowBlank="1" showErrorMessage="1" errorTitle="Ошибка" error="Допускается ввод только действительных чисел!" sqref="AA27">
      <formula1>-9.99999999999999E+23</formula1>
      <formula2>9.99999999999999E+23</formula2>
    </dataValidation>
    <dataValidation type="decimal" allowBlank="1" showErrorMessage="1" errorTitle="Ошибка" error="Допускается ввод только действительных чисел!" sqref="AB27">
      <formula1>-9.99999999999999E+23</formula1>
      <formula2>9.99999999999999E+23</formula2>
    </dataValidation>
    <dataValidation type="decimal" allowBlank="1" showErrorMessage="1" errorTitle="Ошибка" error="Допускается ввод только действительных чисел!" sqref="BT27">
      <formula1>-9.99999999999999E+23</formula1>
      <formula2>9.99999999999999E+23</formula2>
    </dataValidation>
    <dataValidation type="decimal" allowBlank="1" showErrorMessage="1" errorTitle="Ошибка" error="Допускается ввод только действительных чисел!" sqref="BU27">
      <formula1>-9.99999999999999E+23</formula1>
      <formula2>9.99999999999999E+23</formula2>
    </dataValidation>
    <dataValidation type="decimal" allowBlank="1" showErrorMessage="1" errorTitle="Ошибка" error="Допускается ввод только действительных чисел!" sqref="BV27">
      <formula1>-9.99999999999999E+23</formula1>
      <formula2>9.99999999999999E+23</formula2>
    </dataValidation>
    <dataValidation type="decimal" allowBlank="1" showErrorMessage="1" errorTitle="Ошибка" error="Допускается ввод только действительных чисел!" sqref="BW27">
      <formula1>-9.99999999999999E+23</formula1>
      <formula2>9.99999999999999E+23</formula2>
    </dataValidation>
    <dataValidation type="decimal" allowBlank="1" showErrorMessage="1" errorTitle="Ошибка" error="Допускается ввод только действительных чисел!" sqref="BX27">
      <formula1>-9.99999999999999E+23</formula1>
      <formula2>9.99999999999999E+23</formula2>
    </dataValidation>
    <dataValidation type="decimal" allowBlank="1" showErrorMessage="1" errorTitle="Ошибка" error="Допускается ввод только действительных чисел!" sqref="BY27">
      <formula1>-9.99999999999999E+23</formula1>
      <formula2>9.99999999999999E+23</formula2>
    </dataValidation>
    <dataValidation type="decimal" allowBlank="1" showErrorMessage="1" errorTitle="Ошибка" error="Допускается ввод только действительных чисел!" sqref="BZ27">
      <formula1>-9.99999999999999E+23</formula1>
      <formula2>9.99999999999999E+23</formula2>
    </dataValidation>
    <dataValidation type="decimal" allowBlank="1" showErrorMessage="1" errorTitle="Ошибка" error="Допускается ввод только действительных чисел!" sqref="CA27">
      <formula1>-9.99999999999999E+23</formula1>
      <formula2>9.99999999999999E+23</formula2>
    </dataValidation>
    <dataValidation type="decimal" allowBlank="1" showErrorMessage="1" errorTitle="Ошибка" error="Допускается ввод только действительных чисел!" sqref="CB27">
      <formula1>-9.99999999999999E+23</formula1>
      <formula2>9.99999999999999E+23</formula2>
    </dataValidation>
    <dataValidation type="decimal" allowBlank="1" showErrorMessage="1" errorTitle="Ошибка" error="Допускается ввод только действительных чисел!" sqref="CC27">
      <formula1>-9.99999999999999E+23</formula1>
      <formula2>9.99999999999999E+23</formula2>
    </dataValidation>
    <dataValidation type="decimal" allowBlank="1" showErrorMessage="1" errorTitle="Ошибка" error="Допускается ввод только действительных чисел!" sqref="CD27">
      <formula1>-9.99999999999999E+23</formula1>
      <formula2>9.99999999999999E+23</formula2>
    </dataValidation>
    <dataValidation type="decimal" allowBlank="1" showErrorMessage="1" errorTitle="Ошибка" error="Допускается ввод только действительных чисел!" sqref="CE27">
      <formula1>-9.99999999999999E+23</formula1>
      <formula2>9.99999999999999E+23</formula2>
    </dataValidation>
    <dataValidation type="decimal" allowBlank="1" showErrorMessage="1" errorTitle="Ошибка" error="Допускается ввод только действительных чисел!" sqref="CF27">
      <formula1>-9.99999999999999E+23</formula1>
      <formula2>9.99999999999999E+23</formula2>
    </dataValidation>
    <dataValidation type="decimal" allowBlank="1" showErrorMessage="1" errorTitle="Ошибка" error="Допускается ввод только действительных чисел!" sqref="CG27">
      <formula1>-9.99999999999999E+23</formula1>
      <formula2>9.99999999999999E+23</formula2>
    </dataValidation>
    <dataValidation type="decimal" allowBlank="1" showErrorMessage="1" errorTitle="Ошибка" error="Допускается ввод только действительных чисел!" sqref="CH27">
      <formula1>-9.99999999999999E+23</formula1>
      <formula2>9.99999999999999E+23</formula2>
    </dataValidation>
    <dataValidation type="decimal" allowBlank="1" showErrorMessage="1" errorTitle="Ошибка" error="Допускается ввод только действительных чисел!" sqref="CI27">
      <formula1>-9.99999999999999E+23</formula1>
      <formula2>9.99999999999999E+23</formula2>
    </dataValidation>
    <dataValidation type="decimal" allowBlank="1" showErrorMessage="1" errorTitle="Ошибка" error="Допускается ввод только действительных чисел!" sqref="CJ27">
      <formula1>-9.99999999999999E+23</formula1>
      <formula2>9.99999999999999E+23</formula2>
    </dataValidation>
    <dataValidation type="decimal" allowBlank="1" showErrorMessage="1" errorTitle="Ошибка" error="Допускается ввод только действительных чисел!" sqref="CK27">
      <formula1>-9.99999999999999E+23</formula1>
      <formula2>9.99999999999999E+23</formula2>
    </dataValidation>
    <dataValidation type="decimal" allowBlank="1" showErrorMessage="1" errorTitle="Ошибка" error="Допускается ввод только действительных чисел!" sqref="CY27">
      <formula1>-9.99999999999999E+23</formula1>
      <formula2>9.99999999999999E+23</formula2>
    </dataValidation>
    <dataValidation type="decimal" allowBlank="1" showErrorMessage="1" errorTitle="Ошибка" error="Допускается ввод только действительных чисел!" sqref="CZ27">
      <formula1>-9.99999999999999E+23</formula1>
      <formula2>9.99999999999999E+23</formula2>
    </dataValidation>
    <dataValidation type="decimal" allowBlank="1" showErrorMessage="1" errorTitle="Ошибка" error="Допускается ввод только действительных чисел!" sqref="DA27">
      <formula1>-9.99999999999999E+23</formula1>
      <formula2>9.99999999999999E+23</formula2>
    </dataValidation>
    <dataValidation type="decimal" allowBlank="1" showErrorMessage="1" errorTitle="Ошибка" error="Допускается ввод только действительных чисел!" sqref="DB27">
      <formula1>-9.99999999999999E+23</formula1>
      <formula2>9.99999999999999E+23</formula2>
    </dataValidation>
    <dataValidation type="decimal" allowBlank="1" showErrorMessage="1" errorTitle="Ошибка" error="Допускается ввод только действительных чисел!" sqref="DC27">
      <formula1>-9.99999999999999E+23</formula1>
      <formula2>9.99999999999999E+23</formula2>
    </dataValidation>
    <dataValidation type="decimal" allowBlank="1" showErrorMessage="1" errorTitle="Ошибка" error="Допускается ввод только действительных чисел!" sqref="DD27">
      <formula1>-9.99999999999999E+23</formula1>
      <formula2>9.99999999999999E+23</formula2>
    </dataValidation>
    <dataValidation type="decimal" allowBlank="1" showErrorMessage="1" errorTitle="Ошибка" error="Допускается ввод только действительных чисел!" sqref="DE27">
      <formula1>-9.99999999999999E+23</formula1>
      <formula2>9.99999999999999E+23</formula2>
    </dataValidation>
    <dataValidation type="decimal" allowBlank="1" showErrorMessage="1" errorTitle="Ошибка" error="Допускается ввод только действительных чисел!" sqref="DF27">
      <formula1>-9.99999999999999E+23</formula1>
      <formula2>9.99999999999999E+23</formula2>
    </dataValidation>
    <dataValidation type="decimal" allowBlank="1" showErrorMessage="1" errorTitle="Ошибка" error="Допускается ввод только действительных чисел!" sqref="DG27">
      <formula1>-9.99999999999999E+23</formula1>
      <formula2>9.99999999999999E+23</formula2>
    </dataValidation>
    <dataValidation type="decimal" allowBlank="1" showErrorMessage="1" errorTitle="Ошибка" error="Допускается ввод только действительных чисел!" sqref="DH27">
      <formula1>-9.99999999999999E+23</formula1>
      <formula2>9.99999999999999E+23</formula2>
    </dataValidation>
    <dataValidation type="decimal" allowBlank="1" showErrorMessage="1" errorTitle="Ошибка" error="Допускается ввод только действительных чисел!" sqref="DI27">
      <formula1>-9.99999999999999E+23</formula1>
      <formula2>9.99999999999999E+23</formula2>
    </dataValidation>
    <dataValidation type="decimal" allowBlank="1" showErrorMessage="1" errorTitle="Ошибка" error="Допускается ввод только действительных чисел!" sqref="DJ27">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textLength" operator="lessThanOrEqual" allowBlank="1" showInputMessage="1" showErrorMessage="1" errorTitle="Ошибка" error="Допускается ввод не более 900 символов!" sqref="I28">
      <formula1>900</formula1>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9">
      <formula1>QRE_METHOD_LIST</formula1>
    </dataValidation>
    <dataValidation type="textLength" operator="lessThanOrEqual" allowBlank="1" showInputMessage="1" showErrorMessage="1" errorTitle="Ошибка" error="Допускается ввод не более 900 символов!" sqref="I29">
      <formula1>900</formula1>
    </dataValidation>
    <dataValidation type="decimal" allowBlank="1" showErrorMessage="1" errorTitle="Ошибка" error="Допускается ввод только действительных чисел!" sqref="O29">
      <formula1>-9.99999999999999E+23</formula1>
      <formula2>9.99999999999999E+23</formula2>
    </dataValidation>
    <dataValidation type="decimal" allowBlank="1" showErrorMessage="1" errorTitle="Ошибка" error="Допускается ввод только действительных чисел!" sqref="P29">
      <formula1>-9.99999999999999E+23</formula1>
      <formula2>9.99999999999999E+23</formula2>
    </dataValidation>
    <dataValidation type="decimal" allowBlank="1" showErrorMessage="1" errorTitle="Ошибка" error="Допускается ввод только действительных чисел!" sqref="Q29">
      <formula1>-9.99999999999999E+23</formula1>
      <formula2>9.99999999999999E+23</formula2>
    </dataValidation>
    <dataValidation type="decimal" allowBlank="1" showErrorMessage="1" errorTitle="Ошибка" error="Допускается ввод только действительных чисел!" sqref="R29">
      <formula1>-9.99999999999999E+23</formula1>
      <formula2>9.99999999999999E+23</formula2>
    </dataValidation>
    <dataValidation type="decimal" allowBlank="1" showErrorMessage="1" errorTitle="Ошибка" error="Допускается ввод только действительных чисел!" sqref="S29">
      <formula1>-9.99999999999999E+23</formula1>
      <formula2>9.99999999999999E+23</formula2>
    </dataValidation>
    <dataValidation type="decimal" allowBlank="1" showErrorMessage="1" errorTitle="Ошибка" error="Допускается ввод только действительных чисел!" sqref="T29">
      <formula1>-9.99999999999999E+23</formula1>
      <formula2>9.99999999999999E+23</formula2>
    </dataValidation>
    <dataValidation type="decimal" allowBlank="1" showErrorMessage="1" errorTitle="Ошибка" error="Допускается ввод только действительных чисел!" sqref="U29">
      <formula1>-9.99999999999999E+23</formula1>
      <formula2>9.99999999999999E+23</formula2>
    </dataValidation>
    <dataValidation type="decimal" allowBlank="1" showErrorMessage="1" errorTitle="Ошибка" error="Допускается ввод только действительных чисел!" sqref="V29">
      <formula1>-9.99999999999999E+23</formula1>
      <formula2>9.99999999999999E+23</formula2>
    </dataValidation>
    <dataValidation type="decimal" allowBlank="1" showErrorMessage="1" errorTitle="Ошибка" error="Допускается ввод только действительных чисел!" sqref="W29">
      <formula1>-9.99999999999999E+23</formula1>
      <formula2>9.99999999999999E+23</formula2>
    </dataValidation>
    <dataValidation type="decimal" allowBlank="1" showErrorMessage="1" errorTitle="Ошибка" error="Допускается ввод только действительных чисел!" sqref="X29">
      <formula1>-9.99999999999999E+23</formula1>
      <formula2>9.99999999999999E+23</formula2>
    </dataValidation>
    <dataValidation type="decimal" allowBlank="1" showErrorMessage="1" errorTitle="Ошибка" error="Допускается ввод только действительных чисел!" sqref="Y29">
      <formula1>-9.99999999999999E+23</formula1>
      <formula2>9.99999999999999E+23</formula2>
    </dataValidation>
    <dataValidation type="decimal" allowBlank="1" showErrorMessage="1" errorTitle="Ошибка" error="Допускается ввод только действительных чисел!" sqref="Z29">
      <formula1>-9.99999999999999E+23</formula1>
      <formula2>9.99999999999999E+23</formula2>
    </dataValidation>
    <dataValidation type="decimal" allowBlank="1" showErrorMessage="1" errorTitle="Ошибка" error="Допускается ввод только действительных чисел!" sqref="AA29">
      <formula1>-9.99999999999999E+23</formula1>
      <formula2>9.99999999999999E+23</formula2>
    </dataValidation>
    <dataValidation type="decimal" allowBlank="1" showErrorMessage="1" errorTitle="Ошибка" error="Допускается ввод только действительных чисел!" sqref="AB29">
      <formula1>-9.99999999999999E+23</formula1>
      <formula2>9.99999999999999E+23</formula2>
    </dataValidation>
    <dataValidation type="decimal" allowBlank="1" showErrorMessage="1" errorTitle="Ошибка" error="Допускается ввод только действительных чисел!" sqref="BT29">
      <formula1>-9.99999999999999E+23</formula1>
      <formula2>9.99999999999999E+23</formula2>
    </dataValidation>
    <dataValidation type="decimal" allowBlank="1" showErrorMessage="1" errorTitle="Ошибка" error="Допускается ввод только действительных чисел!" sqref="BU29">
      <formula1>-9.99999999999999E+23</formula1>
      <formula2>9.99999999999999E+23</formula2>
    </dataValidation>
    <dataValidation type="decimal" allowBlank="1" showErrorMessage="1" errorTitle="Ошибка" error="Допускается ввод только действительных чисел!" sqref="BV29">
      <formula1>-9.99999999999999E+23</formula1>
      <formula2>9.99999999999999E+23</formula2>
    </dataValidation>
    <dataValidation type="decimal" allowBlank="1" showErrorMessage="1" errorTitle="Ошибка" error="Допускается ввод только действительных чисел!" sqref="BW29">
      <formula1>-9.99999999999999E+23</formula1>
      <formula2>9.99999999999999E+23</formula2>
    </dataValidation>
    <dataValidation type="decimal" allowBlank="1" showErrorMessage="1" errorTitle="Ошибка" error="Допускается ввод только действительных чисел!" sqref="BX29">
      <formula1>-9.99999999999999E+23</formula1>
      <formula2>9.99999999999999E+23</formula2>
    </dataValidation>
    <dataValidation type="decimal" allowBlank="1" showErrorMessage="1" errorTitle="Ошибка" error="Допускается ввод только действительных чисел!" sqref="BY29">
      <formula1>-9.99999999999999E+23</formula1>
      <formula2>9.99999999999999E+23</formula2>
    </dataValidation>
    <dataValidation type="decimal" allowBlank="1" showErrorMessage="1" errorTitle="Ошибка" error="Допускается ввод только действительных чисел!" sqref="BZ29">
      <formula1>-9.99999999999999E+23</formula1>
      <formula2>9.99999999999999E+23</formula2>
    </dataValidation>
    <dataValidation type="decimal" allowBlank="1" showErrorMessage="1" errorTitle="Ошибка" error="Допускается ввод только действительных чисел!" sqref="CA29">
      <formula1>-9.99999999999999E+23</formula1>
      <formula2>9.99999999999999E+23</formula2>
    </dataValidation>
    <dataValidation type="decimal" allowBlank="1" showErrorMessage="1" errorTitle="Ошибка" error="Допускается ввод только действительных чисел!" sqref="CB29">
      <formula1>-9.99999999999999E+23</formula1>
      <formula2>9.99999999999999E+23</formula2>
    </dataValidation>
    <dataValidation type="decimal" allowBlank="1" showErrorMessage="1" errorTitle="Ошибка" error="Допускается ввод только действительных чисел!" sqref="CC29">
      <formula1>-9.99999999999999E+23</formula1>
      <formula2>9.99999999999999E+23</formula2>
    </dataValidation>
    <dataValidation type="decimal" allowBlank="1" showErrorMessage="1" errorTitle="Ошибка" error="Допускается ввод только действительных чисел!" sqref="CD29">
      <formula1>-9.99999999999999E+23</formula1>
      <formula2>9.99999999999999E+23</formula2>
    </dataValidation>
    <dataValidation type="decimal" allowBlank="1" showErrorMessage="1" errorTitle="Ошибка" error="Допускается ввод только действительных чисел!" sqref="CE29">
      <formula1>-9.99999999999999E+23</formula1>
      <formula2>9.99999999999999E+23</formula2>
    </dataValidation>
    <dataValidation type="decimal" allowBlank="1" showErrorMessage="1" errorTitle="Ошибка" error="Допускается ввод только действительных чисел!" sqref="CF29">
      <formula1>-9.99999999999999E+23</formula1>
      <formula2>9.99999999999999E+23</formula2>
    </dataValidation>
    <dataValidation type="decimal" allowBlank="1" showErrorMessage="1" errorTitle="Ошибка" error="Допускается ввод только действительных чисел!" sqref="CG29">
      <formula1>-9.99999999999999E+23</formula1>
      <formula2>9.99999999999999E+23</formula2>
    </dataValidation>
    <dataValidation type="decimal" allowBlank="1" showErrorMessage="1" errorTitle="Ошибка" error="Допускается ввод только действительных чисел!" sqref="CH29">
      <formula1>-9.99999999999999E+23</formula1>
      <formula2>9.99999999999999E+23</formula2>
    </dataValidation>
    <dataValidation type="decimal" allowBlank="1" showErrorMessage="1" errorTitle="Ошибка" error="Допускается ввод только действительных чисел!" sqref="CI29">
      <formula1>-9.99999999999999E+23</formula1>
      <formula2>9.99999999999999E+23</formula2>
    </dataValidation>
    <dataValidation type="decimal" allowBlank="1" showErrorMessage="1" errorTitle="Ошибка" error="Допускается ввод только действительных чисел!" sqref="CJ29">
      <formula1>-9.99999999999999E+23</formula1>
      <formula2>9.99999999999999E+23</formula2>
    </dataValidation>
    <dataValidation type="decimal" allowBlank="1" showErrorMessage="1" errorTitle="Ошибка" error="Допускается ввод только действительных чисел!" sqref="CK29">
      <formula1>-9.99999999999999E+23</formula1>
      <formula2>9.99999999999999E+23</formula2>
    </dataValidation>
    <dataValidation type="decimal" allowBlank="1" showErrorMessage="1" errorTitle="Ошибка" error="Допускается ввод только действительных чисел!" sqref="CY29">
      <formula1>-9.99999999999999E+23</formula1>
      <formula2>9.99999999999999E+23</formula2>
    </dataValidation>
    <dataValidation type="decimal" allowBlank="1" showErrorMessage="1" errorTitle="Ошибка" error="Допускается ввод только действительных чисел!" sqref="CZ29">
      <formula1>-9.99999999999999E+23</formula1>
      <formula2>9.99999999999999E+23</formula2>
    </dataValidation>
    <dataValidation type="decimal" allowBlank="1" showErrorMessage="1" errorTitle="Ошибка" error="Допускается ввод только действительных чисел!" sqref="DA29">
      <formula1>-9.99999999999999E+23</formula1>
      <formula2>9.99999999999999E+23</formula2>
    </dataValidation>
    <dataValidation type="decimal" allowBlank="1" showErrorMessage="1" errorTitle="Ошибка" error="Допускается ввод только действительных чисел!" sqref="DB29">
      <formula1>-9.99999999999999E+23</formula1>
      <formula2>9.99999999999999E+23</formula2>
    </dataValidation>
    <dataValidation type="decimal" allowBlank="1" showErrorMessage="1" errorTitle="Ошибка" error="Допускается ввод только действительных чисел!" sqref="DC29">
      <formula1>-9.99999999999999E+23</formula1>
      <formula2>9.99999999999999E+23</formula2>
    </dataValidation>
    <dataValidation type="decimal" allowBlank="1" showErrorMessage="1" errorTitle="Ошибка" error="Допускается ввод только действительных чисел!" sqref="DD29">
      <formula1>-9.99999999999999E+23</formula1>
      <formula2>9.99999999999999E+23</formula2>
    </dataValidation>
    <dataValidation type="decimal" allowBlank="1" showErrorMessage="1" errorTitle="Ошибка" error="Допускается ввод только действительных чисел!" sqref="DE29">
      <formula1>-9.99999999999999E+23</formula1>
      <formula2>9.99999999999999E+23</formula2>
    </dataValidation>
    <dataValidation type="decimal" allowBlank="1" showErrorMessage="1" errorTitle="Ошибка" error="Допускается ввод только действительных чисел!" sqref="DF29">
      <formula1>-9.99999999999999E+23</formula1>
      <formula2>9.99999999999999E+23</formula2>
    </dataValidation>
    <dataValidation type="decimal" allowBlank="1" showErrorMessage="1" errorTitle="Ошибка" error="Допускается ввод только действительных чисел!" sqref="DG29">
      <formula1>-9.99999999999999E+23</formula1>
      <formula2>9.99999999999999E+23</formula2>
    </dataValidation>
    <dataValidation type="decimal" allowBlank="1" showErrorMessage="1" errorTitle="Ошибка" error="Допускается ввод только действительных чисел!" sqref="DH29">
      <formula1>-9.99999999999999E+23</formula1>
      <formula2>9.99999999999999E+23</formula2>
    </dataValidation>
    <dataValidation type="decimal" allowBlank="1" showErrorMessage="1" errorTitle="Ошибка" error="Допускается ввод только действительных чисел!" sqref="DI29">
      <formula1>-9.99999999999999E+23</formula1>
      <formula2>9.99999999999999E+23</formula2>
    </dataValidation>
    <dataValidation type="decimal" allowBlank="1" showErrorMessage="1" errorTitle="Ошибка" error="Допускается ввод только действительных чисел!" sqref="DJ29">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0">
      <formula1>QRE_METHOD_LIST</formula1>
    </dataValidation>
    <dataValidation type="textLength" operator="lessThanOrEqual" allowBlank="1" showInputMessage="1" showErrorMessage="1" errorTitle="Ошибка" error="Допускается ввод не более 900 символов!" sqref="I30">
      <formula1>900</formula1>
    </dataValidation>
    <dataValidation type="decimal" allowBlank="1" showErrorMessage="1" errorTitle="Ошибка" error="Допускается ввод только действительных чисел!" sqref="O30">
      <formula1>-9.99999999999999E+23</formula1>
      <formula2>9.99999999999999E+23</formula2>
    </dataValidation>
    <dataValidation type="decimal" allowBlank="1" showErrorMessage="1" errorTitle="Ошибка" error="Допускается ввод только действительных чисел!" sqref="P30">
      <formula1>-9.99999999999999E+23</formula1>
      <formula2>9.99999999999999E+23</formula2>
    </dataValidation>
    <dataValidation type="decimal" allowBlank="1" showErrorMessage="1" errorTitle="Ошибка" error="Допускается ввод только действительных чисел!" sqref="Q30">
      <formula1>-9.99999999999999E+23</formula1>
      <formula2>9.99999999999999E+23</formula2>
    </dataValidation>
    <dataValidation type="decimal" allowBlank="1" showErrorMessage="1" errorTitle="Ошибка" error="Допускается ввод только действительных чисел!" sqref="R30">
      <formula1>-9.99999999999999E+23</formula1>
      <formula2>9.99999999999999E+23</formula2>
    </dataValidation>
    <dataValidation type="decimal" allowBlank="1" showErrorMessage="1" errorTitle="Ошибка" error="Допускается ввод только действительных чисел!" sqref="S30">
      <formula1>-9.99999999999999E+23</formula1>
      <formula2>9.99999999999999E+23</formula2>
    </dataValidation>
    <dataValidation type="decimal" allowBlank="1" showErrorMessage="1" errorTitle="Ошибка" error="Допускается ввод только действительных чисел!" sqref="T30">
      <formula1>-9.99999999999999E+23</formula1>
      <formula2>9.99999999999999E+23</formula2>
    </dataValidation>
    <dataValidation type="decimal" allowBlank="1" showErrorMessage="1" errorTitle="Ошибка" error="Допускается ввод только действительных чисел!" sqref="U30">
      <formula1>-9.99999999999999E+23</formula1>
      <formula2>9.99999999999999E+23</formula2>
    </dataValidation>
    <dataValidation type="decimal" allowBlank="1" showErrorMessage="1" errorTitle="Ошибка" error="Допускается ввод только действительных чисел!" sqref="V30">
      <formula1>-9.99999999999999E+23</formula1>
      <formula2>9.99999999999999E+23</formula2>
    </dataValidation>
    <dataValidation type="decimal" allowBlank="1" showErrorMessage="1" errorTitle="Ошибка" error="Допускается ввод только действительных чисел!" sqref="W30">
      <formula1>-9.99999999999999E+23</formula1>
      <formula2>9.99999999999999E+23</formula2>
    </dataValidation>
    <dataValidation type="decimal" allowBlank="1" showErrorMessage="1" errorTitle="Ошибка" error="Допускается ввод только действительных чисел!" sqref="X30">
      <formula1>-9.99999999999999E+23</formula1>
      <formula2>9.99999999999999E+23</formula2>
    </dataValidation>
    <dataValidation type="decimal" allowBlank="1" showErrorMessage="1" errorTitle="Ошибка" error="Допускается ввод только действительных чисел!" sqref="Y30">
      <formula1>-9.99999999999999E+23</formula1>
      <formula2>9.99999999999999E+23</formula2>
    </dataValidation>
    <dataValidation type="decimal" allowBlank="1" showErrorMessage="1" errorTitle="Ошибка" error="Допускается ввод только действительных чисел!" sqref="Z30">
      <formula1>-9.99999999999999E+23</formula1>
      <formula2>9.99999999999999E+23</formula2>
    </dataValidation>
    <dataValidation type="decimal" allowBlank="1" showErrorMessage="1" errorTitle="Ошибка" error="Допускается ввод только действительных чисел!" sqref="AA30">
      <formula1>-9.99999999999999E+23</formula1>
      <formula2>9.99999999999999E+23</formula2>
    </dataValidation>
    <dataValidation type="decimal" allowBlank="1" showErrorMessage="1" errorTitle="Ошибка" error="Допускается ввод только действительных чисел!" sqref="AB30">
      <formula1>-9.99999999999999E+23</formula1>
      <formula2>9.99999999999999E+23</formula2>
    </dataValidation>
    <dataValidation type="decimal" allowBlank="1" showErrorMessage="1" errorTitle="Ошибка" error="Допускается ввод только действительных чисел!" sqref="BT30">
      <formula1>-9.99999999999999E+23</formula1>
      <formula2>9.99999999999999E+23</formula2>
    </dataValidation>
    <dataValidation type="decimal" allowBlank="1" showErrorMessage="1" errorTitle="Ошибка" error="Допускается ввод только действительных чисел!" sqref="BU30">
      <formula1>-9.99999999999999E+23</formula1>
      <formula2>9.99999999999999E+23</formula2>
    </dataValidation>
    <dataValidation type="decimal" allowBlank="1" showErrorMessage="1" errorTitle="Ошибка" error="Допускается ввод только действительных чисел!" sqref="BV30">
      <formula1>-9.99999999999999E+23</formula1>
      <formula2>9.99999999999999E+23</formula2>
    </dataValidation>
    <dataValidation type="decimal" allowBlank="1" showErrorMessage="1" errorTitle="Ошибка" error="Допускается ввод только действительных чисел!" sqref="BW30">
      <formula1>-9.99999999999999E+23</formula1>
      <formula2>9.99999999999999E+23</formula2>
    </dataValidation>
    <dataValidation type="decimal" allowBlank="1" showErrorMessage="1" errorTitle="Ошибка" error="Допускается ввод только действительных чисел!" sqref="BX30">
      <formula1>-9.99999999999999E+23</formula1>
      <formula2>9.99999999999999E+23</formula2>
    </dataValidation>
    <dataValidation type="decimal" allowBlank="1" showErrorMessage="1" errorTitle="Ошибка" error="Допускается ввод только действительных чисел!" sqref="BY30">
      <formula1>-9.99999999999999E+23</formula1>
      <formula2>9.99999999999999E+23</formula2>
    </dataValidation>
    <dataValidation type="decimal" allowBlank="1" showErrorMessage="1" errorTitle="Ошибка" error="Допускается ввод только действительных чисел!" sqref="BZ30">
      <formula1>-9.99999999999999E+23</formula1>
      <formula2>9.99999999999999E+23</formula2>
    </dataValidation>
    <dataValidation type="decimal" allowBlank="1" showErrorMessage="1" errorTitle="Ошибка" error="Допускается ввод только действительных чисел!" sqref="CA30">
      <formula1>-9.99999999999999E+23</formula1>
      <formula2>9.99999999999999E+23</formula2>
    </dataValidation>
    <dataValidation type="decimal" allowBlank="1" showErrorMessage="1" errorTitle="Ошибка" error="Допускается ввод только действительных чисел!" sqref="CB30">
      <formula1>-9.99999999999999E+23</formula1>
      <formula2>9.99999999999999E+23</formula2>
    </dataValidation>
    <dataValidation type="decimal" allowBlank="1" showErrorMessage="1" errorTitle="Ошибка" error="Допускается ввод только действительных чисел!" sqref="CC30">
      <formula1>-9.99999999999999E+23</formula1>
      <formula2>9.99999999999999E+23</formula2>
    </dataValidation>
    <dataValidation type="decimal" allowBlank="1" showErrorMessage="1" errorTitle="Ошибка" error="Допускается ввод только действительных чисел!" sqref="CD30">
      <formula1>-9.99999999999999E+23</formula1>
      <formula2>9.99999999999999E+23</formula2>
    </dataValidation>
    <dataValidation type="decimal" allowBlank="1" showErrorMessage="1" errorTitle="Ошибка" error="Допускается ввод только действительных чисел!" sqref="CE30">
      <formula1>-9.99999999999999E+23</formula1>
      <formula2>9.99999999999999E+23</formula2>
    </dataValidation>
    <dataValidation type="decimal" allowBlank="1" showErrorMessage="1" errorTitle="Ошибка" error="Допускается ввод только действительных чисел!" sqref="CF30">
      <formula1>-9.99999999999999E+23</formula1>
      <formula2>9.99999999999999E+23</formula2>
    </dataValidation>
    <dataValidation type="decimal" allowBlank="1" showErrorMessage="1" errorTitle="Ошибка" error="Допускается ввод только действительных чисел!" sqref="CG30">
      <formula1>-9.99999999999999E+23</formula1>
      <formula2>9.99999999999999E+23</formula2>
    </dataValidation>
    <dataValidation type="decimal" allowBlank="1" showErrorMessage="1" errorTitle="Ошибка" error="Допускается ввод только действительных чисел!" sqref="CH30">
      <formula1>-9.99999999999999E+23</formula1>
      <formula2>9.99999999999999E+23</formula2>
    </dataValidation>
    <dataValidation type="decimal" allowBlank="1" showErrorMessage="1" errorTitle="Ошибка" error="Допускается ввод только действительных чисел!" sqref="CI30">
      <formula1>-9.99999999999999E+23</formula1>
      <formula2>9.99999999999999E+23</formula2>
    </dataValidation>
    <dataValidation type="decimal" allowBlank="1" showErrorMessage="1" errorTitle="Ошибка" error="Допускается ввод только действительных чисел!" sqref="CJ30">
      <formula1>-9.99999999999999E+23</formula1>
      <formula2>9.99999999999999E+23</formula2>
    </dataValidation>
    <dataValidation type="decimal" allowBlank="1" showErrorMessage="1" errorTitle="Ошибка" error="Допускается ввод только действительных чисел!" sqref="CK30">
      <formula1>-9.99999999999999E+23</formula1>
      <formula2>9.99999999999999E+23</formula2>
    </dataValidation>
    <dataValidation type="decimal" allowBlank="1" showErrorMessage="1" errorTitle="Ошибка" error="Допускается ввод только действительных чисел!" sqref="CY30">
      <formula1>-9.99999999999999E+23</formula1>
      <formula2>9.99999999999999E+23</formula2>
    </dataValidation>
    <dataValidation type="decimal" allowBlank="1" showErrorMessage="1" errorTitle="Ошибка" error="Допускается ввод только действительных чисел!" sqref="CZ30">
      <formula1>-9.99999999999999E+23</formula1>
      <formula2>9.99999999999999E+23</formula2>
    </dataValidation>
    <dataValidation type="decimal" allowBlank="1" showErrorMessage="1" errorTitle="Ошибка" error="Допускается ввод только действительных чисел!" sqref="DA30">
      <formula1>-9.99999999999999E+23</formula1>
      <formula2>9.99999999999999E+23</formula2>
    </dataValidation>
    <dataValidation type="decimal" allowBlank="1" showErrorMessage="1" errorTitle="Ошибка" error="Допускается ввод только действительных чисел!" sqref="DB30">
      <formula1>-9.99999999999999E+23</formula1>
      <formula2>9.99999999999999E+23</formula2>
    </dataValidation>
    <dataValidation type="decimal" allowBlank="1" showErrorMessage="1" errorTitle="Ошибка" error="Допускается ввод только действительных чисел!" sqref="DC30">
      <formula1>-9.99999999999999E+23</formula1>
      <formula2>9.99999999999999E+23</formula2>
    </dataValidation>
    <dataValidation type="decimal" allowBlank="1" showErrorMessage="1" errorTitle="Ошибка" error="Допускается ввод только действительных чисел!" sqref="DD30">
      <formula1>-9.99999999999999E+23</formula1>
      <formula2>9.99999999999999E+23</formula2>
    </dataValidation>
    <dataValidation type="decimal" allowBlank="1" showErrorMessage="1" errorTitle="Ошибка" error="Допускается ввод только действительных чисел!" sqref="DE30">
      <formula1>-9.99999999999999E+23</formula1>
      <formula2>9.99999999999999E+23</formula2>
    </dataValidation>
    <dataValidation type="decimal" allowBlank="1" showErrorMessage="1" errorTitle="Ошибка" error="Допускается ввод только действительных чисел!" sqref="DF30">
      <formula1>-9.99999999999999E+23</formula1>
      <formula2>9.99999999999999E+23</formula2>
    </dataValidation>
    <dataValidation type="decimal" allowBlank="1" showErrorMessage="1" errorTitle="Ошибка" error="Допускается ввод только действительных чисел!" sqref="DG30">
      <formula1>-9.99999999999999E+23</formula1>
      <formula2>9.99999999999999E+23</formula2>
    </dataValidation>
    <dataValidation type="decimal" allowBlank="1" showErrorMessage="1" errorTitle="Ошибка" error="Допускается ввод только действительных чисел!" sqref="DH30">
      <formula1>-9.99999999999999E+23</formula1>
      <formula2>9.99999999999999E+23</formula2>
    </dataValidation>
    <dataValidation type="decimal" allowBlank="1" showErrorMessage="1" errorTitle="Ошибка" error="Допускается ввод только действительных чисел!" sqref="DI30">
      <formula1>-9.99999999999999E+23</formula1>
      <formula2>9.99999999999999E+23</formula2>
    </dataValidation>
    <dataValidation type="decimal" allowBlank="1" showErrorMessage="1" errorTitle="Ошибка" error="Допускается ввод только действительных чисел!" sqref="DJ3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textLength" operator="lessThanOrEqual" allowBlank="1" showInputMessage="1" showErrorMessage="1" errorTitle="Ошибка" error="Допускается ввод не более 900 символов!" sqref="I31">
      <formula1>900</formula1>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074033-9A43-37F6-B745-0.1002C972}" mc:Ignorable="x14ac xr xr2 xr3">
  <sheetPr>
    <tabColor theme="2" tint="-0.1"/>
  </sheetPr>
  <dimension ref="A1:X23"/>
  <sheetViews>
    <sheetView topLeftCell="A1" showGridLines="0" zoomScale="90" workbookViewId="0">
      <selection activeCell="M8" sqref="M8"/>
    </sheetView>
  </sheetViews>
  <sheetFormatPr defaultColWidth="10.57421875" customHeight="1" defaultRowHeight="15"/>
  <cols>
    <col min="1" max="1" style="7486" width="9.140625" hidden="1" customWidth="1"/>
    <col min="2" max="2" style="7235" width="9.140625" hidden="1" customWidth="1"/>
    <col min="3" max="3" style="7143" width="4.00390625" customWidth="1"/>
    <col min="4" max="4" style="7235" width="6.00390625" customWidth="1"/>
    <col min="5" max="5" style="7235" width="36.00390625" customWidth="1"/>
    <col min="6" max="6" style="7235" width="9.00390625" customWidth="1"/>
    <col min="7" max="7" style="7235" width="42.421875" hidden="1" customWidth="1"/>
    <col min="8" max="8" style="7235" width="40.7109375" customWidth="1"/>
    <col min="9" max="13" style="7235" width="42.421875" customWidth="1"/>
    <col min="14" max="14" style="7180" width="93.00390625" customWidth="1"/>
    <col min="15" max="22" style="7235" width="10.00390625" customWidth="1"/>
    <col min="23" max="23" style="7271" width="10.00390625" customWidth="1"/>
    <col min="24" max="24" style="7235" width="10.57421875" hidden="1"/>
  </cols>
  <sheetData>
    <row s="7180" customFormat="1" customHeight="1" ht="15" hidden="1">
      <c r="C1" s="818"/>
      <c r="H1" s="563">
        <v>4</v>
      </c>
      <c r="I1" s="7180"/>
      <c r="J1" s="7180"/>
      <c r="K1" s="7180"/>
      <c r="L1" s="7180"/>
      <c r="M1" s="7180"/>
      <c r="W1" s="566"/>
      <c r="X1" s="563" t="s">
        <v>14</v>
      </c>
    </row>
    <row customHeight="1" ht="22.5" hidden="1">
      <c r="C2" s="2071" t="s">
        <v>106</v>
      </c>
      <c r="D2" s="685"/>
      <c r="E2" s="809"/>
      <c r="F2" s="1906" t="str">
        <f>IF(TEMPLATE_SPHERE="HEAT","Гкал/час","тыс. куб. м/сутки")</f>
        <v>Гкал/час</v>
      </c>
      <c r="G2" s="826"/>
      <c r="H2" s="826"/>
      <c r="I2" s="6891"/>
      <c r="J2" s="6891"/>
      <c r="K2" s="6891"/>
      <c r="L2" s="6891"/>
      <c r="M2" s="6891"/>
      <c r="N2" s="435"/>
      <c r="X2" s="651">
        <v>0</v>
      </c>
    </row>
    <row s="7180" customFormat="1" customHeight="1" ht="15" hidden="1">
      <c r="C3" s="818"/>
      <c r="I3" s="7180"/>
      <c r="J3" s="7180"/>
      <c r="K3" s="7180"/>
      <c r="L3" s="7180"/>
      <c r="M3" s="7180"/>
      <c r="W3" s="566"/>
      <c r="X3" s="563">
        <v>0</v>
      </c>
    </row>
    <row customHeight="1" ht="15.75">
      <c r="C4" s="322"/>
      <c r="D4" s="655"/>
      <c r="E4" s="655"/>
      <c r="F4" s="655"/>
      <c r="G4" s="655"/>
      <c r="H4" s="655"/>
      <c r="I4" s="7235"/>
      <c r="J4" s="7235"/>
      <c r="K4" s="7235"/>
      <c r="L4" s="7235"/>
      <c r="M4" s="7235"/>
      <c r="X4" s="651">
        <v>15</v>
      </c>
    </row>
    <row customHeight="1" ht="39.75">
      <c r="C5" s="322"/>
      <c r="D5" s="239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96"/>
      <c r="F5" s="2396"/>
      <c r="G5" s="2396"/>
      <c r="H5" s="2396"/>
      <c r="I5" s="6202"/>
      <c r="J5" s="6202"/>
      <c r="K5" s="6202"/>
      <c r="L5" s="6202"/>
      <c r="M5" s="6202"/>
      <c r="N5" s="683"/>
      <c r="X5" s="651">
        <v>38</v>
      </c>
    </row>
    <row customHeight="1" ht="15.75">
      <c r="C6" s="322"/>
      <c r="D6" s="2335" t="str">
        <f>IF(org=0,"Не определено",org)</f>
        <v>ПАО "ТГК-14"</v>
      </c>
      <c r="E6" s="2335"/>
      <c r="F6" s="2335"/>
      <c r="G6" s="2335"/>
      <c r="H6" s="2335"/>
      <c r="I6" s="6204"/>
      <c r="J6" s="6204"/>
      <c r="K6" s="6204"/>
      <c r="L6" s="6204"/>
      <c r="M6" s="6204"/>
      <c r="N6" s="683"/>
      <c r="X6" s="651">
        <v>15</v>
      </c>
    </row>
    <row s="7235" customFormat="1" customHeight="1" ht="15.75">
      <c r="A7" s="905"/>
      <c r="C7" s="322"/>
      <c r="D7" s="822"/>
      <c r="E7" s="822"/>
      <c r="F7" s="822"/>
      <c r="G7" s="822"/>
      <c r="H7" s="898"/>
      <c r="I7" s="7910" t="s">
        <v>22</v>
      </c>
      <c r="J7" s="7910" t="s">
        <v>22</v>
      </c>
      <c r="K7" s="7910" t="s">
        <v>22</v>
      </c>
      <c r="L7" s="7910" t="s">
        <v>22</v>
      </c>
      <c r="M7" s="7910" t="s">
        <v>22</v>
      </c>
      <c r="N7" s="683"/>
      <c r="W7" s="821"/>
      <c r="X7" s="904">
        <v>15</v>
      </c>
    </row>
    <row customHeight="1" ht="1.05">
      <c r="C8" s="322"/>
      <c r="D8" s="655"/>
      <c r="E8" s="655"/>
      <c r="F8" s="655"/>
      <c r="G8" s="655"/>
      <c r="H8" s="683" t="s">
        <v>129</v>
      </c>
      <c r="I8" s="7235" t="s">
        <v>137</v>
      </c>
      <c r="J8" s="7235" t="s">
        <v>139</v>
      </c>
      <c r="K8" s="7235" t="s">
        <v>143</v>
      </c>
      <c r="L8" s="7235" t="s">
        <v>134</v>
      </c>
      <c r="M8" s="7235" t="s">
        <v>141</v>
      </c>
      <c r="X8" s="651">
        <v>1</v>
      </c>
    </row>
    <row customHeight="1" ht="15.75">
      <c r="C9" s="322"/>
      <c r="D9" s="857"/>
      <c r="E9" s="2526" t="s">
        <v>117</v>
      </c>
      <c r="F9" s="2527"/>
      <c r="G9" s="962" t="str">
        <f>IF(G8="","",INDEX(DIFFERENTIATION_UNMERGE_VD,MATCH(G8,DIFFERENTIATION_ID_DIFF,0)))</f>
        <v/>
      </c>
      <c r="H9" s="962"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I9" s="714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9" s="7145" t="str">
        <f>IF(J8="","",INDEX(DIFFERENTIATION_UNMERGE_VD,MATCH(J8,DIFFERENTIATION_ID_DIFF,0)))</f>
        <v>Производство. Теплоноситель</v>
      </c>
      <c r="K9" s="7145"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7145" t="str">
        <f>IF(L8="","",INDEX(DIFFERENTIATION_UNMERGE_VD,MATCH(L8,DIFFERENTIATION_ID_DIFF,0)))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M9" s="7145" t="str">
        <f>IF(M8="","",INDEX(DIFFERENTIATION_UNMERGE_VD,MATCH(M8,DIFFERENTIATION_ID_DIFF,0)))</f>
        <v>Производство. Теплоноситель</v>
      </c>
      <c r="N9" s="2286" t="s">
        <v>323</v>
      </c>
      <c r="X9" s="651">
        <v>15</v>
      </c>
    </row>
    <row s="7235" customFormat="1" customHeight="1" ht="15.75">
      <c r="A10" s="905"/>
      <c r="C10" s="322"/>
      <c r="D10" s="857"/>
      <c r="E10" s="2526" t="s">
        <v>586</v>
      </c>
      <c r="F10" s="2527"/>
      <c r="G10" s="962" t="str">
        <f>IF(G8="","",INDEX(DIFFERENTIATION_UNMERGE_AREA,MATCH(G8,DIFFERENTIATION_ID_DIFF,0)))</f>
        <v/>
      </c>
      <c r="H10" s="962" t="str">
        <f>IF(H8="","",INDEX(DIFFERENTIATION_UNMERGE_AREA,MATCH(H8,DIFFERENTIATION_ID_DIFF,0)))</f>
        <v>Территория 1</v>
      </c>
      <c r="I10" s="7145" t="str">
        <f>IF(I8="","",INDEX(DIFFERENTIATION_UNMERGE_AREA,MATCH(I8,DIFFERENTIATION_ID_DIFF,0)))</f>
        <v>Территория 3</v>
      </c>
      <c r="J10" s="7145" t="str">
        <f>IF(J8="","",INDEX(DIFFERENTIATION_UNMERGE_AREA,MATCH(J8,DIFFERENTIATION_ID_DIFF,0)))</f>
        <v>Территория 1</v>
      </c>
      <c r="K10" s="7145" t="str">
        <f>IF(K8="","",INDEX(DIFFERENTIATION_UNMERGE_AREA,MATCH(K8,DIFFERENTIATION_ID_DIFF,0)))</f>
        <v>Территория 3</v>
      </c>
      <c r="L10" s="7145" t="str">
        <f>IF(L8="","",INDEX(DIFFERENTIATION_UNMERGE_AREA,MATCH(L8,DIFFERENTIATION_ID_DIFF,0)))</f>
        <v>Территория 2</v>
      </c>
      <c r="M10" s="7145" t="str">
        <f>IF(M8="","",INDEX(DIFFERENTIATION_UNMERGE_AREA,MATCH(M8,DIFFERENTIATION_ID_DIFF,0)))</f>
        <v>Территория 2</v>
      </c>
      <c r="N10" s="2286"/>
      <c r="W10" s="821"/>
      <c r="X10" s="904">
        <v>15</v>
      </c>
    </row>
    <row s="7235" customFormat="1" customHeight="1" ht="15.75">
      <c r="A11" s="905"/>
      <c r="C11" s="322"/>
      <c r="D11" s="857"/>
      <c r="E11" s="2526" t="s">
        <v>587</v>
      </c>
      <c r="F11" s="2527"/>
      <c r="G11" s="962" t="str">
        <f>IF(G8="","",INDEX(DIFFERENTIATION_UNMERGE_SYSTEM,MATCH(G8,DIFFERENTIATION_ID_DIFF,0)))</f>
        <v/>
      </c>
      <c r="H11" s="962" t="str">
        <f>IF(H8="","",INDEX(DIFFERENTIATION_UNMERGE_SYSTEM,MATCH(H8,DIFFERENTIATION_ID_DIFF,0)))</f>
        <v>Шерловогорская ТЭЦ</v>
      </c>
      <c r="I11" s="7145" t="str">
        <f>IF(I8="","",INDEX(DIFFERENTIATION_UNMERGE_SYSTEM,MATCH(I8,DIFFERENTIATION_ID_DIFF,0)))</f>
        <v>ЦТС г. Чита (ЧТЭЦ-1, ЧТЭЦ-2)</v>
      </c>
      <c r="J11" s="7145" t="str">
        <f>IF(J8="","",INDEX(DIFFERENTIATION_UNMERGE_SYSTEM,MATCH(J8,DIFFERENTIATION_ID_DIFF,0)))</f>
        <v>Шерловогорская ТЭЦ</v>
      </c>
      <c r="K11" s="7145" t="str">
        <f>IF(K8="","",INDEX(DIFFERENTIATION_UNMERGE_SYSTEM,MATCH(K8,DIFFERENTIATION_ID_DIFF,0)))</f>
        <v>Котельные г. Чита</v>
      </c>
      <c r="L11" s="7145" t="str">
        <f>IF(L8="","",INDEX(DIFFERENTIATION_UNMERGE_SYSTEM,MATCH(L8,DIFFERENTIATION_ID_DIFF,0)))</f>
        <v>Приаргунская ТЭЦ</v>
      </c>
      <c r="M11" s="7145" t="str">
        <f>IF(M8="","",INDEX(DIFFERENTIATION_UNMERGE_SYSTEM,MATCH(M8,DIFFERENTIATION_ID_DIFF,0)))</f>
        <v>Приаргунская ТЭЦ</v>
      </c>
      <c r="N11" s="2286"/>
      <c r="W11" s="821"/>
      <c r="X11" s="904">
        <v>15</v>
      </c>
    </row>
    <row s="7235" customFormat="1" customHeight="1" ht="15.75">
      <c r="A12" s="905"/>
      <c r="C12" s="322"/>
      <c r="D12" s="2528" t="s">
        <v>322</v>
      </c>
      <c r="E12" s="2529"/>
      <c r="F12" s="2529"/>
      <c r="G12" s="1033"/>
      <c r="H12" s="1033"/>
      <c r="I12" s="6942"/>
      <c r="J12" s="6942"/>
      <c r="K12" s="6942"/>
      <c r="L12" s="6942"/>
      <c r="M12" s="6942"/>
      <c r="N12" s="2286"/>
      <c r="W12" s="821"/>
      <c r="X12" s="904">
        <v>15</v>
      </c>
    </row>
    <row customHeight="1" ht="35.699999999999996">
      <c r="C13" s="322"/>
      <c r="D13" s="907" t="s">
        <v>89</v>
      </c>
      <c r="E13" s="906" t="s">
        <v>324</v>
      </c>
      <c r="F13" s="906" t="s">
        <v>588</v>
      </c>
      <c r="G13" s="954" t="s">
        <v>325</v>
      </c>
      <c r="H13" s="900" t="s">
        <v>325</v>
      </c>
      <c r="I13" s="7452" t="s">
        <v>325</v>
      </c>
      <c r="J13" s="7452" t="s">
        <v>325</v>
      </c>
      <c r="K13" s="7452" t="s">
        <v>325</v>
      </c>
      <c r="L13" s="7452" t="s">
        <v>325</v>
      </c>
      <c r="M13" s="7452" t="s">
        <v>325</v>
      </c>
      <c r="N13" s="2286"/>
      <c r="X13" s="651">
        <v>34</v>
      </c>
    </row>
    <row customHeight="1" ht="15" hidden="1">
      <c r="C14" s="322"/>
      <c r="D14" s="739" t="s">
        <v>121</v>
      </c>
      <c r="E14" s="739" t="s">
        <v>105</v>
      </c>
      <c r="F14" s="739" t="s">
        <v>91</v>
      </c>
      <c r="G14" s="805" t="str">
        <f>G1&amp;".1"</f>
        <v>.1</v>
      </c>
      <c r="H14" s="805" t="str">
        <f>H1&amp;".1"</f>
        <v>4.1</v>
      </c>
      <c r="I14" s="7143" t="str">
        <f>I1&amp;".1"</f>
        <v>.1</v>
      </c>
      <c r="J14" s="7143" t="str">
        <f>J1&amp;".1"</f>
        <v>.1</v>
      </c>
      <c r="K14" s="7143" t="str">
        <f>K1&amp;".1"</f>
        <v>.1</v>
      </c>
      <c r="L14" s="7143" t="str">
        <f>L1&amp;".1"</f>
        <v>.1</v>
      </c>
      <c r="M14" s="7143" t="str">
        <f>M1&amp;".1"</f>
        <v>.1</v>
      </c>
      <c r="N14" s="435"/>
      <c r="X14" s="651">
        <v>0</v>
      </c>
    </row>
    <row customHeight="1" ht="15.75">
      <c r="A15" s="651"/>
      <c r="C15" s="672"/>
      <c r="D15" s="667">
        <v>1</v>
      </c>
      <c r="E15" s="2073" t="str">
        <f>TP_P_A</f>
        <v>Количество поданных заявок</v>
      </c>
      <c r="F15" s="667" t="s">
        <v>1462</v>
      </c>
      <c r="G15" s="831"/>
      <c r="H15" s="831"/>
      <c r="I15" s="7148"/>
      <c r="J15" s="7148"/>
      <c r="K15" s="7148"/>
      <c r="L15" s="7148"/>
      <c r="M15" s="7148"/>
      <c r="N15" s="35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651">
        <v>15</v>
      </c>
    </row>
    <row customHeight="1" ht="15.75">
      <c r="A16" s="651"/>
      <c r="C16" s="672"/>
      <c r="D16" s="667">
        <v>2</v>
      </c>
      <c r="E16" s="2073" t="str">
        <f>TP_P_B</f>
        <v>Количество рассмотренных заявок</v>
      </c>
      <c r="F16" s="667" t="s">
        <v>1462</v>
      </c>
      <c r="G16" s="831"/>
      <c r="H16" s="831"/>
      <c r="I16" s="7148"/>
      <c r="J16" s="7148"/>
      <c r="K16" s="7148"/>
      <c r="L16" s="7148"/>
      <c r="M16" s="7148"/>
      <c r="N16" s="35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651">
        <v>15</v>
      </c>
    </row>
    <row customHeight="1" ht="77.7">
      <c r="A17" s="651"/>
      <c r="C17" s="672"/>
      <c r="D17" s="667">
        <v>3</v>
      </c>
      <c r="E17" s="207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667" t="s">
        <v>1462</v>
      </c>
      <c r="G17" s="831"/>
      <c r="H17" s="831"/>
      <c r="I17" s="7148"/>
      <c r="J17" s="7148"/>
      <c r="K17" s="7148"/>
      <c r="L17" s="7148"/>
      <c r="M17" s="7148"/>
      <c r="N17" s="354" t="str">
        <f>TP_P_NOTE_V</f>
        <v>Указывается количество заявок с решением об отказе в течение отчетного квартала.</v>
      </c>
      <c r="X17" s="651">
        <v>74</v>
      </c>
    </row>
    <row customHeight="1" ht="54.75">
      <c r="A18" s="651"/>
      <c r="C18" s="672"/>
      <c r="D18" s="667">
        <v>4</v>
      </c>
      <c r="E18" s="2073" t="str">
        <f>TP_P_V_1</f>
        <v>Причины отказа в заключении договора о подключении (технологическом присоединении) к системе теплоснабжения</v>
      </c>
      <c r="F18" s="667" t="s">
        <v>328</v>
      </c>
      <c r="G18" s="832"/>
      <c r="H18" s="832"/>
      <c r="I18" s="6899"/>
      <c r="J18" s="6899"/>
      <c r="K18" s="6899"/>
      <c r="L18" s="6899"/>
      <c r="M18" s="6899"/>
      <c r="N18" s="98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X18" s="651">
        <v>52</v>
      </c>
    </row>
    <row customHeight="1" ht="60">
      <c r="A19" s="651"/>
      <c r="C19" s="672"/>
      <c r="D19" s="667">
        <v>5</v>
      </c>
      <c r="E19" s="2073" t="str">
        <f>TP_P_G</f>
        <v>Резерв мощности источников тепловой энергии, входящих в систему теплоснабжения, в течение одного квартала, в том числе:</v>
      </c>
      <c r="F19" s="667" t="str">
        <f>IF(TEMPLATE_SPHERE="HEAT","Гкал/час","тыс. куб. м/сутки")</f>
        <v>Гкал/час</v>
      </c>
      <c r="G19" s="833">
        <f>SUM(G20:G22)</f>
        <v>0</v>
      </c>
      <c r="H19" s="833">
        <f>SUM(H20:H22)</f>
        <v>0</v>
      </c>
      <c r="I19" s="7151">
        <f>SUM(I20:I22)</f>
        <v>0</v>
      </c>
      <c r="J19" s="7151">
        <f>SUM(J20:J22)</f>
        <v>0</v>
      </c>
      <c r="K19" s="7151">
        <f>SUM(K20:K22)</f>
        <v>0</v>
      </c>
      <c r="L19" s="7151">
        <f>SUM(L20:L22)</f>
        <v>0</v>
      </c>
      <c r="M19" s="7151">
        <f>SUM(M20:M22)</f>
        <v>0</v>
      </c>
      <c r="N19" s="354"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651">
        <v>57</v>
      </c>
    </row>
    <row customHeight="1" ht="15" hidden="1">
      <c r="D20" s="655" t="s">
        <v>1463</v>
      </c>
      <c r="E20" s="834"/>
      <c r="F20" s="655"/>
      <c r="G20" s="655"/>
      <c r="H20" s="655"/>
      <c r="I20" s="7235"/>
      <c r="J20" s="7235"/>
      <c r="K20" s="7235"/>
      <c r="L20" s="7235"/>
      <c r="M20" s="7235"/>
      <c r="N20" s="1908"/>
      <c r="X20" s="651">
        <v>0</v>
      </c>
    </row>
    <row customHeight="1" ht="29.25">
      <c r="C21" s="597"/>
      <c r="D21" s="685" t="s">
        <v>335</v>
      </c>
      <c r="E21" s="816"/>
      <c r="F21" s="1906" t="str">
        <f>IF(TEMPLATE_SPHERE="HEAT","Гкал/час","тыс. куб. м/сутки")</f>
        <v>Гкал/час</v>
      </c>
      <c r="G21" s="826"/>
      <c r="H21" s="826"/>
      <c r="I21" s="6891"/>
      <c r="J21" s="6891"/>
      <c r="K21" s="6891"/>
      <c r="L21" s="6891"/>
      <c r="M21" s="6891"/>
      <c r="N21" s="2328"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651">
        <v>28</v>
      </c>
    </row>
    <row customHeight="1" ht="15.75">
      <c r="A22" s="651"/>
      <c r="C22" s="651"/>
      <c r="D22" s="493"/>
      <c r="E22" s="726" t="s">
        <v>1464</v>
      </c>
      <c r="F22" s="718"/>
      <c r="G22" s="718"/>
      <c r="H22" s="718"/>
      <c r="I22" s="8430"/>
      <c r="J22" s="8431"/>
      <c r="K22" s="8432"/>
      <c r="L22" s="8433"/>
      <c r="M22" s="8434"/>
      <c r="N22" s="2330"/>
      <c r="W22" s="651"/>
      <c r="X22" s="651">
        <v>15</v>
      </c>
    </row>
    <row customHeight="1" ht="22.5" hidden="1">
      <c r="A23" s="595" t="s">
        <v>83</v>
      </c>
      <c r="B23" s="651">
        <v>0</v>
      </c>
      <c r="C23" s="829">
        <v>4</v>
      </c>
      <c r="D23" s="651">
        <v>6</v>
      </c>
      <c r="E23" s="651">
        <v>36</v>
      </c>
      <c r="F23" s="651">
        <v>9</v>
      </c>
      <c r="G23" s="904">
        <v>0</v>
      </c>
      <c r="H23" s="651">
        <v>40</v>
      </c>
      <c r="I23" s="7235">
        <v>0</v>
      </c>
      <c r="J23" s="7235">
        <v>0</v>
      </c>
      <c r="K23" s="7235">
        <v>0</v>
      </c>
      <c r="L23" s="7235">
        <v>0</v>
      </c>
      <c r="M23" s="7235">
        <v>0</v>
      </c>
      <c r="N23" s="563">
        <v>93</v>
      </c>
      <c r="O23" s="651">
        <v>10</v>
      </c>
      <c r="P23" s="651">
        <v>10</v>
      </c>
      <c r="Q23" s="651">
        <v>10</v>
      </c>
      <c r="R23" s="651">
        <v>10</v>
      </c>
      <c r="S23" s="651">
        <v>10</v>
      </c>
      <c r="T23" s="651">
        <v>10</v>
      </c>
      <c r="U23" s="651">
        <v>10</v>
      </c>
      <c r="V23" s="651">
        <v>10</v>
      </c>
      <c r="W23" s="821">
        <v>10</v>
      </c>
      <c r="X23" s="651">
        <v>23</v>
      </c>
    </row>
  </sheetData>
  <sheetProtection formatColumns="0" formatRows="0" autoFilter="0" sort="0" insertRows="0" insertColumns="1" deleteRows="0" deleteColumns="0"/>
  <mergeCells count="8">
    <mergeCell ref="N21:N22"/>
    <mergeCell ref="N9:N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M18">
      <formula1>900</formula1>
    </dataValidation>
    <dataValidation type="whole" allowBlank="1" showErrorMessage="1" errorTitle="Ошибка" error="Допускается ввод только неотрицательных целых чисел!" sqref="G15:M17">
      <formula1>0</formula1>
      <formula2>9.99999999999999E+23</formula2>
    </dataValidation>
    <dataValidation type="decimal" allowBlank="1" showErrorMessage="1" errorTitle="Ошибка" error="Допускается ввод только действительных чисел!" sqref="G2:M2 G21:M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74C087-87B2-D35B-B733-0.6138B5BD}" mc:Ignorable="x14ac xr xr2 xr3">
  <sheetPr>
    <tabColor theme="6" tint="0.4"/>
    <pageSetUpPr fitToPage="1"/>
  </sheetPr>
  <dimension ref="A1:Q36"/>
  <sheetViews>
    <sheetView topLeftCell="A1" showGridLines="0" zoomScale="90" workbookViewId="0">
      <selection activeCell="A1" sqref="A1"/>
    </sheetView>
  </sheetViews>
  <sheetFormatPr defaultColWidth="10.57421875" customHeight="1" defaultRowHeight="14.25"/>
  <cols>
    <col min="1" max="1" style="7938" width="9.140625" hidden="1" customWidth="1"/>
    <col min="2" max="2" style="7180" width="9.140625" hidden="1" customWidth="1"/>
    <col min="3" max="3" style="7205" width="3.00390625" customWidth="1"/>
    <col min="4" max="4" style="7235" width="6.00390625" customWidth="1"/>
    <col min="5" max="6" style="7235" width="64.00390625" customWidth="1"/>
    <col min="7" max="7" style="7235" width="140.00390625" customWidth="1"/>
    <col min="8" max="8" style="7235" width="10.00390625" customWidth="1"/>
    <col min="9" max="10" style="7183" width="10.00390625" customWidth="1"/>
    <col min="11" max="16" style="7235" width="10.00390625" customWidth="1"/>
    <col min="17" max="17" style="7235" width="10.57421875" hidden="1"/>
  </cols>
  <sheetData>
    <row customHeight="1" ht="22.5" hidden="1">
      <c r="M1" s="401"/>
      <c r="N1" s="401"/>
      <c r="P1" s="401"/>
      <c r="Q1" s="229" t="s">
        <v>14</v>
      </c>
    </row>
    <row customHeight="1" ht="14.25" hidden="1">
      <c r="Q2" s="229">
        <v>0</v>
      </c>
    </row>
    <row customHeight="1" ht="14.25" hidden="1">
      <c r="Q3" s="229">
        <v>0</v>
      </c>
    </row>
    <row customHeight="1" ht="3">
      <c r="C4" s="242"/>
      <c r="D4" s="230"/>
      <c r="E4" s="230"/>
      <c r="F4" s="231"/>
      <c r="G4" s="231"/>
      <c r="Q4" s="229">
        <v>3</v>
      </c>
    </row>
    <row customHeight="1" ht="29.25">
      <c r="C5" s="242"/>
      <c r="D5" s="261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14"/>
      <c r="F5" s="2614"/>
      <c r="G5" s="2615"/>
      <c r="Q5" s="229">
        <v>28</v>
      </c>
    </row>
    <row s="7235" customFormat="1" customHeight="1" ht="18.75">
      <c r="A6" s="1028"/>
      <c r="B6" s="563"/>
      <c r="C6" s="522"/>
      <c r="D6" s="2616" t="str">
        <f>IF(org=0,"Не определено",org)</f>
        <v>ПАО "ТГК-14"</v>
      </c>
      <c r="E6" s="2617"/>
      <c r="F6" s="2617"/>
      <c r="G6" s="2618"/>
      <c r="I6" s="646"/>
      <c r="J6" s="646"/>
      <c r="Q6" s="904">
        <v>18</v>
      </c>
    </row>
    <row customHeight="1" ht="14.699999999999998">
      <c r="C7" s="242"/>
      <c r="D7" s="230"/>
      <c r="E7" s="241"/>
      <c r="F7" s="898"/>
      <c r="G7" s="339"/>
      <c r="Q7" s="229">
        <v>14</v>
      </c>
    </row>
    <row s="7235" customFormat="1" customHeight="1" ht="1.05">
      <c r="A8" s="1814"/>
      <c r="B8" s="1306"/>
      <c r="C8" s="522"/>
      <c r="D8" s="509"/>
      <c r="E8" s="535"/>
      <c r="F8" s="898"/>
      <c r="G8" s="339"/>
      <c r="I8" s="1770"/>
      <c r="J8" s="1770"/>
      <c r="Q8" s="1777">
        <v>1</v>
      </c>
    </row>
    <row customHeight="1" ht="14.699999999999998">
      <c r="C9" s="242"/>
      <c r="D9" s="2368" t="s">
        <v>322</v>
      </c>
      <c r="E9" s="2368"/>
      <c r="F9" s="2368"/>
      <c r="G9" s="2548" t="s">
        <v>323</v>
      </c>
      <c r="Q9" s="229">
        <v>14</v>
      </c>
    </row>
    <row customHeight="1" ht="24">
      <c r="C10" s="242"/>
      <c r="D10" s="251" t="s">
        <v>89</v>
      </c>
      <c r="E10" s="254" t="s">
        <v>324</v>
      </c>
      <c r="F10" s="254" t="s">
        <v>412</v>
      </c>
      <c r="G10" s="2548"/>
      <c r="Q10" s="229">
        <v>23</v>
      </c>
    </row>
    <row customHeight="1" ht="12" hidden="1">
      <c r="C11" s="242"/>
      <c r="D11" s="233"/>
      <c r="E11" s="233"/>
      <c r="F11" s="233"/>
      <c r="G11" s="233"/>
      <c r="Q11" s="229">
        <v>0</v>
      </c>
    </row>
    <row customHeight="1" ht="65.25">
      <c r="A12" s="338"/>
      <c r="C12" s="242"/>
      <c r="D12" s="293">
        <v>1</v>
      </c>
      <c r="E12" s="34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44" t="s">
        <v>328</v>
      </c>
      <c r="G12" s="297"/>
      <c r="Q12" s="229">
        <v>62</v>
      </c>
    </row>
    <row customHeight="1" ht="24">
      <c r="A13" s="338"/>
      <c r="C13" s="242"/>
      <c r="D13" s="293" t="s">
        <v>1366</v>
      </c>
      <c r="E13" s="340"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344" t="s">
        <v>328</v>
      </c>
      <c r="G13" s="297"/>
      <c r="Q13" s="229">
        <v>23</v>
      </c>
    </row>
    <row customHeight="1" ht="14.699999999999998">
      <c r="A14" s="338"/>
      <c r="C14" s="242"/>
      <c r="D14" s="293" t="s">
        <v>1402</v>
      </c>
      <c r="E14" s="341"/>
      <c r="F14" s="359"/>
      <c r="G14" s="232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9">
        <v>14</v>
      </c>
    </row>
    <row customHeight="1" ht="15.75">
      <c r="A15" s="338"/>
      <c r="C15" s="242"/>
      <c r="D15" s="255"/>
      <c r="E15" s="495" t="s">
        <v>1465</v>
      </c>
      <c r="F15" s="347"/>
      <c r="G15" s="2330"/>
      <c r="Q15" s="229">
        <v>15</v>
      </c>
    </row>
    <row customHeight="1" ht="14.699999999999998">
      <c r="A16" s="338"/>
      <c r="C16" s="242"/>
      <c r="D16" s="293" t="s">
        <v>1368</v>
      </c>
      <c r="E16" s="34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44" t="s">
        <v>328</v>
      </c>
      <c r="G16" s="483"/>
      <c r="Q16" s="229">
        <v>14</v>
      </c>
    </row>
    <row customHeight="1" ht="14.699999999999998">
      <c r="A17" s="338"/>
      <c r="C17" s="242"/>
      <c r="D17" s="293" t="s">
        <v>1410</v>
      </c>
      <c r="E17" s="341"/>
      <c r="F17" s="531"/>
      <c r="G17" s="232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9">
        <v>14</v>
      </c>
    </row>
    <row s="7235" customFormat="1" customHeight="1" ht="22.049999999999997">
      <c r="A18" s="489"/>
      <c r="B18" s="292"/>
      <c r="C18" s="453"/>
      <c r="D18" s="493"/>
      <c r="E18" s="495" t="s">
        <v>1466</v>
      </c>
      <c r="F18" s="484"/>
      <c r="G18" s="2330"/>
      <c r="I18" s="496"/>
      <c r="J18" s="496"/>
      <c r="Q18" s="488">
        <v>21</v>
      </c>
    </row>
    <row s="7235" customFormat="1" customHeight="1" ht="256.5" hidden="1">
      <c r="A19" s="489"/>
      <c r="B19" s="563"/>
      <c r="C19" s="522"/>
      <c r="D19" s="1030" t="s">
        <v>1370</v>
      </c>
      <c r="E19" s="1029" t="s">
        <v>1467</v>
      </c>
      <c r="F19" s="531"/>
      <c r="G19" s="483" t="s">
        <v>1468</v>
      </c>
      <c r="I19" s="646"/>
      <c r="J19" s="646"/>
      <c r="Q19" s="904">
        <v>0</v>
      </c>
    </row>
    <row s="7235" customFormat="1" customHeight="1" ht="14.699999999999998">
      <c r="A20" s="489"/>
      <c r="B20" s="292"/>
      <c r="C20" s="453"/>
      <c r="D20" s="1031">
        <v>2</v>
      </c>
      <c r="E20" s="476" t="s">
        <v>1469</v>
      </c>
      <c r="F20" s="344" t="s">
        <v>328</v>
      </c>
      <c r="G20" s="483"/>
      <c r="I20" s="496"/>
      <c r="J20" s="496"/>
      <c r="Q20" s="488">
        <v>14</v>
      </c>
    </row>
    <row s="7235" customFormat="1" customHeight="1" ht="18.75" hidden="1">
      <c r="A21" s="489"/>
      <c r="B21" s="292"/>
      <c r="C21" s="453"/>
      <c r="D21" s="479" t="s">
        <v>680</v>
      </c>
      <c r="E21" s="478"/>
      <c r="F21" s="477"/>
      <c r="G21" s="487"/>
      <c r="H21" s="480"/>
      <c r="I21" s="496"/>
      <c r="J21" s="496"/>
      <c r="Q21" s="488">
        <v>0</v>
      </c>
    </row>
    <row customHeight="1" ht="15.75">
      <c r="A22" s="338"/>
      <c r="C22" s="242"/>
      <c r="D22" s="255"/>
      <c r="E22" s="349" t="s">
        <v>344</v>
      </c>
      <c r="F22" s="484"/>
      <c r="G22" s="485"/>
      <c r="Q22" s="229">
        <v>15</v>
      </c>
    </row>
    <row s="7235" customFormat="1" customHeight="1" ht="22.5" hidden="1">
      <c r="A23" s="489"/>
      <c r="B23" s="1306"/>
      <c r="C23" s="522"/>
      <c r="D23" s="1818" t="s">
        <v>105</v>
      </c>
      <c r="E23" s="343" t="s">
        <v>1470</v>
      </c>
      <c r="F23" s="1815" t="s">
        <v>328</v>
      </c>
      <c r="G23" s="491"/>
      <c r="I23" s="1770"/>
      <c r="J23" s="1770"/>
      <c r="Q23" s="1777">
        <v>0</v>
      </c>
    </row>
    <row s="7235" customFormat="1" customHeight="1" ht="14.25" hidden="1">
      <c r="A24" s="489"/>
      <c r="B24" s="1306"/>
      <c r="C24" s="522"/>
      <c r="D24" s="1818" t="s">
        <v>752</v>
      </c>
      <c r="E24" s="1817" t="s">
        <v>1471</v>
      </c>
      <c r="F24" s="1815" t="s">
        <v>328</v>
      </c>
      <c r="G24" s="483"/>
      <c r="I24" s="1770"/>
      <c r="J24" s="1770"/>
      <c r="Q24" s="1777">
        <v>0</v>
      </c>
    </row>
    <row s="7235" customFormat="1" customHeight="1" ht="14.25" hidden="1">
      <c r="A25" s="489"/>
      <c r="B25" s="1306"/>
      <c r="C25" s="522"/>
      <c r="D25" s="1818" t="s">
        <v>755</v>
      </c>
      <c r="E25" s="341"/>
      <c r="F25" s="531"/>
      <c r="G25" s="2328" t="s">
        <v>1472</v>
      </c>
      <c r="I25" s="1770"/>
      <c r="J25" s="1770"/>
      <c r="Q25" s="1777">
        <v>0</v>
      </c>
    </row>
    <row s="7235" customFormat="1" customHeight="1" ht="14.25" hidden="1">
      <c r="A26" s="489"/>
      <c r="B26" s="1306"/>
      <c r="C26" s="522"/>
      <c r="D26" s="493"/>
      <c r="E26" s="495" t="s">
        <v>1473</v>
      </c>
      <c r="F26" s="484"/>
      <c r="G26" s="2330"/>
      <c r="I26" s="1770"/>
      <c r="J26" s="1770"/>
      <c r="Q26" s="1777">
        <v>0</v>
      </c>
    </row>
    <row s="7235" customFormat="1" customHeight="1" ht="33.75" hidden="1">
      <c r="A27" s="489"/>
      <c r="B27" s="1512"/>
      <c r="C27" s="522"/>
      <c r="D27" s="2222" t="s">
        <v>91</v>
      </c>
      <c r="E27" s="343" t="s">
        <v>1474</v>
      </c>
      <c r="F27" s="2223" t="s">
        <v>328</v>
      </c>
      <c r="G27" s="1671"/>
      <c r="I27" s="1770"/>
      <c r="J27" s="1770"/>
      <c r="Q27" s="1777">
        <v>0</v>
      </c>
    </row>
    <row s="7235" customFormat="1" customHeight="1" ht="22.5" hidden="1">
      <c r="A28" s="489"/>
      <c r="B28" s="1512"/>
      <c r="C28" s="522"/>
      <c r="D28" s="2222" t="s">
        <v>346</v>
      </c>
      <c r="E28" s="2224" t="s">
        <v>1475</v>
      </c>
      <c r="F28" s="2223" t="s">
        <v>328</v>
      </c>
      <c r="G28" s="483"/>
      <c r="I28" s="1770"/>
      <c r="J28" s="1770"/>
      <c r="Q28" s="1777">
        <v>0</v>
      </c>
    </row>
    <row s="7235" customFormat="1" customHeight="1" ht="14.25" hidden="1">
      <c r="A29" s="489"/>
      <c r="B29" s="1512"/>
      <c r="C29" s="522"/>
      <c r="D29" s="2222" t="s">
        <v>348</v>
      </c>
      <c r="E29" s="2769"/>
      <c r="F29" s="808"/>
      <c r="G29" s="2328" t="s">
        <v>1476</v>
      </c>
      <c r="I29" s="1770"/>
      <c r="J29" s="1770"/>
      <c r="Q29" s="1777">
        <v>0</v>
      </c>
    </row>
    <row s="7235" customFormat="1" customHeight="1" ht="14.25" hidden="1">
      <c r="A30" s="489"/>
      <c r="B30" s="1512"/>
      <c r="C30" s="522"/>
      <c r="D30" s="493"/>
      <c r="E30" s="717" t="s">
        <v>1473</v>
      </c>
      <c r="F30" s="484"/>
      <c r="G30" s="2330"/>
      <c r="I30" s="1770"/>
      <c r="J30" s="1770"/>
      <c r="Q30" s="1777">
        <v>0</v>
      </c>
    </row>
    <row customHeight="1" ht="3">
      <c r="Q31" s="229">
        <v>3</v>
      </c>
    </row>
    <row customHeight="1" ht="14.699999999999998">
      <c r="D32" s="482"/>
      <c r="E32" s="481"/>
      <c r="F32" s="461"/>
      <c r="G32" s="461"/>
      <c r="H32" s="461"/>
      <c r="I32" s="461"/>
      <c r="J32" s="461"/>
      <c r="K32" s="461"/>
      <c r="L32" s="461"/>
      <c r="M32" s="461"/>
      <c r="N32" s="461"/>
      <c r="O32" s="461"/>
      <c r="P32" s="461"/>
      <c r="Q32" s="229">
        <v>14</v>
      </c>
    </row>
    <row customHeight="1" ht="14.699999999999998">
      <c r="D33" s="482"/>
      <c r="E33" s="728"/>
      <c r="Q33" s="229">
        <v>14</v>
      </c>
    </row>
    <row customHeight="1" ht="14.699999999999998">
      <c r="Q34" s="229">
        <v>14</v>
      </c>
    </row>
    <row customHeight="1" ht="14.699999999999998">
      <c r="E35" s="904"/>
      <c r="Q35" s="229">
        <v>14</v>
      </c>
    </row>
    <row customHeight="1" ht="22.5" hidden="1">
      <c r="A36" s="247" t="s">
        <v>83</v>
      </c>
      <c r="B36" s="292">
        <v>0</v>
      </c>
      <c r="C36" s="243">
        <v>3</v>
      </c>
      <c r="D36" s="229">
        <v>6</v>
      </c>
      <c r="E36" s="229">
        <v>64</v>
      </c>
      <c r="F36" s="229">
        <v>64</v>
      </c>
      <c r="G36" s="229">
        <v>140</v>
      </c>
      <c r="H36" s="229">
        <v>10</v>
      </c>
      <c r="I36" s="301">
        <v>10</v>
      </c>
      <c r="J36" s="301">
        <v>10</v>
      </c>
      <c r="K36" s="229">
        <v>10</v>
      </c>
      <c r="L36" s="229">
        <v>10</v>
      </c>
      <c r="M36" s="229">
        <v>10</v>
      </c>
      <c r="N36" s="229">
        <v>10</v>
      </c>
      <c r="O36" s="229">
        <v>10</v>
      </c>
      <c r="P36" s="229">
        <v>10</v>
      </c>
      <c r="Q36" s="229">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AFF1AA-CE85-B7C9-912C-0.973C43DA}"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6396" width="9.140625" hidden="1" customWidth="1"/>
    <col min="2" max="2" style="7180" width="9.140625" hidden="1" customWidth="1"/>
    <col min="3" max="3" style="7205" width="3.00390625" customWidth="1"/>
    <col min="4" max="4" style="7235" width="6.00390625" customWidth="1"/>
    <col min="5" max="5" style="7235" width="63.00390625" customWidth="1"/>
    <col min="6" max="6" style="7235" width="1.7109375" hidden="1" customWidth="1"/>
    <col min="7" max="8" style="7235" width="35.00390625" customWidth="1"/>
    <col min="9" max="9" style="7235" width="91.00390625" customWidth="1"/>
    <col min="10" max="10" style="7235" width="68.00390625" customWidth="1"/>
    <col min="11" max="12" style="7183" width="10.00390625" customWidth="1"/>
    <col min="13" max="13" style="7235" width="10.57421875" hidden="1"/>
  </cols>
  <sheetData>
    <row customHeight="1" ht="22.5" hidden="1">
      <c r="M1" s="229" t="s">
        <v>14</v>
      </c>
    </row>
    <row s="7235" customFormat="1" customHeight="1" ht="18.75" hidden="1">
      <c r="A2" s="1828"/>
      <c r="B2" s="1306"/>
      <c r="C2" s="1875" t="s">
        <v>106</v>
      </c>
      <c r="D2" s="1818"/>
      <c r="E2" s="345"/>
      <c r="F2" s="1815"/>
      <c r="G2" s="1815" t="s">
        <v>328</v>
      </c>
      <c r="H2" s="1307"/>
      <c r="K2" s="1770"/>
      <c r="L2" s="1770"/>
      <c r="M2" s="1777">
        <v>0</v>
      </c>
    </row>
    <row s="7235" customFormat="1" customHeight="1" ht="14.25" hidden="1">
      <c r="A3" s="1508"/>
      <c r="B3" s="1306"/>
      <c r="C3" s="490"/>
      <c r="K3" s="1770"/>
      <c r="L3" s="1770"/>
      <c r="M3" s="1777">
        <v>0</v>
      </c>
    </row>
    <row s="7235" customFormat="1" customHeight="1" ht="18.75" hidden="1">
      <c r="A4" s="1828"/>
      <c r="B4" s="1306"/>
      <c r="C4" s="1875" t="s">
        <v>106</v>
      </c>
      <c r="D4" s="1818"/>
      <c r="E4" s="351" t="s">
        <v>1477</v>
      </c>
      <c r="F4" s="1815"/>
      <c r="G4" s="403"/>
      <c r="H4" s="1815" t="s">
        <v>328</v>
      </c>
      <c r="K4" s="1770"/>
      <c r="L4" s="1770"/>
      <c r="M4" s="1777">
        <v>0</v>
      </c>
    </row>
    <row s="7235" customFormat="1" customHeight="1" ht="14.25" hidden="1">
      <c r="A5" s="1508"/>
      <c r="B5" s="1306"/>
      <c r="C5" s="490"/>
      <c r="K5" s="1770"/>
      <c r="L5" s="1770"/>
      <c r="M5" s="1777">
        <v>0</v>
      </c>
    </row>
    <row s="7235" customFormat="1" customHeight="1" ht="18.75" hidden="1">
      <c r="A6" s="1828"/>
      <c r="B6" s="1306"/>
      <c r="C6" s="1875" t="s">
        <v>106</v>
      </c>
      <c r="D6" s="1818"/>
      <c r="E6" s="352" t="s">
        <v>1478</v>
      </c>
      <c r="F6" s="1815"/>
      <c r="G6" s="403"/>
      <c r="H6" s="1815" t="s">
        <v>328</v>
      </c>
      <c r="K6" s="1770"/>
      <c r="L6" s="1770"/>
      <c r="M6" s="1777">
        <v>0</v>
      </c>
    </row>
    <row s="7235" customFormat="1" customHeight="1" ht="14.25" hidden="1">
      <c r="A7" s="1508"/>
      <c r="B7" s="1306"/>
      <c r="C7" s="490"/>
      <c r="K7" s="1770"/>
      <c r="L7" s="1770"/>
      <c r="M7" s="1777">
        <v>0</v>
      </c>
    </row>
    <row s="7235" customFormat="1" customHeight="1" ht="18.75" hidden="1">
      <c r="A8" s="1828"/>
      <c r="B8" s="1306"/>
      <c r="C8" s="1875" t="s">
        <v>106</v>
      </c>
      <c r="D8" s="1818"/>
      <c r="E8" s="352" t="s">
        <v>1479</v>
      </c>
      <c r="F8" s="1815"/>
      <c r="G8" s="403"/>
      <c r="H8" s="1815" t="s">
        <v>328</v>
      </c>
      <c r="K8" s="1770"/>
      <c r="L8" s="1770"/>
      <c r="M8" s="1777">
        <v>0</v>
      </c>
    </row>
    <row s="7235" customFormat="1" customHeight="1" ht="14.25" hidden="1">
      <c r="A9" s="1508"/>
      <c r="B9" s="1306"/>
      <c r="C9" s="490"/>
      <c r="K9" s="1770"/>
      <c r="L9" s="1770"/>
      <c r="M9" s="1777">
        <v>0</v>
      </c>
    </row>
    <row s="7235" customFormat="1" customHeight="1" ht="18.75" hidden="1">
      <c r="A10" s="1828"/>
      <c r="B10" s="1306"/>
      <c r="C10" s="1875" t="s">
        <v>106</v>
      </c>
      <c r="D10" s="1818"/>
      <c r="E10" s="352" t="s">
        <v>1480</v>
      </c>
      <c r="F10" s="1815"/>
      <c r="G10" s="1819"/>
      <c r="H10" s="1815" t="s">
        <v>328</v>
      </c>
      <c r="K10" s="1770"/>
      <c r="L10" s="1770" t="s">
        <v>1481</v>
      </c>
      <c r="M10" s="1777">
        <v>0</v>
      </c>
    </row>
    <row customHeight="1" ht="14.25" hidden="1">
      <c r="M11" s="229">
        <v>0</v>
      </c>
    </row>
    <row customHeight="1" ht="14.25" hidden="1">
      <c r="M12" s="229">
        <v>0</v>
      </c>
    </row>
    <row customHeight="1" ht="14.699999999999998">
      <c r="C13" s="242"/>
      <c r="D13" s="230"/>
      <c r="E13" s="230"/>
      <c r="F13" s="230"/>
      <c r="G13" s="230"/>
      <c r="H13" s="231"/>
      <c r="I13" s="231"/>
      <c r="M13" s="229">
        <v>14</v>
      </c>
    </row>
    <row customHeight="1" ht="29.25">
      <c r="C14" s="242"/>
      <c r="D14" s="261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14"/>
      <c r="F14" s="2614"/>
      <c r="G14" s="2614"/>
      <c r="H14" s="2615"/>
      <c r="J14" s="1777"/>
      <c r="M14" s="229">
        <v>28</v>
      </c>
    </row>
    <row s="7235" customFormat="1" customHeight="1" ht="14.699999999999998">
      <c r="A15" s="1508"/>
      <c r="B15" s="1306"/>
      <c r="C15" s="522"/>
      <c r="D15" s="2616" t="str">
        <f>IF(org=0,"Не определено",org)</f>
        <v>ПАО "ТГК-14"</v>
      </c>
      <c r="E15" s="2617"/>
      <c r="F15" s="2617"/>
      <c r="G15" s="2617"/>
      <c r="H15" s="2618"/>
      <c r="J15" s="998"/>
      <c r="K15" s="1770"/>
      <c r="L15" s="1770"/>
      <c r="M15" s="1777">
        <v>14</v>
      </c>
    </row>
    <row customHeight="1" ht="14.699999999999998">
      <c r="C16" s="242"/>
      <c r="D16" s="230"/>
      <c r="E16" s="241"/>
      <c r="F16" s="241"/>
      <c r="G16" s="241"/>
      <c r="H16" s="898"/>
      <c r="I16" s="339"/>
      <c r="M16" s="229">
        <v>14</v>
      </c>
    </row>
    <row s="7235" customFormat="1" customHeight="1" ht="14.25" hidden="1">
      <c r="A17" s="1508"/>
      <c r="B17" s="1306"/>
      <c r="C17" s="522"/>
      <c r="D17" s="509"/>
      <c r="E17" s="535"/>
      <c r="F17" s="535"/>
      <c r="G17" s="535"/>
      <c r="H17" s="898"/>
      <c r="I17" s="339"/>
      <c r="K17" s="1770"/>
      <c r="L17" s="1770"/>
      <c r="M17" s="1777">
        <v>0</v>
      </c>
    </row>
    <row customHeight="1" ht="22.049999999999997">
      <c r="C18" s="242"/>
      <c r="D18" s="2368" t="s">
        <v>322</v>
      </c>
      <c r="E18" s="2368"/>
      <c r="F18" s="2368"/>
      <c r="G18" s="2368"/>
      <c r="H18" s="2368"/>
      <c r="I18" s="2548" t="s">
        <v>323</v>
      </c>
      <c r="M18" s="229">
        <v>21</v>
      </c>
    </row>
    <row customHeight="1" ht="22.049999999999997">
      <c r="C19" s="242"/>
      <c r="D19" s="251" t="s">
        <v>89</v>
      </c>
      <c r="E19" s="254" t="s">
        <v>324</v>
      </c>
      <c r="F19" s="254"/>
      <c r="G19" s="254" t="s">
        <v>325</v>
      </c>
      <c r="H19" s="254" t="s">
        <v>412</v>
      </c>
      <c r="I19" s="2548"/>
      <c r="M19" s="229">
        <v>21</v>
      </c>
    </row>
    <row customHeight="1" ht="12" hidden="1">
      <c r="C20" s="242"/>
      <c r="D20" s="233"/>
      <c r="E20" s="233"/>
      <c r="F20" s="233"/>
      <c r="G20" s="233"/>
      <c r="H20" s="233"/>
      <c r="I20" s="233"/>
      <c r="M20" s="229">
        <v>0</v>
      </c>
    </row>
    <row customHeight="1" ht="14.699999999999998">
      <c r="A21" s="1828"/>
      <c r="C21" s="242"/>
      <c r="D21" s="293">
        <v>1</v>
      </c>
      <c r="E21" s="2620" t="s">
        <v>1482</v>
      </c>
      <c r="F21" s="2620"/>
      <c r="G21" s="2620"/>
      <c r="H21" s="2620"/>
      <c r="I21" s="354"/>
      <c r="M21" s="229">
        <v>14</v>
      </c>
    </row>
    <row customHeight="1" ht="21">
      <c r="A22" s="1828"/>
      <c r="C22" s="242"/>
      <c r="D22" s="293" t="s">
        <v>1366</v>
      </c>
      <c r="E22" s="340" t="s">
        <v>1483</v>
      </c>
      <c r="F22" s="344"/>
      <c r="G22" s="1882"/>
      <c r="H22" s="344" t="s">
        <v>328</v>
      </c>
      <c r="I22" s="297" t="s">
        <v>1484</v>
      </c>
      <c r="M22" s="229">
        <v>20</v>
      </c>
    </row>
    <row customHeight="1" ht="60">
      <c r="A23" s="1828"/>
      <c r="C23" s="242"/>
      <c r="D23" s="293" t="s">
        <v>1368</v>
      </c>
      <c r="E23" s="340" t="s">
        <v>1485</v>
      </c>
      <c r="F23" s="344"/>
      <c r="G23" s="403"/>
      <c r="H23" s="359"/>
      <c r="I23" s="404" t="s">
        <v>1486</v>
      </c>
      <c r="M23" s="229">
        <v>57</v>
      </c>
    </row>
    <row customHeight="1" ht="14.699999999999998">
      <c r="A24" s="1828"/>
      <c r="B24" s="292">
        <v>3</v>
      </c>
      <c r="C24" s="242"/>
      <c r="D24" s="293">
        <v>2</v>
      </c>
      <c r="E24" s="36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44"/>
      <c r="G24" s="344" t="s">
        <v>328</v>
      </c>
      <c r="H24" s="359"/>
      <c r="I24" s="405" t="s">
        <v>675</v>
      </c>
      <c r="M24" s="229">
        <v>14</v>
      </c>
    </row>
    <row customHeight="1" ht="48.29999999999999">
      <c r="A25" s="1828"/>
      <c r="C25" s="242"/>
      <c r="D25" s="293">
        <v>3</v>
      </c>
      <c r="E25" s="261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19"/>
      <c r="G25" s="2619"/>
      <c r="H25" s="2619"/>
      <c r="I25" s="402"/>
      <c r="M25" s="229">
        <v>46</v>
      </c>
    </row>
    <row customHeight="1" ht="14.699999999999998">
      <c r="A26" s="1828"/>
      <c r="C26" s="242"/>
      <c r="D26" s="293" t="s">
        <v>346</v>
      </c>
      <c r="E26" s="345"/>
      <c r="F26" s="344"/>
      <c r="G26" s="344" t="s">
        <v>328</v>
      </c>
      <c r="H26" s="359"/>
      <c r="I26" s="2328" t="s">
        <v>1487</v>
      </c>
      <c r="M26" s="229">
        <v>14</v>
      </c>
    </row>
    <row customHeight="1" ht="15.75">
      <c r="A27" s="1828" t="s">
        <v>121</v>
      </c>
      <c r="C27" s="242"/>
      <c r="D27" s="255"/>
      <c r="E27" s="349" t="s">
        <v>344</v>
      </c>
      <c r="F27" s="350"/>
      <c r="G27" s="350"/>
      <c r="H27" s="347"/>
      <c r="I27" s="2330"/>
      <c r="M27" s="229">
        <v>15</v>
      </c>
    </row>
    <row customHeight="1" ht="39.75">
      <c r="A28" s="1828"/>
      <c r="B28" s="292">
        <v>3</v>
      </c>
      <c r="C28" s="242"/>
      <c r="D28" s="293">
        <v>4</v>
      </c>
      <c r="E28" s="261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19"/>
      <c r="G28" s="2619"/>
      <c r="H28" s="2619"/>
      <c r="I28" s="402"/>
      <c r="M28" s="229">
        <v>38</v>
      </c>
    </row>
    <row customHeight="1" ht="21">
      <c r="A29" s="1828"/>
      <c r="C29" s="242"/>
      <c r="D29" s="293" t="s">
        <v>803</v>
      </c>
      <c r="E29" s="351" t="s">
        <v>1477</v>
      </c>
      <c r="F29" s="344"/>
      <c r="G29" s="403"/>
      <c r="H29" s="344" t="s">
        <v>328</v>
      </c>
      <c r="I29" s="2328" t="s">
        <v>1488</v>
      </c>
      <c r="M29" s="229">
        <v>20</v>
      </c>
    </row>
    <row customHeight="1" ht="15.75">
      <c r="A30" s="1828" t="s">
        <v>105</v>
      </c>
      <c r="C30" s="242"/>
      <c r="D30" s="255"/>
      <c r="E30" s="349" t="s">
        <v>344</v>
      </c>
      <c r="F30" s="350"/>
      <c r="G30" s="350"/>
      <c r="H30" s="347"/>
      <c r="I30" s="2330"/>
      <c r="M30" s="229">
        <v>15</v>
      </c>
    </row>
    <row customHeight="1" ht="31.5">
      <c r="A31" s="1828"/>
      <c r="B31" s="292">
        <v>3</v>
      </c>
      <c r="C31" s="242"/>
      <c r="D31" s="293">
        <v>5</v>
      </c>
      <c r="E31" s="261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19"/>
      <c r="G31" s="2619"/>
      <c r="H31" s="2619"/>
      <c r="I31" s="402"/>
      <c r="M31" s="229">
        <v>30</v>
      </c>
    </row>
    <row customHeight="1" ht="27.299999999999997">
      <c r="A32" s="1828"/>
      <c r="C32" s="242"/>
      <c r="D32" s="293" t="s">
        <v>335</v>
      </c>
      <c r="E32" s="256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62"/>
      <c r="G32" s="2562"/>
      <c r="H32" s="2562"/>
      <c r="I32" s="402"/>
      <c r="M32" s="229">
        <v>26</v>
      </c>
    </row>
    <row customHeight="1" ht="14.699999999999998">
      <c r="A33" s="1828"/>
      <c r="C33" s="242"/>
      <c r="D33" s="293" t="s">
        <v>1489</v>
      </c>
      <c r="E33" s="352" t="s">
        <v>1478</v>
      </c>
      <c r="F33" s="344"/>
      <c r="G33" s="403"/>
      <c r="H33" s="344" t="s">
        <v>328</v>
      </c>
      <c r="I33" s="2328" t="s">
        <v>1490</v>
      </c>
      <c r="M33" s="229">
        <v>14</v>
      </c>
    </row>
    <row customHeight="1" ht="15.75">
      <c r="A34" s="1828" t="s">
        <v>91</v>
      </c>
      <c r="C34" s="242"/>
      <c r="D34" s="255"/>
      <c r="E34" s="350" t="s">
        <v>344</v>
      </c>
      <c r="F34" s="346"/>
      <c r="G34" s="346"/>
      <c r="H34" s="347"/>
      <c r="I34" s="2330"/>
      <c r="M34" s="229">
        <v>15</v>
      </c>
    </row>
    <row customHeight="1" ht="25.2">
      <c r="A35" s="1828"/>
      <c r="C35" s="242"/>
      <c r="D35" s="293" t="s">
        <v>946</v>
      </c>
      <c r="E35" s="256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62"/>
      <c r="G35" s="2562"/>
      <c r="H35" s="2562"/>
      <c r="I35" s="402"/>
      <c r="M35" s="229">
        <v>24</v>
      </c>
    </row>
    <row customHeight="1" ht="14.699999999999998">
      <c r="A36" s="1828"/>
      <c r="C36" s="242"/>
      <c r="D36" s="293" t="s">
        <v>1491</v>
      </c>
      <c r="E36" s="352" t="s">
        <v>1479</v>
      </c>
      <c r="F36" s="344"/>
      <c r="G36" s="403"/>
      <c r="H36" s="344" t="s">
        <v>328</v>
      </c>
      <c r="I36" s="2302" t="s">
        <v>1492</v>
      </c>
      <c r="M36" s="229">
        <v>14</v>
      </c>
    </row>
    <row customHeight="1" ht="15.75">
      <c r="A37" s="1828" t="s">
        <v>92</v>
      </c>
      <c r="C37" s="242"/>
      <c r="D37" s="255"/>
      <c r="E37" s="350" t="s">
        <v>344</v>
      </c>
      <c r="F37" s="346"/>
      <c r="G37" s="346"/>
      <c r="H37" s="347"/>
      <c r="I37" s="2302"/>
      <c r="M37" s="229">
        <v>15</v>
      </c>
    </row>
    <row customHeight="1" ht="27.299999999999997">
      <c r="A38" s="1828"/>
      <c r="C38" s="242"/>
      <c r="D38" s="293" t="s">
        <v>947</v>
      </c>
      <c r="E38" s="256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62"/>
      <c r="G38" s="2562"/>
      <c r="H38" s="2562"/>
      <c r="I38" s="402"/>
      <c r="M38" s="229">
        <v>26</v>
      </c>
    </row>
    <row customHeight="1" ht="14.699999999999998">
      <c r="A39" s="1828"/>
      <c r="C39" s="242"/>
      <c r="D39" s="293" t="s">
        <v>948</v>
      </c>
      <c r="E39" s="352" t="s">
        <v>1480</v>
      </c>
      <c r="F39" s="344"/>
      <c r="G39" s="353"/>
      <c r="H39" s="344" t="s">
        <v>328</v>
      </c>
      <c r="I39" s="2328" t="s">
        <v>1493</v>
      </c>
      <c r="L39" s="301" t="s">
        <v>1481</v>
      </c>
      <c r="M39" s="229">
        <v>14</v>
      </c>
    </row>
    <row customHeight="1" ht="15.75">
      <c r="A40" s="1828" t="s">
        <v>122</v>
      </c>
      <c r="C40" s="242"/>
      <c r="D40" s="255"/>
      <c r="E40" s="350" t="s">
        <v>344</v>
      </c>
      <c r="F40" s="346"/>
      <c r="G40" s="346"/>
      <c r="H40" s="347"/>
      <c r="I40" s="2330"/>
      <c r="M40" s="229">
        <v>15</v>
      </c>
    </row>
    <row s="7711" customFormat="1" customHeight="1" ht="3">
      <c r="A41" s="1828"/>
      <c r="K41" s="342"/>
      <c r="L41" s="342"/>
      <c r="M41" s="286">
        <v>3</v>
      </c>
    </row>
    <row customHeight="1" ht="26.25">
      <c r="D42" s="1826" t="s">
        <v>865</v>
      </c>
      <c r="E42" s="244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44"/>
      <c r="G42" s="2444"/>
      <c r="H42" s="2444"/>
      <c r="I42" s="2444"/>
      <c r="M42" s="229">
        <v>25</v>
      </c>
    </row>
    <row customHeight="1" ht="22.5" hidden="1">
      <c r="A43" s="1508" t="s">
        <v>83</v>
      </c>
      <c r="B43" s="292">
        <v>0</v>
      </c>
      <c r="C43" s="243">
        <v>3</v>
      </c>
      <c r="D43" s="229">
        <v>6</v>
      </c>
      <c r="E43" s="229">
        <v>63</v>
      </c>
      <c r="F43" s="229">
        <v>0</v>
      </c>
      <c r="G43" s="229">
        <v>35</v>
      </c>
      <c r="H43" s="229">
        <v>35</v>
      </c>
      <c r="I43" s="229">
        <v>91</v>
      </c>
      <c r="J43" s="229">
        <v>68</v>
      </c>
      <c r="K43" s="301">
        <v>10</v>
      </c>
      <c r="L43" s="301">
        <v>10</v>
      </c>
      <c r="M43" s="229">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99B2AE-2F58-FEFE-8D58-0.E1427624}"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7262" width="25.140625" hidden="1" customWidth="1"/>
    <col min="3" max="3" style="7263" width="9.140625" hidden="1" customWidth="1"/>
    <col min="4" max="4" style="7205" width="3.00390625" customWidth="1"/>
    <col min="5" max="5" style="7235" width="6.00390625" customWidth="1"/>
    <col min="6" max="6" style="7235" width="46.7109375" customWidth="1"/>
    <col min="7" max="7" style="7235" width="35.00390625" customWidth="1"/>
    <col min="8" max="8" style="7235" width="3.00390625" customWidth="1"/>
    <col min="9" max="10" style="7235" width="11.00390625" customWidth="1"/>
    <col min="11" max="12" style="7235" width="35.00390625" customWidth="1"/>
    <col min="13" max="13" style="7235" width="84.00390625" customWidth="1"/>
    <col min="14" max="14" style="7235" width="10.00390625" customWidth="1"/>
    <col min="15" max="16" style="7183" width="10.00390625" customWidth="1"/>
    <col min="17" max="33" style="7235" width="10.00390625" customWidth="1"/>
    <col min="34" max="34" style="7235" width="10.57421875" hidden="1"/>
  </cols>
  <sheetData>
    <row s="7235" customFormat="1" customHeight="1" ht="22.5" hidden="1">
      <c r="A1" s="1924"/>
      <c r="B1" s="1924"/>
      <c r="C1" s="515"/>
      <c r="D1" s="490"/>
      <c r="N1" s="1782">
        <f>_xlfn.IFERROR(MATCH("метод экономически обоснованных расходов (затрат)",OFFER_METHOD,0),0)</f>
        <v>0</v>
      </c>
      <c r="O1" s="1770"/>
      <c r="P1" s="1770"/>
      <c r="T1" s="977"/>
      <c r="AG1" s="401"/>
      <c r="AH1" s="1777" t="s">
        <v>14</v>
      </c>
    </row>
    <row s="7235" customFormat="1" customHeight="1" ht="18.75" hidden="1">
      <c r="A2" s="1925" t="s">
        <v>179</v>
      </c>
      <c r="B2" s="1925" t="s">
        <v>180</v>
      </c>
      <c r="C2" s="515"/>
      <c r="D2" s="490"/>
      <c r="E2" s="1177"/>
      <c r="F2" s="1177"/>
      <c r="G2" s="2586" t="str">
        <f>INDEX(PT_DIFFERENTIATION_NTAR,MATCH(B2,PT_DIFFERENTIATION_NTAR_ID,0))</f>
        <v/>
      </c>
      <c r="H2" s="2007"/>
      <c r="I2" s="1884"/>
      <c r="J2" s="1918"/>
      <c r="K2" s="2008"/>
      <c r="L2" s="2007" t="s">
        <v>328</v>
      </c>
      <c r="M2" s="2018"/>
      <c r="N2" s="480"/>
      <c r="O2" s="1770"/>
      <c r="P2" s="1770"/>
      <c r="AH2" s="1777">
        <v>0</v>
      </c>
    </row>
    <row s="7235" customFormat="1" customHeight="1" ht="18.75" hidden="1">
      <c r="A3" s="1925"/>
      <c r="B3" s="1925"/>
      <c r="C3" s="515" t="s">
        <v>1494</v>
      </c>
      <c r="D3" s="490"/>
      <c r="E3" s="1177"/>
      <c r="F3" s="1177"/>
      <c r="G3" s="2586"/>
      <c r="H3" s="1646"/>
      <c r="I3" s="797" t="s">
        <v>1495</v>
      </c>
      <c r="J3" s="717"/>
      <c r="K3" s="1646"/>
      <c r="L3" s="360"/>
      <c r="M3" s="2018"/>
      <c r="N3" s="480"/>
      <c r="O3" s="1770"/>
      <c r="P3" s="1770"/>
      <c r="AH3" s="1777">
        <v>0</v>
      </c>
    </row>
    <row s="7235" customFormat="1" customHeight="1" ht="14.25" hidden="1">
      <c r="A4" s="1924"/>
      <c r="B4" s="1924"/>
      <c r="C4" s="515"/>
      <c r="D4" s="490"/>
      <c r="N4" s="1782">
        <f>_xlfn.IFERROR(MATCH("метод экономически обоснованных расходов (затрат)",OFFER_METHOD,0),0)</f>
        <v>0</v>
      </c>
      <c r="O4" s="1770"/>
      <c r="P4" s="1770"/>
      <c r="T4" s="977"/>
      <c r="AG4" s="401"/>
      <c r="AH4" s="1777">
        <v>0</v>
      </c>
    </row>
    <row s="7235" customFormat="1" customHeight="1" ht="18.75" hidden="1">
      <c r="A5" s="1925" t="s">
        <v>179</v>
      </c>
      <c r="B5" s="1925" t="s">
        <v>180</v>
      </c>
      <c r="C5" s="515"/>
      <c r="D5" s="490"/>
      <c r="E5" s="1177"/>
      <c r="F5" s="1177"/>
      <c r="G5" s="2586" t="str">
        <f>INDEX(PT_DIFFERENTIATION_NTAR,MATCH(B5,PT_DIFFERENTIATION_NTAR_ID,0))</f>
        <v/>
      </c>
      <c r="H5" s="2007"/>
      <c r="I5" s="1884"/>
      <c r="J5" s="1918"/>
      <c r="K5" s="1923"/>
      <c r="L5" s="2007" t="s">
        <v>328</v>
      </c>
      <c r="M5" s="2018"/>
      <c r="N5" s="480"/>
      <c r="O5" s="1770"/>
      <c r="P5" s="1770"/>
      <c r="AH5" s="1777">
        <v>0</v>
      </c>
    </row>
    <row s="7235" customFormat="1" customHeight="1" ht="18.75" hidden="1">
      <c r="A6" s="1925"/>
      <c r="B6" s="1925"/>
      <c r="C6" s="515" t="s">
        <v>1496</v>
      </c>
      <c r="D6" s="490"/>
      <c r="E6" s="1177"/>
      <c r="F6" s="1177"/>
      <c r="G6" s="2586"/>
      <c r="H6" s="1646"/>
      <c r="I6" s="797" t="s">
        <v>1495</v>
      </c>
      <c r="J6" s="717"/>
      <c r="K6" s="1646"/>
      <c r="L6" s="360"/>
      <c r="M6" s="2018"/>
      <c r="N6" s="480"/>
      <c r="O6" s="1770"/>
      <c r="P6" s="1770"/>
      <c r="AH6" s="1777">
        <v>0</v>
      </c>
    </row>
    <row s="7235" customFormat="1" customHeight="1" ht="14.25" hidden="1">
      <c r="A7" s="1924"/>
      <c r="B7" s="1924"/>
      <c r="C7" s="515"/>
      <c r="D7" s="490"/>
      <c r="N7" s="1782">
        <f>_xlfn.IFERROR(MATCH("метод экономически обоснованных расходов (затрат)",OFFER_METHOD,0),0)</f>
        <v>0</v>
      </c>
      <c r="O7" s="1770"/>
      <c r="P7" s="1770"/>
      <c r="T7" s="977"/>
      <c r="AG7" s="401"/>
      <c r="AH7" s="1777">
        <v>0</v>
      </c>
    </row>
    <row s="7235" customFormat="1" customHeight="1" ht="56.25" hidden="1">
      <c r="A8" s="1925"/>
      <c r="B8" s="1925"/>
      <c r="C8" s="515"/>
      <c r="D8" s="490"/>
      <c r="E8" s="1177"/>
      <c r="F8" s="1177"/>
      <c r="G8" s="1177"/>
      <c r="H8" s="1916"/>
      <c r="I8" s="1884"/>
      <c r="J8" s="1918"/>
      <c r="K8" s="2008"/>
      <c r="L8" s="1916" t="s">
        <v>328</v>
      </c>
      <c r="M8" s="2018"/>
      <c r="N8" s="480"/>
      <c r="O8" s="1770"/>
      <c r="P8" s="1770"/>
      <c r="AH8" s="1777">
        <v>0</v>
      </c>
    </row>
    <row customHeight="1" ht="14.25" hidden="1">
      <c r="T9" s="543"/>
      <c r="AG9" s="401"/>
      <c r="AH9" s="520">
        <v>0</v>
      </c>
    </row>
    <row s="7235" customFormat="1" customHeight="1" ht="56.25" hidden="1">
      <c r="A10" s="1925"/>
      <c r="B10" s="1925"/>
      <c r="C10" s="515"/>
      <c r="D10" s="490"/>
      <c r="E10" s="1177"/>
      <c r="F10" s="1177"/>
      <c r="G10" s="1177"/>
      <c r="H10" s="1915"/>
      <c r="I10" s="1884"/>
      <c r="J10" s="1918"/>
      <c r="K10" s="1923"/>
      <c r="L10" s="1916" t="s">
        <v>328</v>
      </c>
      <c r="M10" s="2018"/>
      <c r="N10" s="480"/>
      <c r="O10" s="1770"/>
      <c r="P10" s="1770"/>
      <c r="AH10" s="1777">
        <v>0</v>
      </c>
    </row>
    <row customHeight="1" ht="14.25" hidden="1">
      <c r="AH11" s="520">
        <v>0</v>
      </c>
    </row>
    <row customHeight="1" ht="14.25" hidden="1">
      <c r="AH12" s="520">
        <v>0</v>
      </c>
    </row>
    <row customHeight="1" ht="6.3">
      <c r="D13" s="522"/>
      <c r="E13" s="509"/>
      <c r="F13" s="509"/>
      <c r="G13" s="509"/>
      <c r="H13" s="509"/>
      <c r="I13" s="509"/>
      <c r="J13" s="509"/>
      <c r="K13" s="509"/>
      <c r="L13" s="231"/>
      <c r="M13" s="231"/>
      <c r="AH13" s="520">
        <v>6</v>
      </c>
    </row>
    <row customHeight="1" ht="14.699999999999998">
      <c r="D14" s="522"/>
      <c r="E14" s="262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24"/>
      <c r="G14" s="2624"/>
      <c r="H14" s="2624"/>
      <c r="I14" s="2624"/>
      <c r="J14" s="2624"/>
      <c r="K14" s="2624"/>
      <c r="L14" s="2624"/>
      <c r="M14" s="366"/>
      <c r="AH14" s="520">
        <v>14</v>
      </c>
    </row>
    <row customHeight="1" ht="6.3">
      <c r="D15" s="522"/>
      <c r="E15" s="509"/>
      <c r="F15" s="535"/>
      <c r="G15" s="535"/>
      <c r="H15" s="535"/>
      <c r="I15" s="535"/>
      <c r="J15" s="535"/>
      <c r="K15" s="535"/>
      <c r="L15" s="468"/>
      <c r="M15" s="339"/>
      <c r="AH15" s="520">
        <v>6</v>
      </c>
    </row>
    <row customHeight="1" ht="24">
      <c r="D16" s="522"/>
      <c r="E16" s="509"/>
      <c r="F16" s="451" t="str">
        <f>"Дата подачи заявления об "&amp;IF(TITLE_DATE_PR_CHANGE="","утверждении","изменении")&amp;" тарифов"</f>
        <v>Дата подачи заявления об утверждении тарифов</v>
      </c>
      <c r="G16" s="2423" t="str">
        <f>IF(TITLE_DATE_PR_CHANGE="",IF(TITLE_DATE_PR="","",TITLE_DATE_PR),TITLE_DATE_PR_CHANGE)</f>
        <v/>
      </c>
      <c r="H16" s="2423"/>
      <c r="I16" s="2423"/>
      <c r="J16" s="2423"/>
      <c r="K16" s="2423"/>
      <c r="L16" s="2423"/>
      <c r="M16" s="544"/>
      <c r="N16" s="472"/>
      <c r="AH16" s="520">
        <v>23</v>
      </c>
    </row>
    <row customHeight="1" ht="24">
      <c r="D17" s="522"/>
      <c r="E17" s="509"/>
      <c r="F17" s="451" t="str">
        <f>"Номер подачи заявления об "&amp;IF(TITLE_DATE_PR_CHANGE="","утверждении","изменении")&amp;" тарифов"</f>
        <v>Номер подачи заявления об утверждении тарифов</v>
      </c>
      <c r="G17" s="2410" t="str">
        <f>IF(TITLE_NUMBER_PR_CHANGE="",IF(TITLE_NUMBER_PR="","",TITLE_NUMBER_PR),TITLE_NUMBER_PR_CHANGE)</f>
        <v/>
      </c>
      <c r="H17" s="2410"/>
      <c r="I17" s="2410"/>
      <c r="J17" s="2410"/>
      <c r="K17" s="2410"/>
      <c r="L17" s="2410"/>
      <c r="M17" s="544"/>
      <c r="N17" s="472"/>
      <c r="AH17" s="520">
        <v>23</v>
      </c>
    </row>
    <row customHeight="1" ht="14.699999999999998">
      <c r="D18" s="522"/>
      <c r="E18" s="509"/>
      <c r="F18" s="535"/>
      <c r="G18" s="535"/>
      <c r="H18" s="535"/>
      <c r="I18" s="535"/>
      <c r="J18" s="535"/>
      <c r="K18" s="535"/>
      <c r="L18" s="898"/>
      <c r="M18" s="339"/>
      <c r="AH18" s="520">
        <v>14</v>
      </c>
    </row>
    <row customHeight="1" ht="22.049999999999997">
      <c r="D19" s="522"/>
      <c r="E19" s="2368" t="s">
        <v>322</v>
      </c>
      <c r="F19" s="2368"/>
      <c r="G19" s="2368"/>
      <c r="H19" s="2368"/>
      <c r="I19" s="2368"/>
      <c r="J19" s="2368"/>
      <c r="K19" s="2368"/>
      <c r="L19" s="2368"/>
      <c r="M19" s="2548" t="s">
        <v>323</v>
      </c>
      <c r="AH19" s="520">
        <v>21</v>
      </c>
    </row>
    <row customHeight="1" ht="22.049999999999997">
      <c r="D20" s="522"/>
      <c r="E20" s="2436" t="s">
        <v>89</v>
      </c>
      <c r="F20" s="2383" t="s">
        <v>146</v>
      </c>
      <c r="G20" s="2383" t="s">
        <v>147</v>
      </c>
      <c r="H20" s="2545" t="s">
        <v>1497</v>
      </c>
      <c r="I20" s="2546"/>
      <c r="J20" s="2592"/>
      <c r="K20" s="2383" t="s">
        <v>325</v>
      </c>
      <c r="L20" s="2383" t="s">
        <v>412</v>
      </c>
      <c r="M20" s="2548"/>
      <c r="AH20" s="520">
        <v>21</v>
      </c>
    </row>
    <row customHeight="1" ht="22.049999999999997">
      <c r="D21" s="522"/>
      <c r="E21" s="2438"/>
      <c r="F21" s="2384"/>
      <c r="G21" s="2384"/>
      <c r="H21" s="2377" t="s">
        <v>1498</v>
      </c>
      <c r="I21" s="2379"/>
      <c r="J21" s="254" t="s">
        <v>1499</v>
      </c>
      <c r="K21" s="2384"/>
      <c r="L21" s="2384"/>
      <c r="M21" s="2548"/>
      <c r="AH21" s="520">
        <v>21</v>
      </c>
    </row>
    <row customHeight="1" ht="12.75">
      <c r="D22" s="522"/>
      <c r="E22" s="427"/>
      <c r="F22" s="427"/>
      <c r="G22" s="427"/>
      <c r="H22" s="2626"/>
      <c r="I22" s="2626"/>
      <c r="J22" s="427"/>
      <c r="K22" s="427"/>
      <c r="L22" s="427"/>
      <c r="M22" s="427"/>
      <c r="AH22" s="520">
        <v>12</v>
      </c>
    </row>
    <row customHeight="1" ht="19.95">
      <c r="A23" s="1925"/>
      <c r="B23" s="1925"/>
      <c r="D23" s="522"/>
      <c r="E23" s="2009" t="s">
        <v>121</v>
      </c>
      <c r="F23" s="2627" t="str">
        <f>"Предлагаемый метод регулирования"&amp;IF(TEMPLATE_SPHERE="HEAT"," в сфере "&amp;TEMPLATE_SPHERE_RUS,"")</f>
        <v>Предлагаемый метод регулирования в сфере теплоснабжения</v>
      </c>
      <c r="G23" s="2628"/>
      <c r="H23" s="2620"/>
      <c r="I23" s="2620"/>
      <c r="J23" s="2620"/>
      <c r="K23" s="2628" t="s">
        <v>328</v>
      </c>
      <c r="L23" s="2620"/>
      <c r="M23" s="1914"/>
      <c r="N23" s="480"/>
      <c r="AH23" s="520">
        <v>19</v>
      </c>
    </row>
    <row customHeight="1" ht="60.75" hidden="1">
      <c r="A24" s="1925" t="s">
        <v>179</v>
      </c>
      <c r="B24" s="1925" t="s">
        <v>180</v>
      </c>
      <c r="D24" s="2625"/>
      <c r="E24" s="2363"/>
      <c r="F24" s="262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86" t="str">
        <f>INDEX(PT_DIFFERENTIATION_NTAR,MATCH(B24,PT_DIFFERENTIATION_NTAR_ID,0))</f>
        <v/>
      </c>
      <c r="H24" s="2005"/>
      <c r="I24" s="1884"/>
      <c r="J24" s="1918"/>
      <c r="K24" s="2008"/>
      <c r="L24" s="1913" t="s">
        <v>328</v>
      </c>
      <c r="M24" s="232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480"/>
      <c r="AH24" s="520">
        <v>0</v>
      </c>
    </row>
    <row s="7235" customFormat="1" customHeight="1" ht="18.75" hidden="1">
      <c r="A25" s="1925"/>
      <c r="B25" s="1925"/>
      <c r="C25" s="515" t="s">
        <v>1494</v>
      </c>
      <c r="D25" s="2625"/>
      <c r="E25" s="2363"/>
      <c r="F25" s="2629"/>
      <c r="G25" s="2586"/>
      <c r="H25" s="1646"/>
      <c r="I25" s="797" t="s">
        <v>1495</v>
      </c>
      <c r="J25" s="717"/>
      <c r="K25" s="1646"/>
      <c r="L25" s="360"/>
      <c r="M25" s="2329"/>
      <c r="N25" s="480"/>
      <c r="O25" s="1770"/>
      <c r="P25" s="1770"/>
      <c r="AH25" s="1777">
        <v>0</v>
      </c>
    </row>
    <row customHeight="1" ht="0.75" hidden="1">
      <c r="A26" s="1925"/>
      <c r="B26" s="1925"/>
      <c r="C26" s="515" t="s">
        <v>1500</v>
      </c>
      <c r="D26" s="2625"/>
      <c r="E26" s="2363"/>
      <c r="F26" s="2542"/>
      <c r="G26" s="546"/>
      <c r="H26" s="1646"/>
      <c r="I26" s="541"/>
      <c r="J26" s="495"/>
      <c r="K26" s="1646"/>
      <c r="L26" s="347"/>
      <c r="M26" s="2329"/>
      <c r="N26" s="480"/>
      <c r="AH26" s="520">
        <v>0</v>
      </c>
    </row>
    <row s="7235" customFormat="1" customHeight="1" ht="45" hidden="1">
      <c r="A27" s="1925" t="s">
        <v>184</v>
      </c>
      <c r="B27" s="1925" t="s">
        <v>185</v>
      </c>
      <c r="C27" s="515"/>
      <c r="D27" s="2621"/>
      <c r="E27" s="2622"/>
      <c r="F27" s="2623" t="str">
        <f>INDEX(PT_DIFFERENTIATION_VTAR,MATCH(A27,PT_DIFFERENTIATION_VTAR_ID,0))</f>
        <v/>
      </c>
      <c r="G27" s="2586" t="str">
        <f>INDEX(PT_DIFFERENTIATION_NTAR,MATCH(B27,PT_DIFFERENTIATION_NTAR_ID,0))</f>
        <v/>
      </c>
      <c r="H27" s="2005"/>
      <c r="I27" s="1884"/>
      <c r="J27" s="1918"/>
      <c r="K27" s="2008"/>
      <c r="L27" s="2005" t="s">
        <v>328</v>
      </c>
      <c r="M27" s="2329"/>
      <c r="N27" s="480"/>
      <c r="O27" s="1770"/>
      <c r="P27" s="1770"/>
      <c r="AH27" s="1777">
        <v>0</v>
      </c>
    </row>
    <row s="7235" customFormat="1" customHeight="1" ht="18.75" hidden="1">
      <c r="A28" s="1925"/>
      <c r="B28" s="1925"/>
      <c r="C28" s="515" t="s">
        <v>1494</v>
      </c>
      <c r="D28" s="2621"/>
      <c r="E28" s="2622"/>
      <c r="F28" s="2623"/>
      <c r="G28" s="2586"/>
      <c r="H28" s="1646"/>
      <c r="I28" s="797" t="s">
        <v>1495</v>
      </c>
      <c r="J28" s="717"/>
      <c r="K28" s="1646"/>
      <c r="L28" s="360"/>
      <c r="M28" s="2329"/>
      <c r="N28" s="480"/>
      <c r="O28" s="1770"/>
      <c r="P28" s="1770"/>
      <c r="AH28" s="1777">
        <v>0</v>
      </c>
    </row>
    <row s="7235" customFormat="1" customHeight="1" ht="0.75" hidden="1">
      <c r="A29" s="1925"/>
      <c r="B29" s="1925"/>
      <c r="C29" s="515" t="s">
        <v>1500</v>
      </c>
      <c r="D29" s="2621"/>
      <c r="E29" s="2363"/>
      <c r="F29" s="2542"/>
      <c r="G29" s="546"/>
      <c r="H29" s="1646"/>
      <c r="I29" s="797"/>
      <c r="J29" s="717"/>
      <c r="K29" s="1646"/>
      <c r="L29" s="360"/>
      <c r="M29" s="2329"/>
      <c r="N29" s="480"/>
      <c r="O29" s="1770"/>
      <c r="P29" s="1770"/>
      <c r="AH29" s="1777">
        <v>0</v>
      </c>
    </row>
    <row s="7235" customFormat="1" customHeight="1" ht="45" hidden="1">
      <c r="A30" s="1925" t="s">
        <v>191</v>
      </c>
      <c r="B30" s="1925" t="s">
        <v>192</v>
      </c>
      <c r="C30" s="515"/>
      <c r="D30" s="2621"/>
      <c r="E30" s="2363"/>
      <c r="F30" s="254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86" t="str">
        <f>INDEX(PT_DIFFERENTIATION_NTAR,MATCH(B30,PT_DIFFERENTIATION_NTAR_ID,0))</f>
        <v/>
      </c>
      <c r="H30" s="2005"/>
      <c r="I30" s="1884"/>
      <c r="J30" s="1918"/>
      <c r="K30" s="2008"/>
      <c r="L30" s="2005" t="s">
        <v>328</v>
      </c>
      <c r="M30" s="2329"/>
      <c r="N30" s="480"/>
      <c r="O30" s="1770"/>
      <c r="P30" s="1770"/>
      <c r="AH30" s="1777">
        <v>0</v>
      </c>
    </row>
    <row s="7235" customFormat="1" customHeight="1" ht="18.75" hidden="1">
      <c r="A31" s="1925"/>
      <c r="B31" s="1925"/>
      <c r="C31" s="515" t="s">
        <v>1494</v>
      </c>
      <c r="D31" s="2621"/>
      <c r="E31" s="2363"/>
      <c r="F31" s="2542"/>
      <c r="G31" s="2586"/>
      <c r="H31" s="1646"/>
      <c r="I31" s="797" t="s">
        <v>1495</v>
      </c>
      <c r="J31" s="717"/>
      <c r="K31" s="1646"/>
      <c r="L31" s="360"/>
      <c r="M31" s="2329"/>
      <c r="N31" s="480"/>
      <c r="O31" s="1770"/>
      <c r="P31" s="1770"/>
      <c r="AH31" s="1777">
        <v>0</v>
      </c>
    </row>
    <row s="7235" customFormat="1" customHeight="1" ht="0.75" hidden="1">
      <c r="A32" s="1925"/>
      <c r="B32" s="1925"/>
      <c r="C32" s="515" t="s">
        <v>1500</v>
      </c>
      <c r="D32" s="2621"/>
      <c r="E32" s="2363"/>
      <c r="F32" s="2542"/>
      <c r="G32" s="546"/>
      <c r="H32" s="1646"/>
      <c r="I32" s="797"/>
      <c r="J32" s="717"/>
      <c r="K32" s="1646"/>
      <c r="L32" s="360"/>
      <c r="M32" s="2329"/>
      <c r="N32" s="480"/>
      <c r="O32" s="1770"/>
      <c r="P32" s="1770"/>
      <c r="AH32" s="1777">
        <v>0</v>
      </c>
    </row>
    <row s="7235" customFormat="1" customHeight="1" ht="45" hidden="1">
      <c r="A33" s="1925" t="s">
        <v>197</v>
      </c>
      <c r="B33" s="1925" t="s">
        <v>198</v>
      </c>
      <c r="C33" s="515"/>
      <c r="D33" s="2621"/>
      <c r="E33" s="2363"/>
      <c r="F33" s="254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86" t="str">
        <f>INDEX(PT_DIFFERENTIATION_NTAR,MATCH(B33,PT_DIFFERENTIATION_NTAR_ID,0))</f>
        <v/>
      </c>
      <c r="H33" s="2005"/>
      <c r="I33" s="1884"/>
      <c r="J33" s="1918"/>
      <c r="K33" s="2008"/>
      <c r="L33" s="2005" t="s">
        <v>328</v>
      </c>
      <c r="M33" s="2329"/>
      <c r="N33" s="480"/>
      <c r="O33" s="1770"/>
      <c r="P33" s="1770"/>
      <c r="AH33" s="1777">
        <v>0</v>
      </c>
    </row>
    <row s="7235" customFormat="1" customHeight="1" ht="18.75" hidden="1">
      <c r="A34" s="1925"/>
      <c r="B34" s="1925"/>
      <c r="C34" s="515" t="s">
        <v>1494</v>
      </c>
      <c r="D34" s="2621"/>
      <c r="E34" s="2363"/>
      <c r="F34" s="2542"/>
      <c r="G34" s="2586"/>
      <c r="H34" s="1646"/>
      <c r="I34" s="797" t="s">
        <v>1495</v>
      </c>
      <c r="J34" s="717"/>
      <c r="K34" s="1646"/>
      <c r="L34" s="360"/>
      <c r="M34" s="2329"/>
      <c r="N34" s="480"/>
      <c r="O34" s="1770"/>
      <c r="P34" s="1770"/>
      <c r="AH34" s="1777">
        <v>0</v>
      </c>
    </row>
    <row s="7235" customFormat="1" customHeight="1" ht="0.75" hidden="1">
      <c r="A35" s="1925"/>
      <c r="B35" s="1925"/>
      <c r="C35" s="515" t="s">
        <v>1500</v>
      </c>
      <c r="D35" s="2621"/>
      <c r="E35" s="2363"/>
      <c r="F35" s="2542"/>
      <c r="G35" s="546"/>
      <c r="H35" s="1646"/>
      <c r="I35" s="797"/>
      <c r="J35" s="717"/>
      <c r="K35" s="1646"/>
      <c r="L35" s="360"/>
      <c r="M35" s="2329"/>
      <c r="N35" s="480"/>
      <c r="O35" s="1770"/>
      <c r="P35" s="1770"/>
      <c r="AH35" s="1777">
        <v>0</v>
      </c>
    </row>
    <row s="7235" customFormat="1" customHeight="1" ht="18.75" hidden="1">
      <c r="A36" s="1925" t="s">
        <v>203</v>
      </c>
      <c r="B36" s="1925" t="s">
        <v>204</v>
      </c>
      <c r="C36" s="515"/>
      <c r="D36" s="2621"/>
      <c r="E36" s="2363"/>
      <c r="F36" s="2542" t="str">
        <f>INDEX(PT_DIFFERENTIATION_VTAR,MATCH(A36,PT_DIFFERENTIATION_VTAR_ID,0))</f>
        <v>Тарифы на услуги по передаче тепловой энергии</v>
      </c>
      <c r="G36" s="2586" t="str">
        <f>INDEX(PT_DIFFERENTIATION_NTAR,MATCH(B36,PT_DIFFERENTIATION_NTAR_ID,0))</f>
        <v/>
      </c>
      <c r="H36" s="2005"/>
      <c r="I36" s="1884"/>
      <c r="J36" s="1918"/>
      <c r="K36" s="2008"/>
      <c r="L36" s="2005" t="s">
        <v>328</v>
      </c>
      <c r="M36" s="2329"/>
      <c r="N36" s="480"/>
      <c r="O36" s="1770"/>
      <c r="P36" s="1770"/>
      <c r="AH36" s="1777">
        <v>0</v>
      </c>
    </row>
    <row s="7235" customFormat="1" customHeight="1" ht="18.75" hidden="1">
      <c r="A37" s="1925"/>
      <c r="B37" s="1925"/>
      <c r="C37" s="515" t="s">
        <v>1494</v>
      </c>
      <c r="D37" s="2621"/>
      <c r="E37" s="2363"/>
      <c r="F37" s="2542"/>
      <c r="G37" s="2586"/>
      <c r="H37" s="1646"/>
      <c r="I37" s="797" t="s">
        <v>1495</v>
      </c>
      <c r="J37" s="717"/>
      <c r="K37" s="1646"/>
      <c r="L37" s="360"/>
      <c r="M37" s="2329"/>
      <c r="N37" s="480"/>
      <c r="O37" s="1770"/>
      <c r="P37" s="1770"/>
      <c r="AH37" s="1777">
        <v>0</v>
      </c>
    </row>
    <row s="7235" customFormat="1" customHeight="1" ht="0.75" hidden="1">
      <c r="A38" s="1925"/>
      <c r="B38" s="1925"/>
      <c r="C38" s="515" t="s">
        <v>1500</v>
      </c>
      <c r="D38" s="2621"/>
      <c r="E38" s="2363"/>
      <c r="F38" s="2542"/>
      <c r="G38" s="546"/>
      <c r="H38" s="1646"/>
      <c r="I38" s="797"/>
      <c r="J38" s="717"/>
      <c r="K38" s="1646"/>
      <c r="L38" s="360"/>
      <c r="M38" s="2329"/>
      <c r="N38" s="480"/>
      <c r="O38" s="1770"/>
      <c r="P38" s="1770"/>
      <c r="AH38" s="1777">
        <v>0</v>
      </c>
    </row>
    <row s="7235" customFormat="1" customHeight="1" ht="18.75" hidden="1">
      <c r="A39" s="1925" t="s">
        <v>209</v>
      </c>
      <c r="B39" s="1925" t="s">
        <v>210</v>
      </c>
      <c r="C39" s="515"/>
      <c r="D39" s="2621"/>
      <c r="E39" s="2363"/>
      <c r="F39" s="2542" t="str">
        <f>INDEX(PT_DIFFERENTIATION_VTAR,MATCH(A39,PT_DIFFERENTIATION_VTAR_ID,0))</f>
        <v>Тарифы на услуги по передаче теплоносителя</v>
      </c>
      <c r="G39" s="2586" t="str">
        <f>INDEX(PT_DIFFERENTIATION_NTAR,MATCH(B39,PT_DIFFERENTIATION_NTAR_ID,0))</f>
        <v/>
      </c>
      <c r="H39" s="2005"/>
      <c r="I39" s="1884"/>
      <c r="J39" s="1918"/>
      <c r="K39" s="2008"/>
      <c r="L39" s="2005" t="s">
        <v>328</v>
      </c>
      <c r="M39" s="2329"/>
      <c r="N39" s="480"/>
      <c r="O39" s="1770"/>
      <c r="P39" s="1770"/>
      <c r="AH39" s="1777">
        <v>0</v>
      </c>
    </row>
    <row s="7235" customFormat="1" customHeight="1" ht="18.75" hidden="1">
      <c r="A40" s="1925"/>
      <c r="B40" s="1925"/>
      <c r="C40" s="515" t="s">
        <v>1494</v>
      </c>
      <c r="D40" s="2621"/>
      <c r="E40" s="2363"/>
      <c r="F40" s="2542"/>
      <c r="G40" s="2586"/>
      <c r="H40" s="1646"/>
      <c r="I40" s="797" t="s">
        <v>1495</v>
      </c>
      <c r="J40" s="717"/>
      <c r="K40" s="1646"/>
      <c r="L40" s="360"/>
      <c r="M40" s="2329"/>
      <c r="N40" s="480"/>
      <c r="O40" s="1770"/>
      <c r="P40" s="1770"/>
      <c r="AH40" s="1777">
        <v>0</v>
      </c>
    </row>
    <row s="7235" customFormat="1" customHeight="1" ht="0.75" hidden="1">
      <c r="A41" s="1925"/>
      <c r="B41" s="1925"/>
      <c r="C41" s="515" t="s">
        <v>1500</v>
      </c>
      <c r="D41" s="2621"/>
      <c r="E41" s="2363"/>
      <c r="F41" s="2542"/>
      <c r="G41" s="546"/>
      <c r="H41" s="1646"/>
      <c r="I41" s="797"/>
      <c r="J41" s="717"/>
      <c r="K41" s="1646"/>
      <c r="L41" s="360"/>
      <c r="M41" s="2329"/>
      <c r="N41" s="480"/>
      <c r="O41" s="1770"/>
      <c r="P41" s="1770"/>
      <c r="AH41" s="1777">
        <v>0</v>
      </c>
    </row>
    <row s="7235" customFormat="1" customHeight="1" ht="18.75" hidden="1">
      <c r="A42" s="1925" t="s">
        <v>215</v>
      </c>
      <c r="B42" s="1925" t="s">
        <v>216</v>
      </c>
      <c r="C42" s="515"/>
      <c r="D42" s="2621"/>
      <c r="E42" s="2363"/>
      <c r="F42" s="2542" t="str">
        <f>INDEX(PT_DIFFERENTIATION_VTAR,MATCH(A42,PT_DIFFERENTIATION_VTAR_ID,0))</f>
        <v>Плата за услуги по поддержанию резервной тепловой мощности при отсутствии потребления тепловой энергии</v>
      </c>
      <c r="G42" s="2586" t="str">
        <f>INDEX(PT_DIFFERENTIATION_NTAR,MATCH(B42,PT_DIFFERENTIATION_NTAR_ID,0))</f>
        <v/>
      </c>
      <c r="H42" s="2005"/>
      <c r="I42" s="1884"/>
      <c r="J42" s="1918"/>
      <c r="K42" s="2008"/>
      <c r="L42" s="2005" t="s">
        <v>328</v>
      </c>
      <c r="M42" s="2329"/>
      <c r="N42" s="480"/>
      <c r="O42" s="1770"/>
      <c r="P42" s="1770"/>
      <c r="AH42" s="1777">
        <v>0</v>
      </c>
    </row>
    <row s="7235" customFormat="1" customHeight="1" ht="18.75" hidden="1">
      <c r="A43" s="1925"/>
      <c r="B43" s="1925"/>
      <c r="C43" s="515" t="s">
        <v>1494</v>
      </c>
      <c r="D43" s="2621"/>
      <c r="E43" s="2363"/>
      <c r="F43" s="2542"/>
      <c r="G43" s="2586"/>
      <c r="H43" s="1646"/>
      <c r="I43" s="797" t="s">
        <v>1495</v>
      </c>
      <c r="J43" s="717"/>
      <c r="K43" s="1646"/>
      <c r="L43" s="360"/>
      <c r="M43" s="2329"/>
      <c r="N43" s="480"/>
      <c r="O43" s="1770"/>
      <c r="P43" s="1770"/>
      <c r="AH43" s="1777">
        <v>0</v>
      </c>
    </row>
    <row s="7235" customFormat="1" customHeight="1" ht="0.75" hidden="1">
      <c r="A44" s="1925"/>
      <c r="B44" s="1925"/>
      <c r="C44" s="515" t="s">
        <v>1500</v>
      </c>
      <c r="D44" s="2621"/>
      <c r="E44" s="2363"/>
      <c r="F44" s="2542"/>
      <c r="G44" s="546"/>
      <c r="H44" s="1646"/>
      <c r="I44" s="797"/>
      <c r="J44" s="717"/>
      <c r="K44" s="1646"/>
      <c r="L44" s="360"/>
      <c r="M44" s="2329"/>
      <c r="N44" s="480"/>
      <c r="O44" s="1770"/>
      <c r="P44" s="1770"/>
      <c r="AH44" s="1777">
        <v>0</v>
      </c>
    </row>
    <row s="7235" customFormat="1" customHeight="1" ht="18.75" hidden="1">
      <c r="A45" s="1925" t="s">
        <v>221</v>
      </c>
      <c r="B45" s="1925" t="s">
        <v>222</v>
      </c>
      <c r="C45" s="515"/>
      <c r="D45" s="2621"/>
      <c r="E45" s="2363"/>
      <c r="F45" s="2542" t="str">
        <f>INDEX(PT_DIFFERENTIATION_VTAR,MATCH(A45,PT_DIFFERENTIATION_VTAR_ID,0))</f>
        <v>Плата за подключение (технологическое присоединение) к системе теплоснабжения</v>
      </c>
      <c r="G45" s="2586" t="str">
        <f>INDEX(PT_DIFFERENTIATION_NTAR,MATCH(B45,PT_DIFFERENTIATION_NTAR_ID,0))</f>
        <v/>
      </c>
      <c r="H45" s="2005"/>
      <c r="I45" s="1884"/>
      <c r="J45" s="1918"/>
      <c r="K45" s="2008"/>
      <c r="L45" s="2005" t="s">
        <v>328</v>
      </c>
      <c r="M45" s="2329"/>
      <c r="N45" s="480"/>
      <c r="O45" s="1770"/>
      <c r="P45" s="1770"/>
      <c r="AH45" s="1777">
        <v>0</v>
      </c>
    </row>
    <row s="7235" customFormat="1" customHeight="1" ht="18.75" hidden="1">
      <c r="A46" s="1925"/>
      <c r="B46" s="1925"/>
      <c r="C46" s="515" t="s">
        <v>1494</v>
      </c>
      <c r="D46" s="2621"/>
      <c r="E46" s="2363"/>
      <c r="F46" s="2542"/>
      <c r="G46" s="2586"/>
      <c r="H46" s="1646"/>
      <c r="I46" s="797" t="s">
        <v>1495</v>
      </c>
      <c r="J46" s="717"/>
      <c r="K46" s="1646"/>
      <c r="L46" s="360"/>
      <c r="M46" s="2329"/>
      <c r="N46" s="480"/>
      <c r="O46" s="1770"/>
      <c r="P46" s="1770"/>
      <c r="AH46" s="1777">
        <v>0</v>
      </c>
    </row>
    <row s="7235" customFormat="1" customHeight="1" ht="0.75" hidden="1">
      <c r="A47" s="1925"/>
      <c r="B47" s="1925"/>
      <c r="C47" s="515" t="s">
        <v>1500</v>
      </c>
      <c r="D47" s="2621"/>
      <c r="E47" s="2363"/>
      <c r="F47" s="2542"/>
      <c r="G47" s="546"/>
      <c r="H47" s="1646"/>
      <c r="I47" s="797"/>
      <c r="J47" s="717"/>
      <c r="K47" s="1646"/>
      <c r="L47" s="360"/>
      <c r="M47" s="2329"/>
      <c r="N47" s="480"/>
      <c r="O47" s="1770"/>
      <c r="P47" s="1770"/>
      <c r="AH47" s="1777">
        <v>0</v>
      </c>
    </row>
    <row s="7235" customFormat="1" customHeight="1" ht="18.75" hidden="1">
      <c r="A48" s="1925" t="s">
        <v>227</v>
      </c>
      <c r="B48" s="1925" t="s">
        <v>228</v>
      </c>
      <c r="C48" s="515"/>
      <c r="D48" s="2621"/>
      <c r="E48" s="2363"/>
      <c r="F48" s="2542" t="str">
        <f>INDEX(PT_DIFFERENTIATION_VTAR,MATCH(A48,PT_DIFFERENTIATION_VTAR_ID,0))</f>
        <v>Плата за подключение (технологическое присоединение) к системе теплоснабжения (индивидуальная)</v>
      </c>
      <c r="G48" s="2586" t="str">
        <f>INDEX(PT_DIFFERENTIATION_NTAR,MATCH(B48,PT_DIFFERENTIATION_NTAR_ID,0))</f>
        <v/>
      </c>
      <c r="H48" s="2132"/>
      <c r="I48" s="1884"/>
      <c r="J48" s="1918"/>
      <c r="K48" s="2008"/>
      <c r="L48" s="2132" t="s">
        <v>328</v>
      </c>
      <c r="M48" s="2329"/>
      <c r="N48" s="480"/>
      <c r="O48" s="1770"/>
      <c r="P48" s="1770"/>
      <c r="AH48" s="1777">
        <v>0</v>
      </c>
    </row>
    <row s="7235" customFormat="1" customHeight="1" ht="18.75" hidden="1">
      <c r="A49" s="1925"/>
      <c r="B49" s="1925"/>
      <c r="C49" s="515" t="s">
        <v>1494</v>
      </c>
      <c r="D49" s="2621"/>
      <c r="E49" s="2363"/>
      <c r="F49" s="2542"/>
      <c r="G49" s="2586"/>
      <c r="H49" s="1646"/>
      <c r="I49" s="797" t="s">
        <v>1495</v>
      </c>
      <c r="J49" s="717"/>
      <c r="K49" s="1646"/>
      <c r="L49" s="360"/>
      <c r="M49" s="2329"/>
      <c r="N49" s="480"/>
      <c r="O49" s="1770"/>
      <c r="P49" s="1770"/>
      <c r="AH49" s="1777">
        <v>0</v>
      </c>
    </row>
    <row s="7235" customFormat="1" customHeight="1" ht="0.75" hidden="1">
      <c r="A50" s="1925"/>
      <c r="B50" s="1925"/>
      <c r="C50" s="515" t="s">
        <v>1500</v>
      </c>
      <c r="D50" s="2621"/>
      <c r="E50" s="2363"/>
      <c r="F50" s="2542"/>
      <c r="G50" s="546"/>
      <c r="H50" s="1646"/>
      <c r="I50" s="797"/>
      <c r="J50" s="717"/>
      <c r="K50" s="1646"/>
      <c r="L50" s="360"/>
      <c r="M50" s="2329"/>
      <c r="N50" s="480"/>
      <c r="O50" s="1770"/>
      <c r="P50" s="1770"/>
      <c r="AH50" s="1777">
        <v>0</v>
      </c>
    </row>
    <row s="7235" customFormat="1" customHeight="1" ht="18.75" hidden="1">
      <c r="A51" s="1925" t="s">
        <v>247</v>
      </c>
      <c r="B51" s="1925" t="s">
        <v>248</v>
      </c>
      <c r="C51" s="515"/>
      <c r="D51" s="2621"/>
      <c r="E51" s="2363"/>
      <c r="F51" s="2542" t="str">
        <f>INDEX(PT_DIFFERENTIATION_VTAR,MATCH(A51,PT_DIFFERENTIATION_VTAR_ID,0))</f>
        <v>Тариф на питьевую воду (питьевое водоснабжение)</v>
      </c>
      <c r="G51" s="2586" t="str">
        <f>INDEX(PT_DIFFERENTIATION_NTAR,MATCH(B51,PT_DIFFERENTIATION_NTAR_ID,0))</f>
        <v/>
      </c>
      <c r="H51" s="2005"/>
      <c r="I51" s="1884"/>
      <c r="J51" s="1918"/>
      <c r="K51" s="2008"/>
      <c r="L51" s="2005" t="s">
        <v>328</v>
      </c>
      <c r="M51" s="2329"/>
      <c r="N51" s="480"/>
      <c r="O51" s="1770"/>
      <c r="P51" s="1770"/>
      <c r="AH51" s="1777">
        <v>0</v>
      </c>
    </row>
    <row s="7235" customFormat="1" customHeight="1" ht="18.75" hidden="1">
      <c r="A52" s="1925"/>
      <c r="B52" s="1925"/>
      <c r="C52" s="515" t="s">
        <v>1494</v>
      </c>
      <c r="D52" s="2621"/>
      <c r="E52" s="2363"/>
      <c r="F52" s="2542"/>
      <c r="G52" s="2586"/>
      <c r="H52" s="1646"/>
      <c r="I52" s="797" t="s">
        <v>1495</v>
      </c>
      <c r="J52" s="717"/>
      <c r="K52" s="1646"/>
      <c r="L52" s="360"/>
      <c r="M52" s="2329"/>
      <c r="N52" s="480"/>
      <c r="O52" s="1770"/>
      <c r="P52" s="1770"/>
      <c r="AH52" s="1777">
        <v>0</v>
      </c>
    </row>
    <row s="7235" customFormat="1" customHeight="1" ht="0.75" hidden="1">
      <c r="A53" s="1925"/>
      <c r="B53" s="1925"/>
      <c r="C53" s="515" t="s">
        <v>1500</v>
      </c>
      <c r="D53" s="2621"/>
      <c r="E53" s="2363"/>
      <c r="F53" s="2542"/>
      <c r="G53" s="546"/>
      <c r="H53" s="1646"/>
      <c r="I53" s="797"/>
      <c r="J53" s="717"/>
      <c r="K53" s="1646"/>
      <c r="L53" s="360"/>
      <c r="M53" s="2329"/>
      <c r="N53" s="480"/>
      <c r="O53" s="1770"/>
      <c r="P53" s="1770"/>
      <c r="AH53" s="1777">
        <v>0</v>
      </c>
    </row>
    <row s="7235" customFormat="1" customHeight="1" ht="18.75" hidden="1">
      <c r="A54" s="1925" t="s">
        <v>252</v>
      </c>
      <c r="B54" s="1925" t="s">
        <v>253</v>
      </c>
      <c r="C54" s="515"/>
      <c r="D54" s="2621"/>
      <c r="E54" s="2363"/>
      <c r="F54" s="2542" t="str">
        <f>INDEX(PT_DIFFERENTIATION_VTAR,MATCH(A54,PT_DIFFERENTIATION_VTAR_ID,0))</f>
        <v>Тариф на техническую воду</v>
      </c>
      <c r="G54" s="2586" t="str">
        <f>INDEX(PT_DIFFERENTIATION_NTAR,MATCH(B54,PT_DIFFERENTIATION_NTAR_ID,0))</f>
        <v/>
      </c>
      <c r="H54" s="2005"/>
      <c r="I54" s="1884"/>
      <c r="J54" s="1918"/>
      <c r="K54" s="2008"/>
      <c r="L54" s="2005" t="s">
        <v>328</v>
      </c>
      <c r="M54" s="2329"/>
      <c r="N54" s="480"/>
      <c r="O54" s="1770"/>
      <c r="P54" s="1770"/>
      <c r="AH54" s="1777">
        <v>0</v>
      </c>
    </row>
    <row s="7235" customFormat="1" customHeight="1" ht="18.75" hidden="1">
      <c r="A55" s="1925"/>
      <c r="B55" s="1925"/>
      <c r="C55" s="515" t="s">
        <v>1494</v>
      </c>
      <c r="D55" s="2621"/>
      <c r="E55" s="2363"/>
      <c r="F55" s="2542"/>
      <c r="G55" s="2586"/>
      <c r="H55" s="1646"/>
      <c r="I55" s="797" t="s">
        <v>1495</v>
      </c>
      <c r="J55" s="717"/>
      <c r="K55" s="1646"/>
      <c r="L55" s="360"/>
      <c r="M55" s="2329"/>
      <c r="N55" s="480"/>
      <c r="O55" s="1770"/>
      <c r="P55" s="1770"/>
      <c r="AH55" s="1777">
        <v>0</v>
      </c>
    </row>
    <row s="7235" customFormat="1" customHeight="1" ht="0.75" hidden="1">
      <c r="A56" s="1925"/>
      <c r="B56" s="1925"/>
      <c r="C56" s="515" t="s">
        <v>1500</v>
      </c>
      <c r="D56" s="2621"/>
      <c r="E56" s="2363"/>
      <c r="F56" s="2542"/>
      <c r="G56" s="546"/>
      <c r="H56" s="1646"/>
      <c r="I56" s="797"/>
      <c r="J56" s="717"/>
      <c r="K56" s="1646"/>
      <c r="L56" s="360"/>
      <c r="M56" s="2329"/>
      <c r="N56" s="480"/>
      <c r="O56" s="1770"/>
      <c r="P56" s="1770"/>
      <c r="AH56" s="1777">
        <v>0</v>
      </c>
    </row>
    <row s="7235" customFormat="1" customHeight="1" ht="18.75" hidden="1">
      <c r="A57" s="1925" t="s">
        <v>257</v>
      </c>
      <c r="B57" s="1925" t="s">
        <v>258</v>
      </c>
      <c r="C57" s="515"/>
      <c r="D57" s="2621"/>
      <c r="E57" s="2363"/>
      <c r="F57" s="2542" t="str">
        <f>INDEX(PT_DIFFERENTIATION_VTAR,MATCH(A57,PT_DIFFERENTIATION_VTAR_ID,0))</f>
        <v>Тариф на транспортировку воды</v>
      </c>
      <c r="G57" s="2586" t="str">
        <f>INDEX(PT_DIFFERENTIATION_NTAR,MATCH(B57,PT_DIFFERENTIATION_NTAR_ID,0))</f>
        <v/>
      </c>
      <c r="H57" s="2005"/>
      <c r="I57" s="1884"/>
      <c r="J57" s="1918"/>
      <c r="K57" s="2008"/>
      <c r="L57" s="2005" t="s">
        <v>328</v>
      </c>
      <c r="M57" s="2329"/>
      <c r="N57" s="480"/>
      <c r="O57" s="1770"/>
      <c r="P57" s="1770"/>
      <c r="AH57" s="1777">
        <v>0</v>
      </c>
    </row>
    <row s="7235" customFormat="1" customHeight="1" ht="18.75" hidden="1">
      <c r="A58" s="1925"/>
      <c r="B58" s="1925"/>
      <c r="C58" s="515" t="s">
        <v>1494</v>
      </c>
      <c r="D58" s="2621"/>
      <c r="E58" s="2363"/>
      <c r="F58" s="2542"/>
      <c r="G58" s="2586"/>
      <c r="H58" s="1646"/>
      <c r="I58" s="797" t="s">
        <v>1495</v>
      </c>
      <c r="J58" s="717"/>
      <c r="K58" s="1646"/>
      <c r="L58" s="360"/>
      <c r="M58" s="2329"/>
      <c r="N58" s="480"/>
      <c r="O58" s="1770"/>
      <c r="P58" s="1770"/>
      <c r="AH58" s="1777">
        <v>0</v>
      </c>
    </row>
    <row s="7235" customFormat="1" customHeight="1" ht="0.75" hidden="1">
      <c r="A59" s="1925"/>
      <c r="B59" s="1925"/>
      <c r="C59" s="515" t="s">
        <v>1500</v>
      </c>
      <c r="D59" s="2621"/>
      <c r="E59" s="2363"/>
      <c r="F59" s="2542"/>
      <c r="G59" s="546"/>
      <c r="H59" s="1646"/>
      <c r="I59" s="797"/>
      <c r="J59" s="717"/>
      <c r="K59" s="1646"/>
      <c r="L59" s="360"/>
      <c r="M59" s="2329"/>
      <c r="N59" s="480"/>
      <c r="O59" s="1770"/>
      <c r="P59" s="1770"/>
      <c r="AH59" s="1777">
        <v>0</v>
      </c>
    </row>
    <row s="7235" customFormat="1" customHeight="1" ht="18.75" hidden="1">
      <c r="A60" s="1925" t="s">
        <v>262</v>
      </c>
      <c r="B60" s="1925" t="s">
        <v>263</v>
      </c>
      <c r="C60" s="515"/>
      <c r="D60" s="2621"/>
      <c r="E60" s="2363"/>
      <c r="F60" s="2542" t="str">
        <f>INDEX(PT_DIFFERENTIATION_VTAR,MATCH(A60,PT_DIFFERENTIATION_VTAR_ID,0))</f>
        <v>Тариф на подвоз воды</v>
      </c>
      <c r="G60" s="2586" t="str">
        <f>INDEX(PT_DIFFERENTIATION_NTAR,MATCH(B60,PT_DIFFERENTIATION_NTAR_ID,0))</f>
        <v/>
      </c>
      <c r="H60" s="2005"/>
      <c r="I60" s="1884"/>
      <c r="J60" s="1918"/>
      <c r="K60" s="2008"/>
      <c r="L60" s="2005" t="s">
        <v>328</v>
      </c>
      <c r="M60" s="2329"/>
      <c r="N60" s="480"/>
      <c r="O60" s="1770"/>
      <c r="P60" s="1770"/>
      <c r="AH60" s="1777">
        <v>0</v>
      </c>
    </row>
    <row s="7235" customFormat="1" customHeight="1" ht="18.75" hidden="1">
      <c r="A61" s="1925"/>
      <c r="B61" s="1925"/>
      <c r="C61" s="515" t="s">
        <v>1494</v>
      </c>
      <c r="D61" s="2621"/>
      <c r="E61" s="2363"/>
      <c r="F61" s="2542"/>
      <c r="G61" s="2586"/>
      <c r="H61" s="1646"/>
      <c r="I61" s="797" t="s">
        <v>1495</v>
      </c>
      <c r="J61" s="717"/>
      <c r="K61" s="1646"/>
      <c r="L61" s="360"/>
      <c r="M61" s="2329"/>
      <c r="N61" s="480"/>
      <c r="O61" s="1770"/>
      <c r="P61" s="1770"/>
      <c r="AH61" s="1777">
        <v>0</v>
      </c>
    </row>
    <row s="7235" customFormat="1" customHeight="1" ht="0.75" hidden="1">
      <c r="A62" s="1925"/>
      <c r="B62" s="1925"/>
      <c r="C62" s="515" t="s">
        <v>1500</v>
      </c>
      <c r="D62" s="2621"/>
      <c r="E62" s="2363"/>
      <c r="F62" s="2542"/>
      <c r="G62" s="546"/>
      <c r="H62" s="1646"/>
      <c r="I62" s="797"/>
      <c r="J62" s="717"/>
      <c r="K62" s="1646"/>
      <c r="L62" s="360"/>
      <c r="M62" s="2329"/>
      <c r="N62" s="480"/>
      <c r="O62" s="1770"/>
      <c r="P62" s="1770"/>
      <c r="AH62" s="1777">
        <v>0</v>
      </c>
    </row>
    <row s="7235" customFormat="1" customHeight="1" ht="18.75" hidden="1">
      <c r="A63" s="1925" t="s">
        <v>267</v>
      </c>
      <c r="B63" s="1925" t="s">
        <v>268</v>
      </c>
      <c r="C63" s="515"/>
      <c r="D63" s="2621"/>
      <c r="E63" s="2363"/>
      <c r="F63" s="254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86" t="str">
        <f>INDEX(PT_DIFFERENTIATION_NTAR,MATCH(B63,PT_DIFFERENTIATION_NTAR_ID,0))</f>
        <v/>
      </c>
      <c r="H63" s="2005"/>
      <c r="I63" s="1884"/>
      <c r="J63" s="1918"/>
      <c r="K63" s="2008"/>
      <c r="L63" s="2005" t="s">
        <v>328</v>
      </c>
      <c r="M63" s="2329"/>
      <c r="N63" s="480"/>
      <c r="O63" s="1770"/>
      <c r="P63" s="1770"/>
      <c r="AH63" s="1777">
        <v>0</v>
      </c>
    </row>
    <row s="7235" customFormat="1" customHeight="1" ht="18.75" hidden="1">
      <c r="A64" s="1925"/>
      <c r="B64" s="1925"/>
      <c r="C64" s="515" t="s">
        <v>1494</v>
      </c>
      <c r="D64" s="2621"/>
      <c r="E64" s="2363"/>
      <c r="F64" s="2542"/>
      <c r="G64" s="2586"/>
      <c r="H64" s="1646"/>
      <c r="I64" s="797" t="s">
        <v>1495</v>
      </c>
      <c r="J64" s="717"/>
      <c r="K64" s="1646"/>
      <c r="L64" s="360"/>
      <c r="M64" s="2329"/>
      <c r="N64" s="480"/>
      <c r="O64" s="1770"/>
      <c r="P64" s="1770"/>
      <c r="AH64" s="1777">
        <v>0</v>
      </c>
    </row>
    <row s="7235" customFormat="1" customHeight="1" ht="0.75" hidden="1">
      <c r="A65" s="1925"/>
      <c r="B65" s="1925"/>
      <c r="C65" s="515" t="s">
        <v>1500</v>
      </c>
      <c r="D65" s="2621"/>
      <c r="E65" s="2363"/>
      <c r="F65" s="2542"/>
      <c r="G65" s="546"/>
      <c r="H65" s="1646"/>
      <c r="I65" s="797"/>
      <c r="J65" s="717"/>
      <c r="K65" s="1646"/>
      <c r="L65" s="360"/>
      <c r="M65" s="2329"/>
      <c r="N65" s="480"/>
      <c r="O65" s="1770"/>
      <c r="P65" s="1770"/>
      <c r="AH65" s="1777">
        <v>0</v>
      </c>
    </row>
    <row s="7235" customFormat="1" customHeight="1" ht="18.75" hidden="1">
      <c r="A66" s="1925" t="s">
        <v>272</v>
      </c>
      <c r="B66" s="1925" t="s">
        <v>273</v>
      </c>
      <c r="C66" s="515"/>
      <c r="D66" s="2621"/>
      <c r="E66" s="2363"/>
      <c r="F66" s="2542" t="str">
        <f>INDEX(PT_DIFFERENTIATION_VTAR,MATCH(A66,PT_DIFFERENTIATION_VTAR_ID,0))</f>
        <v>Тариф на горячую воду (горячее водоснабжение)</v>
      </c>
      <c r="G66" s="2586" t="str">
        <f>INDEX(PT_DIFFERENTIATION_NTAR,MATCH(B66,PT_DIFFERENTIATION_NTAR_ID,0))</f>
        <v/>
      </c>
      <c r="H66" s="2005"/>
      <c r="I66" s="1884"/>
      <c r="J66" s="1918"/>
      <c r="K66" s="2008"/>
      <c r="L66" s="2005" t="s">
        <v>328</v>
      </c>
      <c r="M66" s="2329"/>
      <c r="N66" s="480"/>
      <c r="O66" s="1770"/>
      <c r="P66" s="1770"/>
      <c r="AH66" s="1777">
        <v>0</v>
      </c>
    </row>
    <row s="7235" customFormat="1" customHeight="1" ht="18.75" hidden="1">
      <c r="A67" s="1925"/>
      <c r="B67" s="1925"/>
      <c r="C67" s="515" t="s">
        <v>1494</v>
      </c>
      <c r="D67" s="2621"/>
      <c r="E67" s="2363"/>
      <c r="F67" s="2542"/>
      <c r="G67" s="2586"/>
      <c r="H67" s="1646"/>
      <c r="I67" s="797" t="s">
        <v>1495</v>
      </c>
      <c r="J67" s="717"/>
      <c r="K67" s="1646"/>
      <c r="L67" s="360"/>
      <c r="M67" s="2329"/>
      <c r="N67" s="480"/>
      <c r="O67" s="1770"/>
      <c r="P67" s="1770"/>
      <c r="AH67" s="1777">
        <v>0</v>
      </c>
    </row>
    <row s="7235" customFormat="1" customHeight="1" ht="0.75" hidden="1">
      <c r="A68" s="1925"/>
      <c r="B68" s="1925"/>
      <c r="C68" s="515" t="s">
        <v>1500</v>
      </c>
      <c r="D68" s="2621"/>
      <c r="E68" s="2363"/>
      <c r="F68" s="2542"/>
      <c r="G68" s="546"/>
      <c r="H68" s="1646"/>
      <c r="I68" s="797"/>
      <c r="J68" s="717"/>
      <c r="K68" s="1646"/>
      <c r="L68" s="360"/>
      <c r="M68" s="2329"/>
      <c r="N68" s="480"/>
      <c r="O68" s="1770"/>
      <c r="P68" s="1770"/>
      <c r="AH68" s="1777">
        <v>0</v>
      </c>
    </row>
    <row s="7235" customFormat="1" customHeight="1" ht="18.75" hidden="1">
      <c r="A69" s="1925" t="s">
        <v>277</v>
      </c>
      <c r="B69" s="1925" t="s">
        <v>278</v>
      </c>
      <c r="C69" s="515"/>
      <c r="D69" s="2621"/>
      <c r="E69" s="2363"/>
      <c r="F69" s="2542" t="str">
        <f>INDEX(PT_DIFFERENTIATION_VTAR,MATCH(A69,PT_DIFFERENTIATION_VTAR_ID,0))</f>
        <v>Тариф на транспортировку горячей воды</v>
      </c>
      <c r="G69" s="2586" t="str">
        <f>INDEX(PT_DIFFERENTIATION_NTAR,MATCH(B69,PT_DIFFERENTIATION_NTAR_ID,0))</f>
        <v/>
      </c>
      <c r="H69" s="2005"/>
      <c r="I69" s="1884"/>
      <c r="J69" s="1918"/>
      <c r="K69" s="2008"/>
      <c r="L69" s="2005" t="s">
        <v>328</v>
      </c>
      <c r="M69" s="2329"/>
      <c r="N69" s="480"/>
      <c r="O69" s="1770"/>
      <c r="P69" s="1770"/>
      <c r="AH69" s="1777">
        <v>0</v>
      </c>
    </row>
    <row s="7235" customFormat="1" customHeight="1" ht="18.75" hidden="1">
      <c r="A70" s="1925"/>
      <c r="B70" s="1925"/>
      <c r="C70" s="515" t="s">
        <v>1494</v>
      </c>
      <c r="D70" s="2621"/>
      <c r="E70" s="2363"/>
      <c r="F70" s="2542"/>
      <c r="G70" s="2586"/>
      <c r="H70" s="1646"/>
      <c r="I70" s="797" t="s">
        <v>1495</v>
      </c>
      <c r="J70" s="717"/>
      <c r="K70" s="1646"/>
      <c r="L70" s="360"/>
      <c r="M70" s="2329"/>
      <c r="N70" s="480"/>
      <c r="O70" s="1770"/>
      <c r="P70" s="1770"/>
      <c r="AH70" s="1777">
        <v>0</v>
      </c>
    </row>
    <row s="7235" customFormat="1" customHeight="1" ht="0.75" hidden="1">
      <c r="A71" s="1925"/>
      <c r="B71" s="1925"/>
      <c r="C71" s="515" t="s">
        <v>1500</v>
      </c>
      <c r="D71" s="2621"/>
      <c r="E71" s="2363"/>
      <c r="F71" s="2542"/>
      <c r="G71" s="546"/>
      <c r="H71" s="1646"/>
      <c r="I71" s="797"/>
      <c r="J71" s="717"/>
      <c r="K71" s="1646"/>
      <c r="L71" s="360"/>
      <c r="M71" s="2329"/>
      <c r="N71" s="480"/>
      <c r="O71" s="1770"/>
      <c r="P71" s="1770"/>
      <c r="AH71" s="1777">
        <v>0</v>
      </c>
    </row>
    <row s="7235" customFormat="1" customHeight="1" ht="18.75" hidden="1">
      <c r="A72" s="1925" t="s">
        <v>282</v>
      </c>
      <c r="B72" s="1925" t="s">
        <v>283</v>
      </c>
      <c r="C72" s="515"/>
      <c r="D72" s="2621"/>
      <c r="E72" s="2363"/>
      <c r="F72" s="2542" t="str">
        <f>INDEX(PT_DIFFERENTIATION_VTAR,MATCH(A72,PT_DIFFERENTIATION_VTAR_ID,0))</f>
        <v>Тариф на подключение (технологическое присоединение) к централизованной системе горячего водоснабжения</v>
      </c>
      <c r="G72" s="2586" t="str">
        <f>INDEX(PT_DIFFERENTIATION_NTAR,MATCH(B72,PT_DIFFERENTIATION_NTAR_ID,0))</f>
        <v/>
      </c>
      <c r="H72" s="2005"/>
      <c r="I72" s="1884"/>
      <c r="J72" s="1918"/>
      <c r="K72" s="2008"/>
      <c r="L72" s="2005" t="s">
        <v>328</v>
      </c>
      <c r="M72" s="2329"/>
      <c r="N72" s="480"/>
      <c r="O72" s="1770"/>
      <c r="P72" s="1770"/>
      <c r="AH72" s="1777">
        <v>0</v>
      </c>
    </row>
    <row s="7235" customFormat="1" customHeight="1" ht="18.75" hidden="1">
      <c r="A73" s="1925"/>
      <c r="B73" s="1925"/>
      <c r="C73" s="515" t="s">
        <v>1494</v>
      </c>
      <c r="D73" s="2621"/>
      <c r="E73" s="2363"/>
      <c r="F73" s="2542"/>
      <c r="G73" s="2586"/>
      <c r="H73" s="1646"/>
      <c r="I73" s="797" t="s">
        <v>1495</v>
      </c>
      <c r="J73" s="717"/>
      <c r="K73" s="1646"/>
      <c r="L73" s="360"/>
      <c r="M73" s="2329"/>
      <c r="N73" s="480"/>
      <c r="O73" s="1770"/>
      <c r="P73" s="1770"/>
      <c r="AH73" s="1777">
        <v>0</v>
      </c>
    </row>
    <row s="7235" customFormat="1" customHeight="1" ht="0.75" hidden="1">
      <c r="A74" s="1925"/>
      <c r="B74" s="1925"/>
      <c r="C74" s="515" t="s">
        <v>1500</v>
      </c>
      <c r="D74" s="2621"/>
      <c r="E74" s="2363"/>
      <c r="F74" s="2542"/>
      <c r="G74" s="546"/>
      <c r="H74" s="1646"/>
      <c r="I74" s="797"/>
      <c r="J74" s="717"/>
      <c r="K74" s="1646"/>
      <c r="L74" s="360"/>
      <c r="M74" s="2329"/>
      <c r="N74" s="480"/>
      <c r="O74" s="1770"/>
      <c r="P74" s="1770"/>
      <c r="AH74" s="1777">
        <v>0</v>
      </c>
    </row>
    <row s="7235" customFormat="1" customHeight="1" ht="18.75" hidden="1">
      <c r="A75" s="1925" t="s">
        <v>287</v>
      </c>
      <c r="B75" s="1925" t="s">
        <v>288</v>
      </c>
      <c r="C75" s="515"/>
      <c r="D75" s="2621"/>
      <c r="E75" s="2363"/>
      <c r="F75" s="2542" t="str">
        <f>INDEX(PT_DIFFERENTIATION_VTAR,MATCH(A75,PT_DIFFERENTIATION_VTAR_ID,0))</f>
        <v>Тариф на водоотведение</v>
      </c>
      <c r="G75" s="2586" t="str">
        <f>INDEX(PT_DIFFERENTIATION_NTAR,MATCH(B75,PT_DIFFERENTIATION_NTAR_ID,0))</f>
        <v/>
      </c>
      <c r="H75" s="2005"/>
      <c r="I75" s="1884"/>
      <c r="J75" s="1918"/>
      <c r="K75" s="2008"/>
      <c r="L75" s="2005" t="s">
        <v>328</v>
      </c>
      <c r="M75" s="2329"/>
      <c r="N75" s="480"/>
      <c r="O75" s="1770"/>
      <c r="P75" s="1770"/>
      <c r="AH75" s="1777">
        <v>0</v>
      </c>
    </row>
    <row s="7235" customFormat="1" customHeight="1" ht="18.75" hidden="1">
      <c r="A76" s="1925"/>
      <c r="B76" s="1925"/>
      <c r="C76" s="515" t="s">
        <v>1494</v>
      </c>
      <c r="D76" s="2621"/>
      <c r="E76" s="2363"/>
      <c r="F76" s="2542"/>
      <c r="G76" s="2586"/>
      <c r="H76" s="1646"/>
      <c r="I76" s="797" t="s">
        <v>1495</v>
      </c>
      <c r="J76" s="717"/>
      <c r="K76" s="1646"/>
      <c r="L76" s="360"/>
      <c r="M76" s="2329"/>
      <c r="N76" s="480"/>
      <c r="O76" s="1770"/>
      <c r="P76" s="1770"/>
      <c r="AH76" s="1777">
        <v>0</v>
      </c>
    </row>
    <row s="7235" customFormat="1" customHeight="1" ht="0.75" hidden="1">
      <c r="A77" s="1925"/>
      <c r="B77" s="1925"/>
      <c r="C77" s="515" t="s">
        <v>1500</v>
      </c>
      <c r="D77" s="2621"/>
      <c r="E77" s="2363"/>
      <c r="F77" s="2542"/>
      <c r="G77" s="546"/>
      <c r="H77" s="1646"/>
      <c r="I77" s="797"/>
      <c r="J77" s="717"/>
      <c r="K77" s="1646"/>
      <c r="L77" s="360"/>
      <c r="M77" s="2329"/>
      <c r="N77" s="480"/>
      <c r="O77" s="1770"/>
      <c r="P77" s="1770"/>
      <c r="AH77" s="1777">
        <v>0</v>
      </c>
    </row>
    <row s="7235" customFormat="1" customHeight="1" ht="18.75" hidden="1">
      <c r="A78" s="1925" t="s">
        <v>292</v>
      </c>
      <c r="B78" s="1925" t="s">
        <v>293</v>
      </c>
      <c r="C78" s="515"/>
      <c r="D78" s="2621"/>
      <c r="E78" s="2363"/>
      <c r="F78" s="2542" t="str">
        <f>INDEX(PT_DIFFERENTIATION_VTAR,MATCH(A78,PT_DIFFERENTIATION_VTAR_ID,0))</f>
        <v>Тариф на транспортировку сточных вод</v>
      </c>
      <c r="G78" s="2586" t="str">
        <f>INDEX(PT_DIFFERENTIATION_NTAR,MATCH(B78,PT_DIFFERENTIATION_NTAR_ID,0))</f>
        <v/>
      </c>
      <c r="H78" s="2005"/>
      <c r="I78" s="1884"/>
      <c r="J78" s="1918"/>
      <c r="K78" s="2008"/>
      <c r="L78" s="2005" t="s">
        <v>328</v>
      </c>
      <c r="M78" s="2329"/>
      <c r="N78" s="480"/>
      <c r="O78" s="1770"/>
      <c r="P78" s="1770"/>
      <c r="AH78" s="1777">
        <v>0</v>
      </c>
    </row>
    <row s="7235" customFormat="1" customHeight="1" ht="18.75" hidden="1">
      <c r="A79" s="1925"/>
      <c r="B79" s="1925"/>
      <c r="C79" s="515" t="s">
        <v>1494</v>
      </c>
      <c r="D79" s="2621"/>
      <c r="E79" s="2363"/>
      <c r="F79" s="2542"/>
      <c r="G79" s="2586"/>
      <c r="H79" s="1646"/>
      <c r="I79" s="797" t="s">
        <v>1495</v>
      </c>
      <c r="J79" s="717"/>
      <c r="K79" s="1646"/>
      <c r="L79" s="360"/>
      <c r="M79" s="2329"/>
      <c r="N79" s="480"/>
      <c r="O79" s="1770"/>
      <c r="P79" s="1770"/>
      <c r="AH79" s="1777">
        <v>0</v>
      </c>
    </row>
    <row s="7235" customFormat="1" customHeight="1" ht="0.75" hidden="1">
      <c r="A80" s="1925"/>
      <c r="B80" s="1925"/>
      <c r="C80" s="515" t="s">
        <v>1500</v>
      </c>
      <c r="D80" s="2621"/>
      <c r="E80" s="2363"/>
      <c r="F80" s="2542"/>
      <c r="G80" s="546"/>
      <c r="H80" s="1646"/>
      <c r="I80" s="797"/>
      <c r="J80" s="717"/>
      <c r="K80" s="1646"/>
      <c r="L80" s="360"/>
      <c r="M80" s="2329"/>
      <c r="N80" s="480"/>
      <c r="O80" s="1770"/>
      <c r="P80" s="1770"/>
      <c r="AH80" s="1777">
        <v>0</v>
      </c>
    </row>
    <row s="7235" customFormat="1" customHeight="1" ht="18.75" hidden="1">
      <c r="A81" s="1925" t="s">
        <v>297</v>
      </c>
      <c r="B81" s="1925" t="s">
        <v>298</v>
      </c>
      <c r="C81" s="515"/>
      <c r="D81" s="2621"/>
      <c r="E81" s="2363"/>
      <c r="F81" s="2542" t="str">
        <f>INDEX(PT_DIFFERENTIATION_VTAR,MATCH(A81,PT_DIFFERENTIATION_VTAR_ID,0))</f>
        <v>Тариф на подключение (технологическое присоединение) к централизованной системе водоотведения</v>
      </c>
      <c r="G81" s="2586" t="str">
        <f>INDEX(PT_DIFFERENTIATION_NTAR,MATCH(B81,PT_DIFFERENTIATION_NTAR_ID,0))</f>
        <v/>
      </c>
      <c r="H81" s="2005"/>
      <c r="I81" s="1884"/>
      <c r="J81" s="1918"/>
      <c r="K81" s="2008"/>
      <c r="L81" s="2005" t="s">
        <v>328</v>
      </c>
      <c r="M81" s="2329"/>
      <c r="N81" s="480"/>
      <c r="O81" s="1770"/>
      <c r="P81" s="1770"/>
      <c r="AH81" s="1777">
        <v>0</v>
      </c>
    </row>
    <row s="7235" customFormat="1" customHeight="1" ht="18.75" hidden="1">
      <c r="A82" s="1925"/>
      <c r="B82" s="1925"/>
      <c r="C82" s="515" t="s">
        <v>1494</v>
      </c>
      <c r="D82" s="2621"/>
      <c r="E82" s="2363"/>
      <c r="F82" s="2542"/>
      <c r="G82" s="2586"/>
      <c r="H82" s="1646"/>
      <c r="I82" s="797" t="s">
        <v>1495</v>
      </c>
      <c r="J82" s="717"/>
      <c r="K82" s="1646"/>
      <c r="L82" s="360"/>
      <c r="M82" s="2329"/>
      <c r="N82" s="480"/>
      <c r="O82" s="1770"/>
      <c r="P82" s="1770"/>
      <c r="AH82" s="1777">
        <v>0</v>
      </c>
    </row>
    <row s="7235" customFormat="1" customHeight="1" ht="1.05">
      <c r="A83" s="1925"/>
      <c r="B83" s="1925"/>
      <c r="C83" s="515" t="s">
        <v>1500</v>
      </c>
      <c r="D83" s="2621"/>
      <c r="E83" s="2363"/>
      <c r="F83" s="2542"/>
      <c r="G83" s="546"/>
      <c r="H83" s="1646"/>
      <c r="I83" s="797"/>
      <c r="J83" s="717"/>
      <c r="K83" s="1646"/>
      <c r="L83" s="360"/>
      <c r="M83" s="2329"/>
      <c r="N83" s="480"/>
      <c r="O83" s="1770"/>
      <c r="P83" s="1770"/>
      <c r="AH83" s="1777">
        <v>1</v>
      </c>
    </row>
    <row customHeight="1" ht="19.95">
      <c r="A84" s="1925"/>
      <c r="B84" s="1925"/>
      <c r="D84" s="522"/>
      <c r="E84" s="293" t="s">
        <v>105</v>
      </c>
      <c r="F84" s="261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19"/>
      <c r="H84" s="2619"/>
      <c r="I84" s="2619"/>
      <c r="J84" s="2619"/>
      <c r="K84" s="2619"/>
      <c r="L84" s="2619"/>
      <c r="M84" s="443"/>
      <c r="N84" s="480"/>
      <c r="AH84" s="520">
        <v>19</v>
      </c>
    </row>
    <row customHeight="1" ht="35.699999999999996">
      <c r="A85" s="1925"/>
      <c r="B85" s="1925"/>
      <c r="D85" s="522"/>
      <c r="E85" s="545"/>
      <c r="F85" s="344" t="s">
        <v>328</v>
      </c>
      <c r="G85" s="344" t="s">
        <v>328</v>
      </c>
      <c r="H85" s="2377" t="s">
        <v>328</v>
      </c>
      <c r="I85" s="2379"/>
      <c r="J85" s="344" t="s">
        <v>328</v>
      </c>
      <c r="K85" s="344" t="s">
        <v>328</v>
      </c>
      <c r="L85" s="547"/>
      <c r="M85" s="491" t="s">
        <v>1501</v>
      </c>
      <c r="N85" s="480"/>
      <c r="AH85" s="520">
        <v>34</v>
      </c>
    </row>
    <row customHeight="1" ht="19.95">
      <c r="A86" s="1925"/>
      <c r="B86" s="1925"/>
      <c r="D86" s="522"/>
      <c r="E86" s="293" t="s">
        <v>91</v>
      </c>
      <c r="F86" s="2619" t="s">
        <v>1502</v>
      </c>
      <c r="G86" s="2619"/>
      <c r="H86" s="2619"/>
      <c r="I86" s="2619"/>
      <c r="J86" s="2619"/>
      <c r="K86" s="2619"/>
      <c r="L86" s="2619"/>
      <c r="M86" s="443"/>
      <c r="N86" s="480"/>
      <c r="AH86" s="520">
        <v>19</v>
      </c>
    </row>
    <row s="7235" customFormat="1" customHeight="1" ht="60.75" hidden="1">
      <c r="A87" s="1925" t="s">
        <v>179</v>
      </c>
      <c r="B87" s="1925" t="s">
        <v>180</v>
      </c>
      <c r="C87" s="515"/>
      <c r="D87" s="2621"/>
      <c r="E87" s="2363"/>
      <c r="F87" s="254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86" t="str">
        <f>INDEX(PT_DIFFERENTIATION_NTAR,MATCH(B87,PT_DIFFERENTIATION_NTAR_ID,0))</f>
        <v/>
      </c>
      <c r="H87" s="2005"/>
      <c r="I87" s="1884"/>
      <c r="J87" s="1918"/>
      <c r="K87" s="1923"/>
      <c r="L87" s="2005" t="s">
        <v>328</v>
      </c>
      <c r="M87" s="232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480"/>
      <c r="O87" s="1770"/>
      <c r="P87" s="1770"/>
      <c r="AH87" s="1777">
        <v>0</v>
      </c>
    </row>
    <row s="7235" customFormat="1" customHeight="1" ht="18.75" hidden="1">
      <c r="A88" s="1925"/>
      <c r="B88" s="1925"/>
      <c r="C88" s="515" t="s">
        <v>1496</v>
      </c>
      <c r="D88" s="2621"/>
      <c r="E88" s="2363"/>
      <c r="F88" s="2542"/>
      <c r="G88" s="2586"/>
      <c r="H88" s="1646"/>
      <c r="I88" s="797" t="s">
        <v>1495</v>
      </c>
      <c r="J88" s="717"/>
      <c r="K88" s="1646"/>
      <c r="L88" s="360"/>
      <c r="M88" s="2329"/>
      <c r="N88" s="480"/>
      <c r="O88" s="1770"/>
      <c r="P88" s="1770"/>
      <c r="AH88" s="1777">
        <v>0</v>
      </c>
    </row>
    <row s="7235" customFormat="1" customHeight="1" ht="0.75" hidden="1">
      <c r="A89" s="1925"/>
      <c r="B89" s="1925"/>
      <c r="C89" s="515" t="s">
        <v>1503</v>
      </c>
      <c r="D89" s="2621"/>
      <c r="E89" s="2363"/>
      <c r="F89" s="2542"/>
      <c r="G89" s="546"/>
      <c r="H89" s="1646"/>
      <c r="I89" s="797"/>
      <c r="J89" s="717"/>
      <c r="K89" s="1646"/>
      <c r="L89" s="360"/>
      <c r="M89" s="2329"/>
      <c r="N89" s="480"/>
      <c r="O89" s="1770"/>
      <c r="P89" s="1770"/>
      <c r="AH89" s="1777">
        <v>0</v>
      </c>
    </row>
    <row s="7235" customFormat="1" customHeight="1" ht="45" hidden="1">
      <c r="A90" s="1925" t="s">
        <v>184</v>
      </c>
      <c r="B90" s="1925" t="s">
        <v>185</v>
      </c>
      <c r="C90" s="515"/>
      <c r="D90" s="2621"/>
      <c r="E90" s="2363"/>
      <c r="F90" s="2542" t="str">
        <f>INDEX(PT_DIFFERENTIATION_VTAR,MATCH(A90,PT_DIFFERENTIATION_VTAR_ID,0))</f>
        <v/>
      </c>
      <c r="G90" s="2586" t="str">
        <f>INDEX(PT_DIFFERENTIATION_NTAR,MATCH(B90,PT_DIFFERENTIATION_NTAR_ID,0))</f>
        <v/>
      </c>
      <c r="H90" s="2005"/>
      <c r="I90" s="1884"/>
      <c r="J90" s="1918"/>
      <c r="K90" s="1923"/>
      <c r="L90" s="2005" t="s">
        <v>328</v>
      </c>
      <c r="M90" s="2330"/>
      <c r="N90" s="480"/>
      <c r="O90" s="1770"/>
      <c r="P90" s="1770"/>
      <c r="AH90" s="1777">
        <v>0</v>
      </c>
    </row>
    <row s="7235" customFormat="1" customHeight="1" ht="18.75" hidden="1">
      <c r="A91" s="1925"/>
      <c r="B91" s="1925"/>
      <c r="C91" s="515" t="s">
        <v>1496</v>
      </c>
      <c r="D91" s="2621"/>
      <c r="E91" s="2363"/>
      <c r="F91" s="2542"/>
      <c r="G91" s="2586"/>
      <c r="H91" s="1646"/>
      <c r="I91" s="797" t="s">
        <v>1495</v>
      </c>
      <c r="J91" s="717"/>
      <c r="K91" s="1646"/>
      <c r="L91" s="360"/>
      <c r="M91" s="2004"/>
      <c r="N91" s="480"/>
      <c r="O91" s="1770"/>
      <c r="P91" s="1770"/>
      <c r="AH91" s="1777">
        <v>0</v>
      </c>
    </row>
    <row s="7235" customFormat="1" customHeight="1" ht="0.75" hidden="1">
      <c r="A92" s="1925"/>
      <c r="B92" s="1925"/>
      <c r="C92" s="515" t="s">
        <v>1503</v>
      </c>
      <c r="D92" s="2621"/>
      <c r="E92" s="2363"/>
      <c r="F92" s="2542"/>
      <c r="G92" s="546"/>
      <c r="H92" s="1646"/>
      <c r="I92" s="797"/>
      <c r="J92" s="717"/>
      <c r="K92" s="1646"/>
      <c r="L92" s="360"/>
      <c r="M92" s="487"/>
      <c r="N92" s="480"/>
      <c r="O92" s="1770"/>
      <c r="P92" s="1770"/>
      <c r="AH92" s="1777">
        <v>0</v>
      </c>
    </row>
    <row s="7235" customFormat="1" customHeight="1" ht="45" hidden="1">
      <c r="A93" s="1925" t="s">
        <v>191</v>
      </c>
      <c r="B93" s="1925" t="s">
        <v>192</v>
      </c>
      <c r="C93" s="515"/>
      <c r="D93" s="2621"/>
      <c r="E93" s="2363"/>
      <c r="F93" s="254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86" t="str">
        <f>INDEX(PT_DIFFERENTIATION_NTAR,MATCH(B93,PT_DIFFERENTIATION_NTAR_ID,0))</f>
        <v/>
      </c>
      <c r="H93" s="2005"/>
      <c r="I93" s="1884"/>
      <c r="J93" s="1918"/>
      <c r="K93" s="1923"/>
      <c r="L93" s="2005" t="s">
        <v>328</v>
      </c>
      <c r="M93" s="487"/>
      <c r="N93" s="480"/>
      <c r="O93" s="1770"/>
      <c r="P93" s="1770"/>
      <c r="AH93" s="1777">
        <v>0</v>
      </c>
    </row>
    <row s="7235" customFormat="1" customHeight="1" ht="18.75" hidden="1">
      <c r="A94" s="1925"/>
      <c r="B94" s="1925"/>
      <c r="C94" s="515" t="s">
        <v>1496</v>
      </c>
      <c r="D94" s="2621"/>
      <c r="E94" s="2363"/>
      <c r="F94" s="2542"/>
      <c r="G94" s="2586"/>
      <c r="H94" s="1646"/>
      <c r="I94" s="797" t="s">
        <v>1495</v>
      </c>
      <c r="J94" s="717"/>
      <c r="K94" s="1646"/>
      <c r="L94" s="360"/>
      <c r="M94" s="487"/>
      <c r="N94" s="480"/>
      <c r="O94" s="1770"/>
      <c r="P94" s="1770"/>
      <c r="AH94" s="1777">
        <v>0</v>
      </c>
    </row>
    <row s="7235" customFormat="1" customHeight="1" ht="0.75" hidden="1">
      <c r="A95" s="1925"/>
      <c r="B95" s="1925"/>
      <c r="C95" s="515" t="s">
        <v>1503</v>
      </c>
      <c r="D95" s="2621"/>
      <c r="E95" s="2363"/>
      <c r="F95" s="2542"/>
      <c r="G95" s="546"/>
      <c r="H95" s="1646"/>
      <c r="I95" s="797"/>
      <c r="J95" s="717"/>
      <c r="K95" s="1646"/>
      <c r="L95" s="360"/>
      <c r="M95" s="487"/>
      <c r="N95" s="480"/>
      <c r="O95" s="1770"/>
      <c r="P95" s="1770"/>
      <c r="AH95" s="1777">
        <v>0</v>
      </c>
    </row>
    <row s="7235" customFormat="1" customHeight="1" ht="45" hidden="1">
      <c r="A96" s="1925" t="s">
        <v>197</v>
      </c>
      <c r="B96" s="1925" t="s">
        <v>198</v>
      </c>
      <c r="C96" s="515"/>
      <c r="D96" s="2621"/>
      <c r="E96" s="2363"/>
      <c r="F96" s="254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86" t="str">
        <f>INDEX(PT_DIFFERENTIATION_NTAR,MATCH(B96,PT_DIFFERENTIATION_NTAR_ID,0))</f>
        <v/>
      </c>
      <c r="H96" s="2005"/>
      <c r="I96" s="1884"/>
      <c r="J96" s="1918"/>
      <c r="K96" s="1923"/>
      <c r="L96" s="2005" t="s">
        <v>328</v>
      </c>
      <c r="M96" s="487"/>
      <c r="N96" s="480"/>
      <c r="O96" s="1770"/>
      <c r="P96" s="1770"/>
      <c r="AH96" s="1777">
        <v>0</v>
      </c>
    </row>
    <row s="7235" customFormat="1" customHeight="1" ht="18.75" hidden="1">
      <c r="A97" s="1925"/>
      <c r="B97" s="1925"/>
      <c r="C97" s="515" t="s">
        <v>1496</v>
      </c>
      <c r="D97" s="2621"/>
      <c r="E97" s="2363"/>
      <c r="F97" s="2542"/>
      <c r="G97" s="2586"/>
      <c r="H97" s="1646"/>
      <c r="I97" s="797" t="s">
        <v>1495</v>
      </c>
      <c r="J97" s="717"/>
      <c r="K97" s="1646"/>
      <c r="L97" s="360"/>
      <c r="M97" s="487"/>
      <c r="N97" s="480"/>
      <c r="O97" s="1770"/>
      <c r="P97" s="1770"/>
      <c r="AH97" s="1777">
        <v>0</v>
      </c>
    </row>
    <row s="7235" customFormat="1" customHeight="1" ht="0.75" hidden="1">
      <c r="A98" s="1925"/>
      <c r="B98" s="1925"/>
      <c r="C98" s="515" t="s">
        <v>1503</v>
      </c>
      <c r="D98" s="2621"/>
      <c r="E98" s="2363"/>
      <c r="F98" s="2542"/>
      <c r="G98" s="546"/>
      <c r="H98" s="1646"/>
      <c r="I98" s="797"/>
      <c r="J98" s="717"/>
      <c r="K98" s="1646"/>
      <c r="L98" s="360"/>
      <c r="M98" s="487"/>
      <c r="N98" s="480"/>
      <c r="O98" s="1770"/>
      <c r="P98" s="1770"/>
      <c r="AH98" s="1777">
        <v>0</v>
      </c>
    </row>
    <row s="7235" customFormat="1" customHeight="1" ht="18.75" hidden="1">
      <c r="A99" s="1925" t="s">
        <v>203</v>
      </c>
      <c r="B99" s="1925" t="s">
        <v>204</v>
      </c>
      <c r="C99" s="515"/>
      <c r="D99" s="2621"/>
      <c r="E99" s="2363"/>
      <c r="F99" s="2542" t="str">
        <f>INDEX(PT_DIFFERENTIATION_VTAR,MATCH(A99,PT_DIFFERENTIATION_VTAR_ID,0))</f>
        <v>Тарифы на услуги по передаче тепловой энергии</v>
      </c>
      <c r="G99" s="2586" t="str">
        <f>INDEX(PT_DIFFERENTIATION_NTAR,MATCH(B99,PT_DIFFERENTIATION_NTAR_ID,0))</f>
        <v/>
      </c>
      <c r="H99" s="2005"/>
      <c r="I99" s="1884"/>
      <c r="J99" s="1918"/>
      <c r="K99" s="1923"/>
      <c r="L99" s="2005" t="s">
        <v>328</v>
      </c>
      <c r="M99" s="487"/>
      <c r="N99" s="480"/>
      <c r="O99" s="1770"/>
      <c r="P99" s="1770"/>
      <c r="AH99" s="1777">
        <v>0</v>
      </c>
    </row>
    <row s="7235" customFormat="1" customHeight="1" ht="18.75" hidden="1">
      <c r="A100" s="1925"/>
      <c r="B100" s="1925"/>
      <c r="C100" s="515" t="s">
        <v>1496</v>
      </c>
      <c r="D100" s="2621"/>
      <c r="E100" s="2363"/>
      <c r="F100" s="2542"/>
      <c r="G100" s="2586"/>
      <c r="H100" s="1646"/>
      <c r="I100" s="797" t="s">
        <v>1495</v>
      </c>
      <c r="J100" s="717"/>
      <c r="K100" s="1646"/>
      <c r="L100" s="360"/>
      <c r="M100" s="487"/>
      <c r="N100" s="480"/>
      <c r="O100" s="1770"/>
      <c r="P100" s="1770"/>
      <c r="AH100" s="1777">
        <v>0</v>
      </c>
    </row>
    <row s="7235" customFormat="1" customHeight="1" ht="0.75" hidden="1">
      <c r="A101" s="1925"/>
      <c r="B101" s="1925"/>
      <c r="C101" s="515" t="s">
        <v>1503</v>
      </c>
      <c r="D101" s="2621"/>
      <c r="E101" s="2363"/>
      <c r="F101" s="2542"/>
      <c r="G101" s="546"/>
      <c r="H101" s="1646"/>
      <c r="I101" s="797"/>
      <c r="J101" s="717"/>
      <c r="K101" s="1646"/>
      <c r="L101" s="360"/>
      <c r="M101" s="487"/>
      <c r="N101" s="480"/>
      <c r="O101" s="1770"/>
      <c r="P101" s="1770"/>
      <c r="AH101" s="1777">
        <v>0</v>
      </c>
    </row>
    <row s="7235" customFormat="1" customHeight="1" ht="18.75" hidden="1">
      <c r="A102" s="1925" t="s">
        <v>209</v>
      </c>
      <c r="B102" s="1925" t="s">
        <v>210</v>
      </c>
      <c r="C102" s="515"/>
      <c r="D102" s="2621"/>
      <c r="E102" s="2363"/>
      <c r="F102" s="2542" t="str">
        <f>INDEX(PT_DIFFERENTIATION_VTAR,MATCH(A102,PT_DIFFERENTIATION_VTAR_ID,0))</f>
        <v>Тарифы на услуги по передаче теплоносителя</v>
      </c>
      <c r="G102" s="2586" t="str">
        <f>INDEX(PT_DIFFERENTIATION_NTAR,MATCH(B102,PT_DIFFERENTIATION_NTAR_ID,0))</f>
        <v/>
      </c>
      <c r="H102" s="2005"/>
      <c r="I102" s="1884"/>
      <c r="J102" s="1918"/>
      <c r="K102" s="1923"/>
      <c r="L102" s="2005" t="s">
        <v>328</v>
      </c>
      <c r="M102" s="487"/>
      <c r="N102" s="480"/>
      <c r="O102" s="1770"/>
      <c r="P102" s="1770"/>
      <c r="AH102" s="1777">
        <v>0</v>
      </c>
    </row>
    <row s="7235" customFormat="1" customHeight="1" ht="18.75" hidden="1">
      <c r="A103" s="1925"/>
      <c r="B103" s="1925"/>
      <c r="C103" s="515" t="s">
        <v>1496</v>
      </c>
      <c r="D103" s="2621"/>
      <c r="E103" s="2363"/>
      <c r="F103" s="2542"/>
      <c r="G103" s="2586"/>
      <c r="H103" s="1646"/>
      <c r="I103" s="797" t="s">
        <v>1495</v>
      </c>
      <c r="J103" s="717"/>
      <c r="K103" s="1646"/>
      <c r="L103" s="360"/>
      <c r="M103" s="487"/>
      <c r="N103" s="480"/>
      <c r="O103" s="1770"/>
      <c r="P103" s="1770"/>
      <c r="AH103" s="1777">
        <v>0</v>
      </c>
    </row>
    <row s="7235" customFormat="1" customHeight="1" ht="0.75" hidden="1">
      <c r="A104" s="1925"/>
      <c r="B104" s="1925"/>
      <c r="C104" s="515" t="s">
        <v>1503</v>
      </c>
      <c r="D104" s="2621"/>
      <c r="E104" s="2363"/>
      <c r="F104" s="2542"/>
      <c r="G104" s="546"/>
      <c r="H104" s="1646"/>
      <c r="I104" s="797"/>
      <c r="J104" s="717"/>
      <c r="K104" s="1646"/>
      <c r="L104" s="360"/>
      <c r="M104" s="487"/>
      <c r="N104" s="480"/>
      <c r="O104" s="1770"/>
      <c r="P104" s="1770"/>
      <c r="AH104" s="1777">
        <v>0</v>
      </c>
    </row>
    <row s="7235" customFormat="1" customHeight="1" ht="18.75" hidden="1">
      <c r="A105" s="1925" t="s">
        <v>215</v>
      </c>
      <c r="B105" s="1925" t="s">
        <v>216</v>
      </c>
      <c r="C105" s="515"/>
      <c r="D105" s="2621"/>
      <c r="E105" s="2363"/>
      <c r="F105" s="254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86" t="str">
        <f>INDEX(PT_DIFFERENTIATION_NTAR,MATCH(B105,PT_DIFFERENTIATION_NTAR_ID,0))</f>
        <v/>
      </c>
      <c r="H105" s="2005"/>
      <c r="I105" s="1884"/>
      <c r="J105" s="1918"/>
      <c r="K105" s="1923"/>
      <c r="L105" s="2005" t="s">
        <v>328</v>
      </c>
      <c r="M105" s="487"/>
      <c r="N105" s="480"/>
      <c r="O105" s="1770"/>
      <c r="P105" s="1770"/>
      <c r="AH105" s="1777">
        <v>0</v>
      </c>
    </row>
    <row s="7235" customFormat="1" customHeight="1" ht="18.75" hidden="1">
      <c r="A106" s="1925"/>
      <c r="B106" s="1925"/>
      <c r="C106" s="515" t="s">
        <v>1496</v>
      </c>
      <c r="D106" s="2621"/>
      <c r="E106" s="2363"/>
      <c r="F106" s="2542"/>
      <c r="G106" s="2586"/>
      <c r="H106" s="1646"/>
      <c r="I106" s="797" t="s">
        <v>1495</v>
      </c>
      <c r="J106" s="717"/>
      <c r="K106" s="1646"/>
      <c r="L106" s="360"/>
      <c r="M106" s="487"/>
      <c r="N106" s="480"/>
      <c r="O106" s="1770"/>
      <c r="P106" s="1770"/>
      <c r="AH106" s="1777">
        <v>0</v>
      </c>
    </row>
    <row s="7235" customFormat="1" customHeight="1" ht="0.75" hidden="1">
      <c r="A107" s="1925"/>
      <c r="B107" s="1925"/>
      <c r="C107" s="515" t="s">
        <v>1503</v>
      </c>
      <c r="D107" s="2621"/>
      <c r="E107" s="2363"/>
      <c r="F107" s="2542"/>
      <c r="G107" s="546"/>
      <c r="H107" s="1646"/>
      <c r="I107" s="797"/>
      <c r="J107" s="717"/>
      <c r="K107" s="1646"/>
      <c r="L107" s="360"/>
      <c r="M107" s="487"/>
      <c r="N107" s="480"/>
      <c r="O107" s="1770"/>
      <c r="P107" s="1770"/>
      <c r="AH107" s="1777">
        <v>0</v>
      </c>
    </row>
    <row s="7235" customFormat="1" customHeight="1" ht="18.75" hidden="1">
      <c r="A108" s="1925" t="s">
        <v>221</v>
      </c>
      <c r="B108" s="1925" t="s">
        <v>222</v>
      </c>
      <c r="C108" s="515"/>
      <c r="D108" s="2621"/>
      <c r="E108" s="2363"/>
      <c r="F108" s="2542" t="str">
        <f>INDEX(PT_DIFFERENTIATION_VTAR,MATCH(A108,PT_DIFFERENTIATION_VTAR_ID,0))</f>
        <v>Плата за подключение (технологическое присоединение) к системе теплоснабжения</v>
      </c>
      <c r="G108" s="2586" t="str">
        <f>INDEX(PT_DIFFERENTIATION_NTAR,MATCH(B108,PT_DIFFERENTIATION_NTAR_ID,0))</f>
        <v/>
      </c>
      <c r="H108" s="2005"/>
      <c r="I108" s="1884"/>
      <c r="J108" s="1918"/>
      <c r="K108" s="1923"/>
      <c r="L108" s="2005" t="s">
        <v>328</v>
      </c>
      <c r="M108" s="487"/>
      <c r="N108" s="480"/>
      <c r="O108" s="1770"/>
      <c r="P108" s="1770"/>
      <c r="AH108" s="1777">
        <v>0</v>
      </c>
    </row>
    <row s="7235" customFormat="1" customHeight="1" ht="18.75" hidden="1">
      <c r="A109" s="1925"/>
      <c r="B109" s="1925"/>
      <c r="C109" s="515" t="s">
        <v>1496</v>
      </c>
      <c r="D109" s="2621"/>
      <c r="E109" s="2363"/>
      <c r="F109" s="2542"/>
      <c r="G109" s="2586"/>
      <c r="H109" s="1646"/>
      <c r="I109" s="797" t="s">
        <v>1495</v>
      </c>
      <c r="J109" s="717"/>
      <c r="K109" s="1646"/>
      <c r="L109" s="360"/>
      <c r="M109" s="487"/>
      <c r="N109" s="480"/>
      <c r="O109" s="1770"/>
      <c r="P109" s="1770"/>
      <c r="AH109" s="1777">
        <v>0</v>
      </c>
    </row>
    <row s="7235" customFormat="1" customHeight="1" ht="0.75" hidden="1">
      <c r="A110" s="1925"/>
      <c r="B110" s="1925"/>
      <c r="C110" s="515" t="s">
        <v>1503</v>
      </c>
      <c r="D110" s="2621"/>
      <c r="E110" s="2363"/>
      <c r="F110" s="2542"/>
      <c r="G110" s="546"/>
      <c r="H110" s="1646"/>
      <c r="I110" s="797"/>
      <c r="J110" s="717"/>
      <c r="K110" s="1646"/>
      <c r="L110" s="360"/>
      <c r="M110" s="487"/>
      <c r="N110" s="480"/>
      <c r="O110" s="1770"/>
      <c r="P110" s="1770"/>
      <c r="AH110" s="1777">
        <v>0</v>
      </c>
    </row>
    <row s="7235" customFormat="1" customHeight="1" ht="18.75" hidden="1">
      <c r="A111" s="1925" t="s">
        <v>227</v>
      </c>
      <c r="B111" s="1925" t="s">
        <v>228</v>
      </c>
      <c r="C111" s="515"/>
      <c r="D111" s="2621"/>
      <c r="E111" s="2363"/>
      <c r="F111" s="2542" t="str">
        <f>INDEX(PT_DIFFERENTIATION_VTAR,MATCH(A111,PT_DIFFERENTIATION_VTAR_ID,0))</f>
        <v>Плата за подключение (технологическое присоединение) к системе теплоснабжения (индивидуальная)</v>
      </c>
      <c r="G111" s="2586" t="str">
        <f>INDEX(PT_DIFFERENTIATION_NTAR,MATCH(B111,PT_DIFFERENTIATION_NTAR_ID,0))</f>
        <v/>
      </c>
      <c r="H111" s="2132"/>
      <c r="I111" s="1884"/>
      <c r="J111" s="1918"/>
      <c r="K111" s="1923"/>
      <c r="L111" s="2132" t="s">
        <v>328</v>
      </c>
      <c r="M111" s="487"/>
      <c r="N111" s="480"/>
      <c r="O111" s="1770"/>
      <c r="P111" s="1770"/>
      <c r="AH111" s="1777">
        <v>0</v>
      </c>
    </row>
    <row s="7235" customFormat="1" customHeight="1" ht="18.75" hidden="1">
      <c r="A112" s="1925"/>
      <c r="B112" s="1925"/>
      <c r="C112" s="515" t="s">
        <v>1496</v>
      </c>
      <c r="D112" s="2621"/>
      <c r="E112" s="2363"/>
      <c r="F112" s="2542"/>
      <c r="G112" s="2586"/>
      <c r="H112" s="1646"/>
      <c r="I112" s="797" t="s">
        <v>1495</v>
      </c>
      <c r="J112" s="717"/>
      <c r="K112" s="1646"/>
      <c r="L112" s="360"/>
      <c r="M112" s="487"/>
      <c r="N112" s="480"/>
      <c r="O112" s="1770"/>
      <c r="P112" s="1770"/>
      <c r="AH112" s="1777">
        <v>0</v>
      </c>
    </row>
    <row s="7235" customFormat="1" customHeight="1" ht="0.75" hidden="1">
      <c r="A113" s="1925"/>
      <c r="B113" s="1925"/>
      <c r="C113" s="515" t="s">
        <v>1503</v>
      </c>
      <c r="D113" s="2621"/>
      <c r="E113" s="2363"/>
      <c r="F113" s="2542"/>
      <c r="G113" s="546"/>
      <c r="H113" s="1646"/>
      <c r="I113" s="797"/>
      <c r="J113" s="717"/>
      <c r="K113" s="1646"/>
      <c r="L113" s="360"/>
      <c r="M113" s="487"/>
      <c r="N113" s="480"/>
      <c r="O113" s="1770"/>
      <c r="P113" s="1770"/>
      <c r="AH113" s="1777">
        <v>0</v>
      </c>
    </row>
    <row s="7235" customFormat="1" customHeight="1" ht="18.75" hidden="1">
      <c r="A114" s="1925" t="s">
        <v>247</v>
      </c>
      <c r="B114" s="1925" t="s">
        <v>248</v>
      </c>
      <c r="C114" s="515"/>
      <c r="D114" s="2621"/>
      <c r="E114" s="2363"/>
      <c r="F114" s="2542" t="str">
        <f>INDEX(PT_DIFFERENTIATION_VTAR,MATCH(A114,PT_DIFFERENTIATION_VTAR_ID,0))</f>
        <v>Тариф на питьевую воду (питьевое водоснабжение)</v>
      </c>
      <c r="G114" s="2586" t="str">
        <f>INDEX(PT_DIFFERENTIATION_NTAR,MATCH(B114,PT_DIFFERENTIATION_NTAR_ID,0))</f>
        <v/>
      </c>
      <c r="H114" s="2005"/>
      <c r="I114" s="1884"/>
      <c r="J114" s="1918"/>
      <c r="K114" s="1923"/>
      <c r="L114" s="2005" t="s">
        <v>328</v>
      </c>
      <c r="M114" s="487"/>
      <c r="N114" s="480"/>
      <c r="O114" s="1770"/>
      <c r="P114" s="1770"/>
      <c r="AH114" s="1777">
        <v>0</v>
      </c>
    </row>
    <row s="7235" customFormat="1" customHeight="1" ht="18.75" hidden="1">
      <c r="A115" s="1925"/>
      <c r="B115" s="1925"/>
      <c r="C115" s="515" t="s">
        <v>1496</v>
      </c>
      <c r="D115" s="2621"/>
      <c r="E115" s="2363"/>
      <c r="F115" s="2542"/>
      <c r="G115" s="2586"/>
      <c r="H115" s="1646"/>
      <c r="I115" s="797" t="s">
        <v>1495</v>
      </c>
      <c r="J115" s="717"/>
      <c r="K115" s="1646"/>
      <c r="L115" s="360"/>
      <c r="M115" s="487"/>
      <c r="N115" s="480"/>
      <c r="O115" s="1770"/>
      <c r="P115" s="1770"/>
      <c r="AH115" s="1777">
        <v>0</v>
      </c>
    </row>
    <row s="7235" customFormat="1" customHeight="1" ht="0.75" hidden="1">
      <c r="A116" s="1925"/>
      <c r="B116" s="1925"/>
      <c r="C116" s="515" t="s">
        <v>1503</v>
      </c>
      <c r="D116" s="2621"/>
      <c r="E116" s="2363"/>
      <c r="F116" s="2542"/>
      <c r="G116" s="546"/>
      <c r="H116" s="1646"/>
      <c r="I116" s="797"/>
      <c r="J116" s="717"/>
      <c r="K116" s="1646"/>
      <c r="L116" s="360"/>
      <c r="M116" s="487"/>
      <c r="N116" s="480"/>
      <c r="O116" s="1770"/>
      <c r="P116" s="1770"/>
      <c r="AH116" s="1777">
        <v>0</v>
      </c>
    </row>
    <row s="7235" customFormat="1" customHeight="1" ht="18.75" hidden="1">
      <c r="A117" s="1925" t="s">
        <v>252</v>
      </c>
      <c r="B117" s="1925" t="s">
        <v>253</v>
      </c>
      <c r="C117" s="515"/>
      <c r="D117" s="2621"/>
      <c r="E117" s="2363"/>
      <c r="F117" s="2542" t="str">
        <f>INDEX(PT_DIFFERENTIATION_VTAR,MATCH(A117,PT_DIFFERENTIATION_VTAR_ID,0))</f>
        <v>Тариф на техническую воду</v>
      </c>
      <c r="G117" s="2586" t="str">
        <f>INDEX(PT_DIFFERENTIATION_NTAR,MATCH(B117,PT_DIFFERENTIATION_NTAR_ID,0))</f>
        <v/>
      </c>
      <c r="H117" s="2005"/>
      <c r="I117" s="1884"/>
      <c r="J117" s="1918"/>
      <c r="K117" s="1923"/>
      <c r="L117" s="2005" t="s">
        <v>328</v>
      </c>
      <c r="M117" s="487"/>
      <c r="N117" s="480"/>
      <c r="O117" s="1770"/>
      <c r="P117" s="1770"/>
      <c r="AH117" s="1777">
        <v>0</v>
      </c>
    </row>
    <row s="7235" customFormat="1" customHeight="1" ht="18.75" hidden="1">
      <c r="A118" s="1925"/>
      <c r="B118" s="1925"/>
      <c r="C118" s="515" t="s">
        <v>1496</v>
      </c>
      <c r="D118" s="2621"/>
      <c r="E118" s="2363"/>
      <c r="F118" s="2542"/>
      <c r="G118" s="2586"/>
      <c r="H118" s="1646"/>
      <c r="I118" s="797" t="s">
        <v>1495</v>
      </c>
      <c r="J118" s="717"/>
      <c r="K118" s="1646"/>
      <c r="L118" s="360"/>
      <c r="M118" s="487"/>
      <c r="N118" s="480"/>
      <c r="O118" s="1770"/>
      <c r="P118" s="1770"/>
      <c r="AH118" s="1777">
        <v>0</v>
      </c>
    </row>
    <row s="7235" customFormat="1" customHeight="1" ht="0.75" hidden="1">
      <c r="A119" s="1925"/>
      <c r="B119" s="1925"/>
      <c r="C119" s="515" t="s">
        <v>1503</v>
      </c>
      <c r="D119" s="2621"/>
      <c r="E119" s="2363"/>
      <c r="F119" s="2542"/>
      <c r="G119" s="546"/>
      <c r="H119" s="1646"/>
      <c r="I119" s="797"/>
      <c r="J119" s="717"/>
      <c r="K119" s="1646"/>
      <c r="L119" s="360"/>
      <c r="M119" s="487"/>
      <c r="N119" s="480"/>
      <c r="O119" s="1770"/>
      <c r="P119" s="1770"/>
      <c r="AH119" s="1777">
        <v>0</v>
      </c>
    </row>
    <row s="7235" customFormat="1" customHeight="1" ht="18.75" hidden="1">
      <c r="A120" s="1925" t="s">
        <v>257</v>
      </c>
      <c r="B120" s="1925" t="s">
        <v>258</v>
      </c>
      <c r="C120" s="515"/>
      <c r="D120" s="2621"/>
      <c r="E120" s="2363"/>
      <c r="F120" s="2542" t="str">
        <f>INDEX(PT_DIFFERENTIATION_VTAR,MATCH(A120,PT_DIFFERENTIATION_VTAR_ID,0))</f>
        <v>Тариф на транспортировку воды</v>
      </c>
      <c r="G120" s="2586" t="str">
        <f>INDEX(PT_DIFFERENTIATION_NTAR,MATCH(B120,PT_DIFFERENTIATION_NTAR_ID,0))</f>
        <v/>
      </c>
      <c r="H120" s="2005"/>
      <c r="I120" s="1884"/>
      <c r="J120" s="1918"/>
      <c r="K120" s="1923"/>
      <c r="L120" s="2005" t="s">
        <v>328</v>
      </c>
      <c r="M120" s="487"/>
      <c r="N120" s="480"/>
      <c r="O120" s="1770"/>
      <c r="P120" s="1770"/>
      <c r="AH120" s="1777">
        <v>0</v>
      </c>
    </row>
    <row s="7235" customFormat="1" customHeight="1" ht="18.75" hidden="1">
      <c r="A121" s="1925"/>
      <c r="B121" s="1925"/>
      <c r="C121" s="515" t="s">
        <v>1496</v>
      </c>
      <c r="D121" s="2621"/>
      <c r="E121" s="2363"/>
      <c r="F121" s="2542"/>
      <c r="G121" s="2586"/>
      <c r="H121" s="1646"/>
      <c r="I121" s="797" t="s">
        <v>1495</v>
      </c>
      <c r="J121" s="717"/>
      <c r="K121" s="1646"/>
      <c r="L121" s="360"/>
      <c r="M121" s="487"/>
      <c r="N121" s="480"/>
      <c r="O121" s="1770"/>
      <c r="P121" s="1770"/>
      <c r="AH121" s="1777">
        <v>0</v>
      </c>
    </row>
    <row s="7235" customFormat="1" customHeight="1" ht="0.75" hidden="1">
      <c r="A122" s="1925"/>
      <c r="B122" s="1925"/>
      <c r="C122" s="515" t="s">
        <v>1503</v>
      </c>
      <c r="D122" s="2621"/>
      <c r="E122" s="2363"/>
      <c r="F122" s="2542"/>
      <c r="G122" s="546"/>
      <c r="H122" s="1646"/>
      <c r="I122" s="797"/>
      <c r="J122" s="717"/>
      <c r="K122" s="1646"/>
      <c r="L122" s="360"/>
      <c r="M122" s="487"/>
      <c r="N122" s="480"/>
      <c r="O122" s="1770"/>
      <c r="P122" s="1770"/>
      <c r="AH122" s="1777">
        <v>0</v>
      </c>
    </row>
    <row s="7235" customFormat="1" customHeight="1" ht="18.75" hidden="1">
      <c r="A123" s="1925" t="s">
        <v>262</v>
      </c>
      <c r="B123" s="1925" t="s">
        <v>263</v>
      </c>
      <c r="C123" s="515"/>
      <c r="D123" s="2621"/>
      <c r="E123" s="2363"/>
      <c r="F123" s="2542" t="str">
        <f>INDEX(PT_DIFFERENTIATION_VTAR,MATCH(A123,PT_DIFFERENTIATION_VTAR_ID,0))</f>
        <v>Тариф на подвоз воды</v>
      </c>
      <c r="G123" s="2586" t="str">
        <f>INDEX(PT_DIFFERENTIATION_NTAR,MATCH(B123,PT_DIFFERENTIATION_NTAR_ID,0))</f>
        <v/>
      </c>
      <c r="H123" s="2005"/>
      <c r="I123" s="1884"/>
      <c r="J123" s="1918"/>
      <c r="K123" s="1923"/>
      <c r="L123" s="2005" t="s">
        <v>328</v>
      </c>
      <c r="M123" s="487"/>
      <c r="N123" s="480"/>
      <c r="O123" s="1770"/>
      <c r="P123" s="1770"/>
      <c r="AH123" s="1777">
        <v>0</v>
      </c>
    </row>
    <row s="7235" customFormat="1" customHeight="1" ht="18.75" hidden="1">
      <c r="A124" s="1925"/>
      <c r="B124" s="1925"/>
      <c r="C124" s="515" t="s">
        <v>1496</v>
      </c>
      <c r="D124" s="2621"/>
      <c r="E124" s="2363"/>
      <c r="F124" s="2542"/>
      <c r="G124" s="2586"/>
      <c r="H124" s="1646"/>
      <c r="I124" s="797" t="s">
        <v>1495</v>
      </c>
      <c r="J124" s="717"/>
      <c r="K124" s="1646"/>
      <c r="L124" s="360"/>
      <c r="M124" s="487"/>
      <c r="N124" s="480"/>
      <c r="O124" s="1770"/>
      <c r="P124" s="1770"/>
      <c r="AH124" s="1777">
        <v>0</v>
      </c>
    </row>
    <row s="7235" customFormat="1" customHeight="1" ht="0.75" hidden="1">
      <c r="A125" s="1925"/>
      <c r="B125" s="1925"/>
      <c r="C125" s="515" t="s">
        <v>1503</v>
      </c>
      <c r="D125" s="2621"/>
      <c r="E125" s="2363"/>
      <c r="F125" s="2542"/>
      <c r="G125" s="546"/>
      <c r="H125" s="1646"/>
      <c r="I125" s="797"/>
      <c r="J125" s="717"/>
      <c r="K125" s="1646"/>
      <c r="L125" s="360"/>
      <c r="M125" s="487"/>
      <c r="N125" s="480"/>
      <c r="O125" s="1770"/>
      <c r="P125" s="1770"/>
      <c r="AH125" s="1777">
        <v>0</v>
      </c>
    </row>
    <row s="7235" customFormat="1" customHeight="1" ht="18.75" hidden="1">
      <c r="A126" s="1925" t="s">
        <v>267</v>
      </c>
      <c r="B126" s="1925" t="s">
        <v>268</v>
      </c>
      <c r="C126" s="515"/>
      <c r="D126" s="2621"/>
      <c r="E126" s="2363"/>
      <c r="F126" s="254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86" t="str">
        <f>INDEX(PT_DIFFERENTIATION_NTAR,MATCH(B126,PT_DIFFERENTIATION_NTAR_ID,0))</f>
        <v/>
      </c>
      <c r="H126" s="2005"/>
      <c r="I126" s="1884"/>
      <c r="J126" s="1918"/>
      <c r="K126" s="1923"/>
      <c r="L126" s="2005" t="s">
        <v>328</v>
      </c>
      <c r="M126" s="487"/>
      <c r="N126" s="480"/>
      <c r="O126" s="1770"/>
      <c r="P126" s="1770"/>
      <c r="AH126" s="1777">
        <v>0</v>
      </c>
    </row>
    <row s="7235" customFormat="1" customHeight="1" ht="18.75" hidden="1">
      <c r="A127" s="1925"/>
      <c r="B127" s="1925"/>
      <c r="C127" s="515" t="s">
        <v>1496</v>
      </c>
      <c r="D127" s="2621"/>
      <c r="E127" s="2363"/>
      <c r="F127" s="2542"/>
      <c r="G127" s="2586"/>
      <c r="H127" s="1646"/>
      <c r="I127" s="797" t="s">
        <v>1495</v>
      </c>
      <c r="J127" s="717"/>
      <c r="K127" s="1646"/>
      <c r="L127" s="360"/>
      <c r="M127" s="487"/>
      <c r="N127" s="480"/>
      <c r="O127" s="1770"/>
      <c r="P127" s="1770"/>
      <c r="AH127" s="1777">
        <v>0</v>
      </c>
    </row>
    <row s="7235" customFormat="1" customHeight="1" ht="0.75" hidden="1">
      <c r="A128" s="1925"/>
      <c r="B128" s="1925"/>
      <c r="C128" s="515" t="s">
        <v>1503</v>
      </c>
      <c r="D128" s="2621"/>
      <c r="E128" s="2363"/>
      <c r="F128" s="2542"/>
      <c r="G128" s="546"/>
      <c r="H128" s="1646"/>
      <c r="I128" s="797"/>
      <c r="J128" s="717"/>
      <c r="K128" s="1646"/>
      <c r="L128" s="360"/>
      <c r="M128" s="487"/>
      <c r="N128" s="480"/>
      <c r="O128" s="1770"/>
      <c r="P128" s="1770"/>
      <c r="AH128" s="1777">
        <v>0</v>
      </c>
    </row>
    <row s="7235" customFormat="1" customHeight="1" ht="18.75" hidden="1">
      <c r="A129" s="1925" t="s">
        <v>272</v>
      </c>
      <c r="B129" s="1925" t="s">
        <v>273</v>
      </c>
      <c r="C129" s="515"/>
      <c r="D129" s="2621"/>
      <c r="E129" s="2363"/>
      <c r="F129" s="2542" t="str">
        <f>INDEX(PT_DIFFERENTIATION_VTAR,MATCH(A129,PT_DIFFERENTIATION_VTAR_ID,0))</f>
        <v>Тариф на горячую воду (горячее водоснабжение)</v>
      </c>
      <c r="G129" s="2586" t="str">
        <f>INDEX(PT_DIFFERENTIATION_NTAR,MATCH(B129,PT_DIFFERENTIATION_NTAR_ID,0))</f>
        <v/>
      </c>
      <c r="H129" s="2005"/>
      <c r="I129" s="1884"/>
      <c r="J129" s="1918"/>
      <c r="K129" s="1923"/>
      <c r="L129" s="2005" t="s">
        <v>328</v>
      </c>
      <c r="M129" s="487"/>
      <c r="N129" s="480"/>
      <c r="O129" s="1770"/>
      <c r="P129" s="1770"/>
      <c r="AH129" s="1777">
        <v>0</v>
      </c>
    </row>
    <row s="7235" customFormat="1" customHeight="1" ht="18.75" hidden="1">
      <c r="A130" s="1925"/>
      <c r="B130" s="1925"/>
      <c r="C130" s="515" t="s">
        <v>1496</v>
      </c>
      <c r="D130" s="2621"/>
      <c r="E130" s="2363"/>
      <c r="F130" s="2542"/>
      <c r="G130" s="2586"/>
      <c r="H130" s="1646"/>
      <c r="I130" s="797" t="s">
        <v>1495</v>
      </c>
      <c r="J130" s="717"/>
      <c r="K130" s="1646"/>
      <c r="L130" s="360"/>
      <c r="M130" s="487"/>
      <c r="N130" s="480"/>
      <c r="O130" s="1770"/>
      <c r="P130" s="1770"/>
      <c r="AH130" s="1777">
        <v>0</v>
      </c>
    </row>
    <row s="7235" customFormat="1" customHeight="1" ht="0.75" hidden="1">
      <c r="A131" s="1925"/>
      <c r="B131" s="1925"/>
      <c r="C131" s="515" t="s">
        <v>1503</v>
      </c>
      <c r="D131" s="2621"/>
      <c r="E131" s="2363"/>
      <c r="F131" s="2542"/>
      <c r="G131" s="546"/>
      <c r="H131" s="1646"/>
      <c r="I131" s="797"/>
      <c r="J131" s="717"/>
      <c r="K131" s="1646"/>
      <c r="L131" s="360"/>
      <c r="M131" s="487"/>
      <c r="N131" s="480"/>
      <c r="O131" s="1770"/>
      <c r="P131" s="1770"/>
      <c r="AH131" s="1777">
        <v>0</v>
      </c>
    </row>
    <row s="7235" customFormat="1" customHeight="1" ht="18.75" hidden="1">
      <c r="A132" s="1925" t="s">
        <v>277</v>
      </c>
      <c r="B132" s="1925" t="s">
        <v>278</v>
      </c>
      <c r="C132" s="515"/>
      <c r="D132" s="2621"/>
      <c r="E132" s="2363"/>
      <c r="F132" s="2542" t="str">
        <f>INDEX(PT_DIFFERENTIATION_VTAR,MATCH(A132,PT_DIFFERENTIATION_VTAR_ID,0))</f>
        <v>Тариф на транспортировку горячей воды</v>
      </c>
      <c r="G132" s="2586" t="str">
        <f>INDEX(PT_DIFFERENTIATION_NTAR,MATCH(B132,PT_DIFFERENTIATION_NTAR_ID,0))</f>
        <v/>
      </c>
      <c r="H132" s="2005"/>
      <c r="I132" s="1884"/>
      <c r="J132" s="1918"/>
      <c r="K132" s="1923"/>
      <c r="L132" s="2005" t="s">
        <v>328</v>
      </c>
      <c r="M132" s="487"/>
      <c r="N132" s="480"/>
      <c r="O132" s="1770"/>
      <c r="P132" s="1770"/>
      <c r="AH132" s="1777">
        <v>0</v>
      </c>
    </row>
    <row s="7235" customFormat="1" customHeight="1" ht="18.75" hidden="1">
      <c r="A133" s="1925"/>
      <c r="B133" s="1925"/>
      <c r="C133" s="515" t="s">
        <v>1496</v>
      </c>
      <c r="D133" s="2621"/>
      <c r="E133" s="2363"/>
      <c r="F133" s="2542"/>
      <c r="G133" s="2586"/>
      <c r="H133" s="1646"/>
      <c r="I133" s="797" t="s">
        <v>1495</v>
      </c>
      <c r="J133" s="717"/>
      <c r="K133" s="1646"/>
      <c r="L133" s="360"/>
      <c r="M133" s="487"/>
      <c r="N133" s="480"/>
      <c r="O133" s="1770"/>
      <c r="P133" s="1770"/>
      <c r="AH133" s="1777">
        <v>0</v>
      </c>
    </row>
    <row s="7235" customFormat="1" customHeight="1" ht="0.75" hidden="1">
      <c r="A134" s="1925"/>
      <c r="B134" s="1925"/>
      <c r="C134" s="515" t="s">
        <v>1503</v>
      </c>
      <c r="D134" s="2621"/>
      <c r="E134" s="2363"/>
      <c r="F134" s="2542"/>
      <c r="G134" s="546"/>
      <c r="H134" s="1646"/>
      <c r="I134" s="797"/>
      <c r="J134" s="717"/>
      <c r="K134" s="1646"/>
      <c r="L134" s="360"/>
      <c r="M134" s="487"/>
      <c r="N134" s="480"/>
      <c r="O134" s="1770"/>
      <c r="P134" s="1770"/>
      <c r="AH134" s="1777">
        <v>0</v>
      </c>
    </row>
    <row s="7235" customFormat="1" customHeight="1" ht="18.75" hidden="1">
      <c r="A135" s="1925" t="s">
        <v>282</v>
      </c>
      <c r="B135" s="1925" t="s">
        <v>283</v>
      </c>
      <c r="C135" s="515"/>
      <c r="D135" s="2621"/>
      <c r="E135" s="2363"/>
      <c r="F135" s="254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86" t="str">
        <f>INDEX(PT_DIFFERENTIATION_NTAR,MATCH(B135,PT_DIFFERENTIATION_NTAR_ID,0))</f>
        <v/>
      </c>
      <c r="H135" s="2005"/>
      <c r="I135" s="1884"/>
      <c r="J135" s="1918"/>
      <c r="K135" s="1923"/>
      <c r="L135" s="2005" t="s">
        <v>328</v>
      </c>
      <c r="M135" s="487"/>
      <c r="N135" s="480"/>
      <c r="O135" s="1770"/>
      <c r="P135" s="1770"/>
      <c r="AH135" s="1777">
        <v>0</v>
      </c>
    </row>
    <row s="7235" customFormat="1" customHeight="1" ht="18.75" hidden="1">
      <c r="A136" s="1925"/>
      <c r="B136" s="1925"/>
      <c r="C136" s="515" t="s">
        <v>1496</v>
      </c>
      <c r="D136" s="2621"/>
      <c r="E136" s="2363"/>
      <c r="F136" s="2542"/>
      <c r="G136" s="2586"/>
      <c r="H136" s="1646"/>
      <c r="I136" s="797" t="s">
        <v>1495</v>
      </c>
      <c r="J136" s="717"/>
      <c r="K136" s="1646"/>
      <c r="L136" s="360"/>
      <c r="M136" s="487"/>
      <c r="N136" s="480"/>
      <c r="O136" s="1770"/>
      <c r="P136" s="1770"/>
      <c r="AH136" s="1777">
        <v>0</v>
      </c>
    </row>
    <row s="7235" customFormat="1" customHeight="1" ht="0.75" hidden="1">
      <c r="A137" s="1925"/>
      <c r="B137" s="1925"/>
      <c r="C137" s="515" t="s">
        <v>1503</v>
      </c>
      <c r="D137" s="2621"/>
      <c r="E137" s="2363"/>
      <c r="F137" s="2542"/>
      <c r="G137" s="546"/>
      <c r="H137" s="1646"/>
      <c r="I137" s="797"/>
      <c r="J137" s="717"/>
      <c r="K137" s="1646"/>
      <c r="L137" s="360"/>
      <c r="M137" s="487"/>
      <c r="N137" s="480"/>
      <c r="O137" s="1770"/>
      <c r="P137" s="1770"/>
      <c r="AH137" s="1777">
        <v>0</v>
      </c>
    </row>
    <row s="7235" customFormat="1" customHeight="1" ht="18.75" hidden="1">
      <c r="A138" s="1925" t="s">
        <v>287</v>
      </c>
      <c r="B138" s="1925" t="s">
        <v>288</v>
      </c>
      <c r="C138" s="515"/>
      <c r="D138" s="2621"/>
      <c r="E138" s="2363"/>
      <c r="F138" s="2542" t="str">
        <f>INDEX(PT_DIFFERENTIATION_VTAR,MATCH(A138,PT_DIFFERENTIATION_VTAR_ID,0))</f>
        <v>Тариф на водоотведение</v>
      </c>
      <c r="G138" s="2586" t="str">
        <f>INDEX(PT_DIFFERENTIATION_NTAR,MATCH(B138,PT_DIFFERENTIATION_NTAR_ID,0))</f>
        <v/>
      </c>
      <c r="H138" s="2005"/>
      <c r="I138" s="1884"/>
      <c r="J138" s="1918"/>
      <c r="K138" s="1923"/>
      <c r="L138" s="2005" t="s">
        <v>328</v>
      </c>
      <c r="M138" s="487"/>
      <c r="N138" s="480"/>
      <c r="O138" s="1770"/>
      <c r="P138" s="1770"/>
      <c r="AH138" s="1777">
        <v>0</v>
      </c>
    </row>
    <row s="7235" customFormat="1" customHeight="1" ht="18.75" hidden="1">
      <c r="A139" s="1925"/>
      <c r="B139" s="1925"/>
      <c r="C139" s="515" t="s">
        <v>1496</v>
      </c>
      <c r="D139" s="2621"/>
      <c r="E139" s="2363"/>
      <c r="F139" s="2542"/>
      <c r="G139" s="2586"/>
      <c r="H139" s="1646"/>
      <c r="I139" s="797" t="s">
        <v>1495</v>
      </c>
      <c r="J139" s="717"/>
      <c r="K139" s="1646"/>
      <c r="L139" s="360"/>
      <c r="M139" s="487"/>
      <c r="N139" s="480"/>
      <c r="O139" s="1770"/>
      <c r="P139" s="1770"/>
      <c r="AH139" s="1777">
        <v>0</v>
      </c>
    </row>
    <row s="7235" customFormat="1" customHeight="1" ht="0.75" hidden="1">
      <c r="A140" s="1925"/>
      <c r="B140" s="1925"/>
      <c r="C140" s="515" t="s">
        <v>1503</v>
      </c>
      <c r="D140" s="2621"/>
      <c r="E140" s="2363"/>
      <c r="F140" s="2542"/>
      <c r="G140" s="546"/>
      <c r="H140" s="1646"/>
      <c r="I140" s="797"/>
      <c r="J140" s="717"/>
      <c r="K140" s="1646"/>
      <c r="L140" s="360"/>
      <c r="M140" s="487"/>
      <c r="N140" s="480"/>
      <c r="O140" s="1770"/>
      <c r="P140" s="1770"/>
      <c r="AH140" s="1777">
        <v>0</v>
      </c>
    </row>
    <row s="7235" customFormat="1" customHeight="1" ht="18.75" hidden="1">
      <c r="A141" s="1925" t="s">
        <v>292</v>
      </c>
      <c r="B141" s="1925" t="s">
        <v>293</v>
      </c>
      <c r="C141" s="515"/>
      <c r="D141" s="2621"/>
      <c r="E141" s="2363"/>
      <c r="F141" s="2542" t="str">
        <f>INDEX(PT_DIFFERENTIATION_VTAR,MATCH(A141,PT_DIFFERENTIATION_VTAR_ID,0))</f>
        <v>Тариф на транспортировку сточных вод</v>
      </c>
      <c r="G141" s="2586" t="str">
        <f>INDEX(PT_DIFFERENTIATION_NTAR,MATCH(B141,PT_DIFFERENTIATION_NTAR_ID,0))</f>
        <v/>
      </c>
      <c r="H141" s="2005"/>
      <c r="I141" s="1884"/>
      <c r="J141" s="1918"/>
      <c r="K141" s="1923"/>
      <c r="L141" s="2005" t="s">
        <v>328</v>
      </c>
      <c r="M141" s="487"/>
      <c r="N141" s="480"/>
      <c r="O141" s="1770"/>
      <c r="P141" s="1770"/>
      <c r="AH141" s="1777">
        <v>0</v>
      </c>
    </row>
    <row s="7235" customFormat="1" customHeight="1" ht="18.75" hidden="1">
      <c r="A142" s="1925"/>
      <c r="B142" s="1925"/>
      <c r="C142" s="515" t="s">
        <v>1496</v>
      </c>
      <c r="D142" s="2621"/>
      <c r="E142" s="2363"/>
      <c r="F142" s="2542"/>
      <c r="G142" s="2586"/>
      <c r="H142" s="1646"/>
      <c r="I142" s="797" t="s">
        <v>1495</v>
      </c>
      <c r="J142" s="717"/>
      <c r="K142" s="1646"/>
      <c r="L142" s="360"/>
      <c r="M142" s="487"/>
      <c r="N142" s="480"/>
      <c r="O142" s="1770"/>
      <c r="P142" s="1770"/>
      <c r="AH142" s="1777">
        <v>0</v>
      </c>
    </row>
    <row s="7235" customFormat="1" customHeight="1" ht="0.75" hidden="1">
      <c r="A143" s="1925"/>
      <c r="B143" s="1925"/>
      <c r="C143" s="515" t="s">
        <v>1503</v>
      </c>
      <c r="D143" s="2621"/>
      <c r="E143" s="2363"/>
      <c r="F143" s="2542"/>
      <c r="G143" s="546"/>
      <c r="H143" s="1646"/>
      <c r="I143" s="797"/>
      <c r="J143" s="717"/>
      <c r="K143" s="1646"/>
      <c r="L143" s="360"/>
      <c r="M143" s="487"/>
      <c r="N143" s="480"/>
      <c r="O143" s="1770"/>
      <c r="P143" s="1770"/>
      <c r="AH143" s="1777">
        <v>0</v>
      </c>
    </row>
    <row s="7235" customFormat="1" customHeight="1" ht="18.75" hidden="1">
      <c r="A144" s="1925" t="s">
        <v>297</v>
      </c>
      <c r="B144" s="1925" t="s">
        <v>298</v>
      </c>
      <c r="C144" s="515"/>
      <c r="D144" s="2621"/>
      <c r="E144" s="2363"/>
      <c r="F144" s="2542" t="str">
        <f>INDEX(PT_DIFFERENTIATION_VTAR,MATCH(A144,PT_DIFFERENTIATION_VTAR_ID,0))</f>
        <v>Тариф на подключение (технологическое присоединение) к централизованной системе водоотведения</v>
      </c>
      <c r="G144" s="2586" t="str">
        <f>INDEX(PT_DIFFERENTIATION_NTAR,MATCH(B144,PT_DIFFERENTIATION_NTAR_ID,0))</f>
        <v/>
      </c>
      <c r="H144" s="2005"/>
      <c r="I144" s="1884"/>
      <c r="J144" s="1918"/>
      <c r="K144" s="1923"/>
      <c r="L144" s="2005" t="s">
        <v>328</v>
      </c>
      <c r="M144" s="487"/>
      <c r="N144" s="480"/>
      <c r="O144" s="1770"/>
      <c r="P144" s="1770"/>
      <c r="AH144" s="1777">
        <v>0</v>
      </c>
    </row>
    <row s="7235" customFormat="1" customHeight="1" ht="18.75" hidden="1">
      <c r="A145" s="1925"/>
      <c r="B145" s="1925"/>
      <c r="C145" s="515" t="s">
        <v>1496</v>
      </c>
      <c r="D145" s="2621"/>
      <c r="E145" s="2363"/>
      <c r="F145" s="2542"/>
      <c r="G145" s="2586"/>
      <c r="H145" s="1646"/>
      <c r="I145" s="797" t="s">
        <v>1495</v>
      </c>
      <c r="J145" s="717"/>
      <c r="K145" s="1646"/>
      <c r="L145" s="360"/>
      <c r="M145" s="487"/>
      <c r="N145" s="480"/>
      <c r="O145" s="1770"/>
      <c r="P145" s="1770"/>
      <c r="AH145" s="1777">
        <v>0</v>
      </c>
    </row>
    <row s="7235" customFormat="1" customHeight="1" ht="1.05">
      <c r="A146" s="1925"/>
      <c r="B146" s="1925"/>
      <c r="C146" s="515" t="s">
        <v>1503</v>
      </c>
      <c r="D146" s="2621"/>
      <c r="E146" s="2363"/>
      <c r="F146" s="2542"/>
      <c r="G146" s="546"/>
      <c r="H146" s="1646"/>
      <c r="I146" s="797"/>
      <c r="J146" s="717"/>
      <c r="K146" s="1646"/>
      <c r="L146" s="360"/>
      <c r="M146" s="487"/>
      <c r="N146" s="480"/>
      <c r="O146" s="1770"/>
      <c r="P146" s="1770"/>
      <c r="AH146" s="1777">
        <v>1</v>
      </c>
    </row>
    <row customHeight="1" ht="19.95">
      <c r="A147" s="1925"/>
      <c r="B147" s="1925"/>
      <c r="D147" s="522"/>
      <c r="E147" s="293" t="s">
        <v>92</v>
      </c>
      <c r="F147" s="261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19"/>
      <c r="H147" s="2619"/>
      <c r="I147" s="2619"/>
      <c r="J147" s="2619"/>
      <c r="K147" s="2619"/>
      <c r="L147" s="2619"/>
      <c r="M147" s="443"/>
      <c r="N147" s="480"/>
      <c r="AH147" s="520">
        <v>19</v>
      </c>
    </row>
    <row s="7235" customFormat="1" customHeight="1" ht="60.75" hidden="1">
      <c r="A148" s="1925" t="s">
        <v>179</v>
      </c>
      <c r="B148" s="1925" t="s">
        <v>180</v>
      </c>
      <c r="C148" s="515"/>
      <c r="D148" s="2621"/>
      <c r="E148" s="2363"/>
      <c r="F148" s="254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86" t="str">
        <f>INDEX(PT_DIFFERENTIATION_NTAR,MATCH(B148,PT_DIFFERENTIATION_NTAR_ID,0))</f>
        <v/>
      </c>
      <c r="H148" s="2005"/>
      <c r="I148" s="1884"/>
      <c r="J148" s="1918"/>
      <c r="K148" s="1923"/>
      <c r="L148" s="2005" t="s">
        <v>328</v>
      </c>
      <c r="M148" s="232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480"/>
      <c r="O148" s="1770"/>
      <c r="P148" s="1770"/>
      <c r="AH148" s="1777">
        <v>0</v>
      </c>
    </row>
    <row s="7235" customFormat="1" customHeight="1" ht="18.75" hidden="1">
      <c r="A149" s="1925"/>
      <c r="B149" s="1925"/>
      <c r="C149" s="515" t="s">
        <v>1496</v>
      </c>
      <c r="D149" s="2621"/>
      <c r="E149" s="2363"/>
      <c r="F149" s="2542"/>
      <c r="G149" s="2586"/>
      <c r="H149" s="1646"/>
      <c r="I149" s="797" t="s">
        <v>1495</v>
      </c>
      <c r="J149" s="717"/>
      <c r="K149" s="1646"/>
      <c r="L149" s="360"/>
      <c r="M149" s="2329"/>
      <c r="N149" s="480"/>
      <c r="O149" s="1770"/>
      <c r="P149" s="1770"/>
      <c r="AH149" s="1777">
        <v>0</v>
      </c>
    </row>
    <row s="7235" customFormat="1" customHeight="1" ht="0.75" hidden="1">
      <c r="A150" s="1925"/>
      <c r="B150" s="1925"/>
      <c r="C150" s="515" t="s">
        <v>1503</v>
      </c>
      <c r="D150" s="2621"/>
      <c r="E150" s="2363"/>
      <c r="F150" s="2542"/>
      <c r="G150" s="546"/>
      <c r="H150" s="1646"/>
      <c r="I150" s="797"/>
      <c r="J150" s="717"/>
      <c r="K150" s="1646"/>
      <c r="L150" s="360"/>
      <c r="M150" s="2329"/>
      <c r="N150" s="480"/>
      <c r="O150" s="1770"/>
      <c r="P150" s="1770"/>
      <c r="AH150" s="1777">
        <v>0</v>
      </c>
    </row>
    <row s="7235" customFormat="1" customHeight="1" ht="45" hidden="1">
      <c r="A151" s="1925" t="s">
        <v>184</v>
      </c>
      <c r="B151" s="1925" t="s">
        <v>185</v>
      </c>
      <c r="C151" s="515"/>
      <c r="D151" s="2621"/>
      <c r="E151" s="2363"/>
      <c r="F151" s="2542" t="str">
        <f>INDEX(PT_DIFFERENTIATION_VTAR,MATCH(A151,PT_DIFFERENTIATION_VTAR_ID,0))</f>
        <v/>
      </c>
      <c r="G151" s="2586" t="str">
        <f>INDEX(PT_DIFFERENTIATION_NTAR,MATCH(B151,PT_DIFFERENTIATION_NTAR_ID,0))</f>
        <v/>
      </c>
      <c r="H151" s="2005"/>
      <c r="I151" s="1884"/>
      <c r="J151" s="1918"/>
      <c r="K151" s="1923"/>
      <c r="L151" s="2005" t="s">
        <v>328</v>
      </c>
      <c r="M151" s="2330"/>
      <c r="N151" s="480"/>
      <c r="O151" s="1770"/>
      <c r="P151" s="1770"/>
      <c r="AH151" s="1777">
        <v>0</v>
      </c>
    </row>
    <row s="7235" customFormat="1" customHeight="1" ht="18.75" hidden="1">
      <c r="A152" s="1925"/>
      <c r="B152" s="1925"/>
      <c r="C152" s="515" t="s">
        <v>1496</v>
      </c>
      <c r="D152" s="2621"/>
      <c r="E152" s="2363"/>
      <c r="F152" s="2542"/>
      <c r="G152" s="2586"/>
      <c r="H152" s="1646"/>
      <c r="I152" s="797" t="s">
        <v>1495</v>
      </c>
      <c r="J152" s="717"/>
      <c r="K152" s="1646"/>
      <c r="L152" s="360"/>
      <c r="M152" s="2004"/>
      <c r="N152" s="480"/>
      <c r="O152" s="1770"/>
      <c r="P152" s="1770"/>
      <c r="AH152" s="1777">
        <v>0</v>
      </c>
    </row>
    <row s="7235" customFormat="1" customHeight="1" ht="0.75" hidden="1">
      <c r="A153" s="1925"/>
      <c r="B153" s="1925"/>
      <c r="C153" s="515" t="s">
        <v>1503</v>
      </c>
      <c r="D153" s="2621"/>
      <c r="E153" s="2363"/>
      <c r="F153" s="2542"/>
      <c r="G153" s="546"/>
      <c r="H153" s="1646"/>
      <c r="I153" s="797"/>
      <c r="J153" s="717"/>
      <c r="K153" s="1646"/>
      <c r="L153" s="360"/>
      <c r="M153" s="487"/>
      <c r="N153" s="480"/>
      <c r="O153" s="1770"/>
      <c r="P153" s="1770"/>
      <c r="AH153" s="1777">
        <v>0</v>
      </c>
    </row>
    <row s="7235" customFormat="1" customHeight="1" ht="45" hidden="1">
      <c r="A154" s="1925" t="s">
        <v>191</v>
      </c>
      <c r="B154" s="1925" t="s">
        <v>192</v>
      </c>
      <c r="C154" s="515"/>
      <c r="D154" s="2621"/>
      <c r="E154" s="2363"/>
      <c r="F154" s="254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86" t="str">
        <f>INDEX(PT_DIFFERENTIATION_NTAR,MATCH(B154,PT_DIFFERENTIATION_NTAR_ID,0))</f>
        <v/>
      </c>
      <c r="H154" s="2005"/>
      <c r="I154" s="1884"/>
      <c r="J154" s="1918"/>
      <c r="K154" s="1923"/>
      <c r="L154" s="2005" t="s">
        <v>328</v>
      </c>
      <c r="M154" s="487"/>
      <c r="N154" s="480"/>
      <c r="O154" s="1770"/>
      <c r="P154" s="1770"/>
      <c r="AH154" s="1777">
        <v>0</v>
      </c>
    </row>
    <row s="7235" customFormat="1" customHeight="1" ht="18.75" hidden="1">
      <c r="A155" s="1925"/>
      <c r="B155" s="1925"/>
      <c r="C155" s="515" t="s">
        <v>1496</v>
      </c>
      <c r="D155" s="2621"/>
      <c r="E155" s="2363"/>
      <c r="F155" s="2542"/>
      <c r="G155" s="2586"/>
      <c r="H155" s="1646"/>
      <c r="I155" s="797" t="s">
        <v>1495</v>
      </c>
      <c r="J155" s="717"/>
      <c r="K155" s="1646"/>
      <c r="L155" s="360"/>
      <c r="M155" s="487"/>
      <c r="N155" s="480"/>
      <c r="O155" s="1770"/>
      <c r="P155" s="1770"/>
      <c r="AH155" s="1777">
        <v>0</v>
      </c>
    </row>
    <row s="7235" customFormat="1" customHeight="1" ht="0.75" hidden="1">
      <c r="A156" s="1925"/>
      <c r="B156" s="1925"/>
      <c r="C156" s="515" t="s">
        <v>1503</v>
      </c>
      <c r="D156" s="2621"/>
      <c r="E156" s="2363"/>
      <c r="F156" s="2542"/>
      <c r="G156" s="546"/>
      <c r="H156" s="1646"/>
      <c r="I156" s="797"/>
      <c r="J156" s="717"/>
      <c r="K156" s="1646"/>
      <c r="L156" s="360"/>
      <c r="M156" s="487"/>
      <c r="N156" s="480"/>
      <c r="O156" s="1770"/>
      <c r="P156" s="1770"/>
      <c r="AH156" s="1777">
        <v>0</v>
      </c>
    </row>
    <row s="7235" customFormat="1" customHeight="1" ht="45" hidden="1">
      <c r="A157" s="1925" t="s">
        <v>197</v>
      </c>
      <c r="B157" s="1925" t="s">
        <v>198</v>
      </c>
      <c r="C157" s="515"/>
      <c r="D157" s="2621"/>
      <c r="E157" s="2363"/>
      <c r="F157" s="254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86" t="str">
        <f>INDEX(PT_DIFFERENTIATION_NTAR,MATCH(B157,PT_DIFFERENTIATION_NTAR_ID,0))</f>
        <v/>
      </c>
      <c r="H157" s="2005"/>
      <c r="I157" s="1884"/>
      <c r="J157" s="1918"/>
      <c r="K157" s="1923"/>
      <c r="L157" s="2005" t="s">
        <v>328</v>
      </c>
      <c r="M157" s="487"/>
      <c r="N157" s="480"/>
      <c r="O157" s="1770"/>
      <c r="P157" s="1770"/>
      <c r="AH157" s="1777">
        <v>0</v>
      </c>
    </row>
    <row s="7235" customFormat="1" customHeight="1" ht="18.75" hidden="1">
      <c r="A158" s="1925"/>
      <c r="B158" s="1925"/>
      <c r="C158" s="515" t="s">
        <v>1496</v>
      </c>
      <c r="D158" s="2621"/>
      <c r="E158" s="2363"/>
      <c r="F158" s="2542"/>
      <c r="G158" s="2586"/>
      <c r="H158" s="1646"/>
      <c r="I158" s="797" t="s">
        <v>1495</v>
      </c>
      <c r="J158" s="717"/>
      <c r="K158" s="1646"/>
      <c r="L158" s="360"/>
      <c r="M158" s="487"/>
      <c r="N158" s="480"/>
      <c r="O158" s="1770"/>
      <c r="P158" s="1770"/>
      <c r="AH158" s="1777">
        <v>0</v>
      </c>
    </row>
    <row s="7235" customFormat="1" customHeight="1" ht="0.75" hidden="1">
      <c r="A159" s="1925"/>
      <c r="B159" s="1925"/>
      <c r="C159" s="515" t="s">
        <v>1503</v>
      </c>
      <c r="D159" s="2621"/>
      <c r="E159" s="2363"/>
      <c r="F159" s="2542"/>
      <c r="G159" s="546"/>
      <c r="H159" s="1646"/>
      <c r="I159" s="797"/>
      <c r="J159" s="717"/>
      <c r="K159" s="1646"/>
      <c r="L159" s="360"/>
      <c r="M159" s="487"/>
      <c r="N159" s="480"/>
      <c r="O159" s="1770"/>
      <c r="P159" s="1770"/>
      <c r="AH159" s="1777">
        <v>0</v>
      </c>
    </row>
    <row s="7235" customFormat="1" customHeight="1" ht="18.75" hidden="1">
      <c r="A160" s="1925" t="s">
        <v>203</v>
      </c>
      <c r="B160" s="1925" t="s">
        <v>204</v>
      </c>
      <c r="C160" s="515"/>
      <c r="D160" s="2621"/>
      <c r="E160" s="2363"/>
      <c r="F160" s="2542" t="str">
        <f>INDEX(PT_DIFFERENTIATION_VTAR,MATCH(A160,PT_DIFFERENTIATION_VTAR_ID,0))</f>
        <v>Тарифы на услуги по передаче тепловой энергии</v>
      </c>
      <c r="G160" s="2586" t="str">
        <f>INDEX(PT_DIFFERENTIATION_NTAR,MATCH(B160,PT_DIFFERENTIATION_NTAR_ID,0))</f>
        <v/>
      </c>
      <c r="H160" s="2005"/>
      <c r="I160" s="1884"/>
      <c r="J160" s="1918"/>
      <c r="K160" s="1923"/>
      <c r="L160" s="2005" t="s">
        <v>328</v>
      </c>
      <c r="M160" s="487"/>
      <c r="N160" s="480"/>
      <c r="O160" s="1770"/>
      <c r="P160" s="1770"/>
      <c r="AH160" s="1777">
        <v>0</v>
      </c>
    </row>
    <row s="7235" customFormat="1" customHeight="1" ht="18.75" hidden="1">
      <c r="A161" s="1925"/>
      <c r="B161" s="1925"/>
      <c r="C161" s="515" t="s">
        <v>1496</v>
      </c>
      <c r="D161" s="2621"/>
      <c r="E161" s="2363"/>
      <c r="F161" s="2542"/>
      <c r="G161" s="2586"/>
      <c r="H161" s="1646"/>
      <c r="I161" s="797" t="s">
        <v>1495</v>
      </c>
      <c r="J161" s="717"/>
      <c r="K161" s="1646"/>
      <c r="L161" s="360"/>
      <c r="M161" s="487"/>
      <c r="N161" s="480"/>
      <c r="O161" s="1770"/>
      <c r="P161" s="1770"/>
      <c r="AH161" s="1777">
        <v>0</v>
      </c>
    </row>
    <row s="7235" customFormat="1" customHeight="1" ht="0.75" hidden="1">
      <c r="A162" s="1925"/>
      <c r="B162" s="1925"/>
      <c r="C162" s="515" t="s">
        <v>1503</v>
      </c>
      <c r="D162" s="2621"/>
      <c r="E162" s="2363"/>
      <c r="F162" s="2542"/>
      <c r="G162" s="546"/>
      <c r="H162" s="1646"/>
      <c r="I162" s="797"/>
      <c r="J162" s="717"/>
      <c r="K162" s="1646"/>
      <c r="L162" s="360"/>
      <c r="M162" s="487"/>
      <c r="N162" s="480"/>
      <c r="O162" s="1770"/>
      <c r="P162" s="1770"/>
      <c r="AH162" s="1777">
        <v>0</v>
      </c>
    </row>
    <row s="7235" customFormat="1" customHeight="1" ht="18.75" hidden="1">
      <c r="A163" s="1925" t="s">
        <v>209</v>
      </c>
      <c r="B163" s="1925" t="s">
        <v>210</v>
      </c>
      <c r="C163" s="515"/>
      <c r="D163" s="2621"/>
      <c r="E163" s="2363"/>
      <c r="F163" s="2542" t="str">
        <f>INDEX(PT_DIFFERENTIATION_VTAR,MATCH(A163,PT_DIFFERENTIATION_VTAR_ID,0))</f>
        <v>Тарифы на услуги по передаче теплоносителя</v>
      </c>
      <c r="G163" s="2586" t="str">
        <f>INDEX(PT_DIFFERENTIATION_NTAR,MATCH(B163,PT_DIFFERENTIATION_NTAR_ID,0))</f>
        <v/>
      </c>
      <c r="H163" s="2005"/>
      <c r="I163" s="1884"/>
      <c r="J163" s="1918"/>
      <c r="K163" s="1923"/>
      <c r="L163" s="2005" t="s">
        <v>328</v>
      </c>
      <c r="M163" s="487"/>
      <c r="N163" s="480"/>
      <c r="O163" s="1770"/>
      <c r="P163" s="1770"/>
      <c r="AH163" s="1777">
        <v>0</v>
      </c>
    </row>
    <row s="7235" customFormat="1" customHeight="1" ht="18.75" hidden="1">
      <c r="A164" s="1925"/>
      <c r="B164" s="1925"/>
      <c r="C164" s="515" t="s">
        <v>1496</v>
      </c>
      <c r="D164" s="2621"/>
      <c r="E164" s="2363"/>
      <c r="F164" s="2542"/>
      <c r="G164" s="2586"/>
      <c r="H164" s="1646"/>
      <c r="I164" s="797" t="s">
        <v>1495</v>
      </c>
      <c r="J164" s="717"/>
      <c r="K164" s="1646"/>
      <c r="L164" s="360"/>
      <c r="M164" s="487"/>
      <c r="N164" s="480"/>
      <c r="O164" s="1770"/>
      <c r="P164" s="1770"/>
      <c r="AH164" s="1777">
        <v>0</v>
      </c>
    </row>
    <row s="7235" customFormat="1" customHeight="1" ht="0.75" hidden="1">
      <c r="A165" s="1925"/>
      <c r="B165" s="1925"/>
      <c r="C165" s="515" t="s">
        <v>1503</v>
      </c>
      <c r="D165" s="2621"/>
      <c r="E165" s="2363"/>
      <c r="F165" s="2542"/>
      <c r="G165" s="546"/>
      <c r="H165" s="1646"/>
      <c r="I165" s="797"/>
      <c r="J165" s="717"/>
      <c r="K165" s="1646"/>
      <c r="L165" s="360"/>
      <c r="M165" s="487"/>
      <c r="N165" s="480"/>
      <c r="O165" s="1770"/>
      <c r="P165" s="1770"/>
      <c r="AH165" s="1777">
        <v>0</v>
      </c>
    </row>
    <row s="7235" customFormat="1" customHeight="1" ht="18.75" hidden="1">
      <c r="A166" s="1925" t="s">
        <v>215</v>
      </c>
      <c r="B166" s="1925" t="s">
        <v>216</v>
      </c>
      <c r="C166" s="515"/>
      <c r="D166" s="2621"/>
      <c r="E166" s="2363"/>
      <c r="F166" s="254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86" t="str">
        <f>INDEX(PT_DIFFERENTIATION_NTAR,MATCH(B166,PT_DIFFERENTIATION_NTAR_ID,0))</f>
        <v/>
      </c>
      <c r="H166" s="2005"/>
      <c r="I166" s="1884"/>
      <c r="J166" s="1918"/>
      <c r="K166" s="1923"/>
      <c r="L166" s="2005" t="s">
        <v>328</v>
      </c>
      <c r="M166" s="487"/>
      <c r="N166" s="480"/>
      <c r="O166" s="1770"/>
      <c r="P166" s="1770"/>
      <c r="AH166" s="1777">
        <v>0</v>
      </c>
    </row>
    <row s="7235" customFormat="1" customHeight="1" ht="18.75" hidden="1">
      <c r="A167" s="1925"/>
      <c r="B167" s="1925"/>
      <c r="C167" s="515" t="s">
        <v>1496</v>
      </c>
      <c r="D167" s="2621"/>
      <c r="E167" s="2363"/>
      <c r="F167" s="2542"/>
      <c r="G167" s="2586"/>
      <c r="H167" s="1646"/>
      <c r="I167" s="797" t="s">
        <v>1495</v>
      </c>
      <c r="J167" s="717"/>
      <c r="K167" s="1646"/>
      <c r="L167" s="360"/>
      <c r="M167" s="487"/>
      <c r="N167" s="480"/>
      <c r="O167" s="1770"/>
      <c r="P167" s="1770"/>
      <c r="AH167" s="1777">
        <v>0</v>
      </c>
    </row>
    <row s="7235" customFormat="1" customHeight="1" ht="0.75" hidden="1">
      <c r="A168" s="1925"/>
      <c r="B168" s="1925"/>
      <c r="C168" s="515" t="s">
        <v>1503</v>
      </c>
      <c r="D168" s="2621"/>
      <c r="E168" s="2363"/>
      <c r="F168" s="2542"/>
      <c r="G168" s="546"/>
      <c r="H168" s="1646"/>
      <c r="I168" s="797"/>
      <c r="J168" s="717"/>
      <c r="K168" s="1646"/>
      <c r="L168" s="360"/>
      <c r="M168" s="487"/>
      <c r="N168" s="480"/>
      <c r="O168" s="1770"/>
      <c r="P168" s="1770"/>
      <c r="AH168" s="1777">
        <v>0</v>
      </c>
    </row>
    <row s="7235" customFormat="1" customHeight="1" ht="18.75" hidden="1">
      <c r="A169" s="1925" t="s">
        <v>221</v>
      </c>
      <c r="B169" s="1925" t="s">
        <v>222</v>
      </c>
      <c r="C169" s="515"/>
      <c r="D169" s="2621"/>
      <c r="E169" s="2363"/>
      <c r="F169" s="2542" t="str">
        <f>INDEX(PT_DIFFERENTIATION_VTAR,MATCH(A169,PT_DIFFERENTIATION_VTAR_ID,0))</f>
        <v>Плата за подключение (технологическое присоединение) к системе теплоснабжения</v>
      </c>
      <c r="G169" s="2586" t="str">
        <f>INDEX(PT_DIFFERENTIATION_NTAR,MATCH(B169,PT_DIFFERENTIATION_NTAR_ID,0))</f>
        <v/>
      </c>
      <c r="H169" s="2005"/>
      <c r="I169" s="1884"/>
      <c r="J169" s="1918"/>
      <c r="K169" s="1923"/>
      <c r="L169" s="2005" t="s">
        <v>328</v>
      </c>
      <c r="M169" s="487"/>
      <c r="N169" s="480"/>
      <c r="O169" s="1770"/>
      <c r="P169" s="1770"/>
      <c r="AH169" s="1777">
        <v>0</v>
      </c>
    </row>
    <row s="7235" customFormat="1" customHeight="1" ht="18.75" hidden="1">
      <c r="A170" s="1925"/>
      <c r="B170" s="1925"/>
      <c r="C170" s="515" t="s">
        <v>1496</v>
      </c>
      <c r="D170" s="2621"/>
      <c r="E170" s="2363"/>
      <c r="F170" s="2542"/>
      <c r="G170" s="2586"/>
      <c r="H170" s="1646"/>
      <c r="I170" s="797" t="s">
        <v>1495</v>
      </c>
      <c r="J170" s="717"/>
      <c r="K170" s="1646"/>
      <c r="L170" s="360"/>
      <c r="M170" s="487"/>
      <c r="N170" s="480"/>
      <c r="O170" s="1770"/>
      <c r="P170" s="1770"/>
      <c r="AH170" s="1777">
        <v>0</v>
      </c>
    </row>
    <row s="7235" customFormat="1" customHeight="1" ht="0.75" hidden="1">
      <c r="A171" s="1925"/>
      <c r="B171" s="1925"/>
      <c r="C171" s="515" t="s">
        <v>1503</v>
      </c>
      <c r="D171" s="2621"/>
      <c r="E171" s="2363"/>
      <c r="F171" s="2542"/>
      <c r="G171" s="546"/>
      <c r="H171" s="1646"/>
      <c r="I171" s="797"/>
      <c r="J171" s="717"/>
      <c r="K171" s="1646"/>
      <c r="L171" s="360"/>
      <c r="M171" s="487"/>
      <c r="N171" s="480"/>
      <c r="O171" s="1770"/>
      <c r="P171" s="1770"/>
      <c r="AH171" s="1777">
        <v>0</v>
      </c>
    </row>
    <row s="7235" customFormat="1" customHeight="1" ht="18.75" hidden="1">
      <c r="A172" s="1925" t="s">
        <v>227</v>
      </c>
      <c r="B172" s="1925" t="s">
        <v>228</v>
      </c>
      <c r="C172" s="515"/>
      <c r="D172" s="2621"/>
      <c r="E172" s="2363"/>
      <c r="F172" s="2542" t="str">
        <f>INDEX(PT_DIFFERENTIATION_VTAR,MATCH(A172,PT_DIFFERENTIATION_VTAR_ID,0))</f>
        <v>Плата за подключение (технологическое присоединение) к системе теплоснабжения (индивидуальная)</v>
      </c>
      <c r="G172" s="2586" t="str">
        <f>INDEX(PT_DIFFERENTIATION_NTAR,MATCH(B172,PT_DIFFERENTIATION_NTAR_ID,0))</f>
        <v/>
      </c>
      <c r="H172" s="2132"/>
      <c r="I172" s="1884"/>
      <c r="J172" s="1918"/>
      <c r="K172" s="1923"/>
      <c r="L172" s="2132" t="s">
        <v>328</v>
      </c>
      <c r="M172" s="487"/>
      <c r="N172" s="480"/>
      <c r="O172" s="1770"/>
      <c r="P172" s="1770"/>
      <c r="AH172" s="1777">
        <v>0</v>
      </c>
    </row>
    <row s="7235" customFormat="1" customHeight="1" ht="18.75" hidden="1">
      <c r="A173" s="1925"/>
      <c r="B173" s="1925"/>
      <c r="C173" s="515" t="s">
        <v>1496</v>
      </c>
      <c r="D173" s="2621"/>
      <c r="E173" s="2363"/>
      <c r="F173" s="2542"/>
      <c r="G173" s="2586"/>
      <c r="H173" s="1646"/>
      <c r="I173" s="797" t="s">
        <v>1495</v>
      </c>
      <c r="J173" s="717"/>
      <c r="K173" s="1646"/>
      <c r="L173" s="360"/>
      <c r="M173" s="487"/>
      <c r="N173" s="480"/>
      <c r="O173" s="1770"/>
      <c r="P173" s="1770"/>
      <c r="AH173" s="1777">
        <v>0</v>
      </c>
    </row>
    <row s="7235" customFormat="1" customHeight="1" ht="0.75" hidden="1">
      <c r="A174" s="1925"/>
      <c r="B174" s="1925"/>
      <c r="C174" s="515" t="s">
        <v>1503</v>
      </c>
      <c r="D174" s="2621"/>
      <c r="E174" s="2363"/>
      <c r="F174" s="2542"/>
      <c r="G174" s="546"/>
      <c r="H174" s="1646"/>
      <c r="I174" s="797"/>
      <c r="J174" s="717"/>
      <c r="K174" s="1646"/>
      <c r="L174" s="360"/>
      <c r="M174" s="487"/>
      <c r="N174" s="480"/>
      <c r="O174" s="1770"/>
      <c r="P174" s="1770"/>
      <c r="AH174" s="1777">
        <v>0</v>
      </c>
    </row>
    <row s="7235" customFormat="1" customHeight="1" ht="18.75" hidden="1">
      <c r="A175" s="1925" t="s">
        <v>247</v>
      </c>
      <c r="B175" s="1925" t="s">
        <v>248</v>
      </c>
      <c r="C175" s="515"/>
      <c r="D175" s="2621"/>
      <c r="E175" s="2363"/>
      <c r="F175" s="2542" t="str">
        <f>INDEX(PT_DIFFERENTIATION_VTAR,MATCH(A175,PT_DIFFERENTIATION_VTAR_ID,0))</f>
        <v>Тариф на питьевую воду (питьевое водоснабжение)</v>
      </c>
      <c r="G175" s="2586" t="str">
        <f>INDEX(PT_DIFFERENTIATION_NTAR,MATCH(B175,PT_DIFFERENTIATION_NTAR_ID,0))</f>
        <v/>
      </c>
      <c r="H175" s="2005"/>
      <c r="I175" s="1884"/>
      <c r="J175" s="1918"/>
      <c r="K175" s="1923"/>
      <c r="L175" s="2005" t="s">
        <v>328</v>
      </c>
      <c r="M175" s="487"/>
      <c r="N175" s="480"/>
      <c r="O175" s="1770"/>
      <c r="P175" s="1770"/>
      <c r="AH175" s="1777">
        <v>0</v>
      </c>
    </row>
    <row s="7235" customFormat="1" customHeight="1" ht="18.75" hidden="1">
      <c r="A176" s="1925"/>
      <c r="B176" s="1925"/>
      <c r="C176" s="515" t="s">
        <v>1496</v>
      </c>
      <c r="D176" s="2621"/>
      <c r="E176" s="2363"/>
      <c r="F176" s="2542"/>
      <c r="G176" s="2586"/>
      <c r="H176" s="1646"/>
      <c r="I176" s="797" t="s">
        <v>1495</v>
      </c>
      <c r="J176" s="717"/>
      <c r="K176" s="1646"/>
      <c r="L176" s="360"/>
      <c r="M176" s="487"/>
      <c r="N176" s="480"/>
      <c r="O176" s="1770"/>
      <c r="P176" s="1770"/>
      <c r="AH176" s="1777">
        <v>0</v>
      </c>
    </row>
    <row s="7235" customFormat="1" customHeight="1" ht="0.75" hidden="1">
      <c r="A177" s="1925"/>
      <c r="B177" s="1925"/>
      <c r="C177" s="515" t="s">
        <v>1503</v>
      </c>
      <c r="D177" s="2621"/>
      <c r="E177" s="2363"/>
      <c r="F177" s="2542"/>
      <c r="G177" s="546"/>
      <c r="H177" s="1646"/>
      <c r="I177" s="797"/>
      <c r="J177" s="717"/>
      <c r="K177" s="1646"/>
      <c r="L177" s="360"/>
      <c r="M177" s="487"/>
      <c r="N177" s="480"/>
      <c r="O177" s="1770"/>
      <c r="P177" s="1770"/>
      <c r="AH177" s="1777">
        <v>0</v>
      </c>
    </row>
    <row s="7235" customFormat="1" customHeight="1" ht="18.75" hidden="1">
      <c r="A178" s="1925" t="s">
        <v>252</v>
      </c>
      <c r="B178" s="1925" t="s">
        <v>253</v>
      </c>
      <c r="C178" s="515"/>
      <c r="D178" s="2621"/>
      <c r="E178" s="2363"/>
      <c r="F178" s="2542" t="str">
        <f>INDEX(PT_DIFFERENTIATION_VTAR,MATCH(A178,PT_DIFFERENTIATION_VTAR_ID,0))</f>
        <v>Тариф на техническую воду</v>
      </c>
      <c r="G178" s="2586" t="str">
        <f>INDEX(PT_DIFFERENTIATION_NTAR,MATCH(B178,PT_DIFFERENTIATION_NTAR_ID,0))</f>
        <v/>
      </c>
      <c r="H178" s="2005"/>
      <c r="I178" s="1884"/>
      <c r="J178" s="1918"/>
      <c r="K178" s="1923"/>
      <c r="L178" s="2005" t="s">
        <v>328</v>
      </c>
      <c r="M178" s="487"/>
      <c r="N178" s="480"/>
      <c r="O178" s="1770"/>
      <c r="P178" s="1770"/>
      <c r="AH178" s="1777">
        <v>0</v>
      </c>
    </row>
    <row s="7235" customFormat="1" customHeight="1" ht="18.75" hidden="1">
      <c r="A179" s="1925"/>
      <c r="B179" s="1925"/>
      <c r="C179" s="515" t="s">
        <v>1496</v>
      </c>
      <c r="D179" s="2621"/>
      <c r="E179" s="2363"/>
      <c r="F179" s="2542"/>
      <c r="G179" s="2586"/>
      <c r="H179" s="1646"/>
      <c r="I179" s="797" t="s">
        <v>1495</v>
      </c>
      <c r="J179" s="717"/>
      <c r="K179" s="1646"/>
      <c r="L179" s="360"/>
      <c r="M179" s="487"/>
      <c r="N179" s="480"/>
      <c r="O179" s="1770"/>
      <c r="P179" s="1770"/>
      <c r="AH179" s="1777">
        <v>0</v>
      </c>
    </row>
    <row s="7235" customFormat="1" customHeight="1" ht="0.75" hidden="1">
      <c r="A180" s="1925"/>
      <c r="B180" s="1925"/>
      <c r="C180" s="515" t="s">
        <v>1503</v>
      </c>
      <c r="D180" s="2621"/>
      <c r="E180" s="2363"/>
      <c r="F180" s="2542"/>
      <c r="G180" s="546"/>
      <c r="H180" s="1646"/>
      <c r="I180" s="797"/>
      <c r="J180" s="717"/>
      <c r="K180" s="1646"/>
      <c r="L180" s="360"/>
      <c r="M180" s="487"/>
      <c r="N180" s="480"/>
      <c r="O180" s="1770"/>
      <c r="P180" s="1770"/>
      <c r="AH180" s="1777">
        <v>0</v>
      </c>
    </row>
    <row s="7235" customFormat="1" customHeight="1" ht="18.75" hidden="1">
      <c r="A181" s="1925" t="s">
        <v>257</v>
      </c>
      <c r="B181" s="1925" t="s">
        <v>258</v>
      </c>
      <c r="C181" s="515"/>
      <c r="D181" s="2621"/>
      <c r="E181" s="2363"/>
      <c r="F181" s="2542" t="str">
        <f>INDEX(PT_DIFFERENTIATION_VTAR,MATCH(A181,PT_DIFFERENTIATION_VTAR_ID,0))</f>
        <v>Тариф на транспортировку воды</v>
      </c>
      <c r="G181" s="2586" t="str">
        <f>INDEX(PT_DIFFERENTIATION_NTAR,MATCH(B181,PT_DIFFERENTIATION_NTAR_ID,0))</f>
        <v/>
      </c>
      <c r="H181" s="2005"/>
      <c r="I181" s="1884"/>
      <c r="J181" s="1918"/>
      <c r="K181" s="1923"/>
      <c r="L181" s="2005" t="s">
        <v>328</v>
      </c>
      <c r="M181" s="487"/>
      <c r="N181" s="480"/>
      <c r="O181" s="1770"/>
      <c r="P181" s="1770"/>
      <c r="AH181" s="1777">
        <v>0</v>
      </c>
    </row>
    <row s="7235" customFormat="1" customHeight="1" ht="18.75" hidden="1">
      <c r="A182" s="1925"/>
      <c r="B182" s="1925"/>
      <c r="C182" s="515" t="s">
        <v>1496</v>
      </c>
      <c r="D182" s="2621"/>
      <c r="E182" s="2363"/>
      <c r="F182" s="2542"/>
      <c r="G182" s="2586"/>
      <c r="H182" s="1646"/>
      <c r="I182" s="797" t="s">
        <v>1495</v>
      </c>
      <c r="J182" s="717"/>
      <c r="K182" s="1646"/>
      <c r="L182" s="360"/>
      <c r="M182" s="487"/>
      <c r="N182" s="480"/>
      <c r="O182" s="1770"/>
      <c r="P182" s="1770"/>
      <c r="AH182" s="1777">
        <v>0</v>
      </c>
    </row>
    <row s="7235" customFormat="1" customHeight="1" ht="0.75" hidden="1">
      <c r="A183" s="1925"/>
      <c r="B183" s="1925"/>
      <c r="C183" s="515" t="s">
        <v>1503</v>
      </c>
      <c r="D183" s="2621"/>
      <c r="E183" s="2363"/>
      <c r="F183" s="2542"/>
      <c r="G183" s="546"/>
      <c r="H183" s="1646"/>
      <c r="I183" s="797"/>
      <c r="J183" s="717"/>
      <c r="K183" s="1646"/>
      <c r="L183" s="360"/>
      <c r="M183" s="487"/>
      <c r="N183" s="480"/>
      <c r="O183" s="1770"/>
      <c r="P183" s="1770"/>
      <c r="AH183" s="1777">
        <v>0</v>
      </c>
    </row>
    <row s="7235" customFormat="1" customHeight="1" ht="18.75" hidden="1">
      <c r="A184" s="1925" t="s">
        <v>262</v>
      </c>
      <c r="B184" s="1925" t="s">
        <v>263</v>
      </c>
      <c r="C184" s="515"/>
      <c r="D184" s="2621"/>
      <c r="E184" s="2363"/>
      <c r="F184" s="2542" t="str">
        <f>INDEX(PT_DIFFERENTIATION_VTAR,MATCH(A184,PT_DIFFERENTIATION_VTAR_ID,0))</f>
        <v>Тариф на подвоз воды</v>
      </c>
      <c r="G184" s="2586" t="str">
        <f>INDEX(PT_DIFFERENTIATION_NTAR,MATCH(B184,PT_DIFFERENTIATION_NTAR_ID,0))</f>
        <v/>
      </c>
      <c r="H184" s="2005"/>
      <c r="I184" s="1884"/>
      <c r="J184" s="1918"/>
      <c r="K184" s="1923"/>
      <c r="L184" s="2005" t="s">
        <v>328</v>
      </c>
      <c r="M184" s="487"/>
      <c r="N184" s="480"/>
      <c r="O184" s="1770"/>
      <c r="P184" s="1770"/>
      <c r="AH184" s="1777">
        <v>0</v>
      </c>
    </row>
    <row s="7235" customFormat="1" customHeight="1" ht="18.75" hidden="1">
      <c r="A185" s="1925"/>
      <c r="B185" s="1925"/>
      <c r="C185" s="515" t="s">
        <v>1496</v>
      </c>
      <c r="D185" s="2621"/>
      <c r="E185" s="2363"/>
      <c r="F185" s="2542"/>
      <c r="G185" s="2586"/>
      <c r="H185" s="1646"/>
      <c r="I185" s="797" t="s">
        <v>1495</v>
      </c>
      <c r="J185" s="717"/>
      <c r="K185" s="1646"/>
      <c r="L185" s="360"/>
      <c r="M185" s="487"/>
      <c r="N185" s="480"/>
      <c r="O185" s="1770"/>
      <c r="P185" s="1770"/>
      <c r="AH185" s="1777">
        <v>0</v>
      </c>
    </row>
    <row s="7235" customFormat="1" customHeight="1" ht="0.75" hidden="1">
      <c r="A186" s="1925"/>
      <c r="B186" s="1925"/>
      <c r="C186" s="515" t="s">
        <v>1503</v>
      </c>
      <c r="D186" s="2621"/>
      <c r="E186" s="2363"/>
      <c r="F186" s="2542"/>
      <c r="G186" s="546"/>
      <c r="H186" s="1646"/>
      <c r="I186" s="797"/>
      <c r="J186" s="717"/>
      <c r="K186" s="1646"/>
      <c r="L186" s="360"/>
      <c r="M186" s="487"/>
      <c r="N186" s="480"/>
      <c r="O186" s="1770"/>
      <c r="P186" s="1770"/>
      <c r="AH186" s="1777">
        <v>0</v>
      </c>
    </row>
    <row s="7235" customFormat="1" customHeight="1" ht="18.75" hidden="1">
      <c r="A187" s="1925" t="s">
        <v>267</v>
      </c>
      <c r="B187" s="1925" t="s">
        <v>268</v>
      </c>
      <c r="C187" s="515"/>
      <c r="D187" s="2621"/>
      <c r="E187" s="2363"/>
      <c r="F187" s="254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86" t="str">
        <f>INDEX(PT_DIFFERENTIATION_NTAR,MATCH(B187,PT_DIFFERENTIATION_NTAR_ID,0))</f>
        <v/>
      </c>
      <c r="H187" s="2005"/>
      <c r="I187" s="1884"/>
      <c r="J187" s="1918"/>
      <c r="K187" s="1923"/>
      <c r="L187" s="2005" t="s">
        <v>328</v>
      </c>
      <c r="M187" s="487"/>
      <c r="N187" s="480"/>
      <c r="O187" s="1770"/>
      <c r="P187" s="1770"/>
      <c r="AH187" s="1777">
        <v>0</v>
      </c>
    </row>
    <row s="7235" customFormat="1" customHeight="1" ht="18.75" hidden="1">
      <c r="A188" s="1925"/>
      <c r="B188" s="1925"/>
      <c r="C188" s="515" t="s">
        <v>1496</v>
      </c>
      <c r="D188" s="2621"/>
      <c r="E188" s="2363"/>
      <c r="F188" s="2542"/>
      <c r="G188" s="2586"/>
      <c r="H188" s="1646"/>
      <c r="I188" s="797" t="s">
        <v>1495</v>
      </c>
      <c r="J188" s="717"/>
      <c r="K188" s="1646"/>
      <c r="L188" s="360"/>
      <c r="M188" s="487"/>
      <c r="N188" s="480"/>
      <c r="O188" s="1770"/>
      <c r="P188" s="1770"/>
      <c r="AH188" s="1777">
        <v>0</v>
      </c>
    </row>
    <row s="7235" customFormat="1" customHeight="1" ht="0.75" hidden="1">
      <c r="A189" s="1925"/>
      <c r="B189" s="1925"/>
      <c r="C189" s="515" t="s">
        <v>1503</v>
      </c>
      <c r="D189" s="2621"/>
      <c r="E189" s="2363"/>
      <c r="F189" s="2542"/>
      <c r="G189" s="546"/>
      <c r="H189" s="1646"/>
      <c r="I189" s="797"/>
      <c r="J189" s="717"/>
      <c r="K189" s="1646"/>
      <c r="L189" s="360"/>
      <c r="M189" s="487"/>
      <c r="N189" s="480"/>
      <c r="O189" s="1770"/>
      <c r="P189" s="1770"/>
      <c r="AH189" s="1777">
        <v>0</v>
      </c>
    </row>
    <row s="7235" customFormat="1" customHeight="1" ht="18.75" hidden="1">
      <c r="A190" s="1925" t="s">
        <v>272</v>
      </c>
      <c r="B190" s="1925" t="s">
        <v>273</v>
      </c>
      <c r="C190" s="515"/>
      <c r="D190" s="2621"/>
      <c r="E190" s="2363"/>
      <c r="F190" s="2542" t="str">
        <f>INDEX(PT_DIFFERENTIATION_VTAR,MATCH(A190,PT_DIFFERENTIATION_VTAR_ID,0))</f>
        <v>Тариф на горячую воду (горячее водоснабжение)</v>
      </c>
      <c r="G190" s="2586" t="str">
        <f>INDEX(PT_DIFFERENTIATION_NTAR,MATCH(B190,PT_DIFFERENTIATION_NTAR_ID,0))</f>
        <v/>
      </c>
      <c r="H190" s="2005"/>
      <c r="I190" s="1884"/>
      <c r="J190" s="1918"/>
      <c r="K190" s="1923"/>
      <c r="L190" s="2005" t="s">
        <v>328</v>
      </c>
      <c r="M190" s="487"/>
      <c r="N190" s="480"/>
      <c r="O190" s="1770"/>
      <c r="P190" s="1770"/>
      <c r="AH190" s="1777">
        <v>0</v>
      </c>
    </row>
    <row s="7235" customFormat="1" customHeight="1" ht="18.75" hidden="1">
      <c r="A191" s="1925"/>
      <c r="B191" s="1925"/>
      <c r="C191" s="515" t="s">
        <v>1496</v>
      </c>
      <c r="D191" s="2621"/>
      <c r="E191" s="2363"/>
      <c r="F191" s="2542"/>
      <c r="G191" s="2586"/>
      <c r="H191" s="1646"/>
      <c r="I191" s="797" t="s">
        <v>1495</v>
      </c>
      <c r="J191" s="717"/>
      <c r="K191" s="1646"/>
      <c r="L191" s="360"/>
      <c r="M191" s="487"/>
      <c r="N191" s="480"/>
      <c r="O191" s="1770"/>
      <c r="P191" s="1770"/>
      <c r="AH191" s="1777">
        <v>0</v>
      </c>
    </row>
    <row s="7235" customFormat="1" customHeight="1" ht="0.75" hidden="1">
      <c r="A192" s="1925"/>
      <c r="B192" s="1925"/>
      <c r="C192" s="515" t="s">
        <v>1503</v>
      </c>
      <c r="D192" s="2621"/>
      <c r="E192" s="2363"/>
      <c r="F192" s="2542"/>
      <c r="G192" s="546"/>
      <c r="H192" s="1646"/>
      <c r="I192" s="797"/>
      <c r="J192" s="717"/>
      <c r="K192" s="1646"/>
      <c r="L192" s="360"/>
      <c r="M192" s="487"/>
      <c r="N192" s="480"/>
      <c r="O192" s="1770"/>
      <c r="P192" s="1770"/>
      <c r="AH192" s="1777">
        <v>0</v>
      </c>
    </row>
    <row s="7235" customFormat="1" customHeight="1" ht="18.75" hidden="1">
      <c r="A193" s="1925" t="s">
        <v>277</v>
      </c>
      <c r="B193" s="1925" t="s">
        <v>278</v>
      </c>
      <c r="C193" s="515"/>
      <c r="D193" s="2621"/>
      <c r="E193" s="2363"/>
      <c r="F193" s="2542" t="str">
        <f>INDEX(PT_DIFFERENTIATION_VTAR,MATCH(A193,PT_DIFFERENTIATION_VTAR_ID,0))</f>
        <v>Тариф на транспортировку горячей воды</v>
      </c>
      <c r="G193" s="2586" t="str">
        <f>INDEX(PT_DIFFERENTIATION_NTAR,MATCH(B193,PT_DIFFERENTIATION_NTAR_ID,0))</f>
        <v/>
      </c>
      <c r="H193" s="2005"/>
      <c r="I193" s="1884"/>
      <c r="J193" s="1918"/>
      <c r="K193" s="1923"/>
      <c r="L193" s="2005" t="s">
        <v>328</v>
      </c>
      <c r="M193" s="487"/>
      <c r="N193" s="480"/>
      <c r="O193" s="1770"/>
      <c r="P193" s="1770"/>
      <c r="AH193" s="1777">
        <v>0</v>
      </c>
    </row>
    <row s="7235" customFormat="1" customHeight="1" ht="18.75" hidden="1">
      <c r="A194" s="1925"/>
      <c r="B194" s="1925"/>
      <c r="C194" s="515" t="s">
        <v>1496</v>
      </c>
      <c r="D194" s="2621"/>
      <c r="E194" s="2363"/>
      <c r="F194" s="2542"/>
      <c r="G194" s="2586"/>
      <c r="H194" s="1646"/>
      <c r="I194" s="797" t="s">
        <v>1495</v>
      </c>
      <c r="J194" s="717"/>
      <c r="K194" s="1646"/>
      <c r="L194" s="360"/>
      <c r="M194" s="487"/>
      <c r="N194" s="480"/>
      <c r="O194" s="1770"/>
      <c r="P194" s="1770"/>
      <c r="AH194" s="1777">
        <v>0</v>
      </c>
    </row>
    <row s="7235" customFormat="1" customHeight="1" ht="0.75" hidden="1">
      <c r="A195" s="1925"/>
      <c r="B195" s="1925"/>
      <c r="C195" s="515" t="s">
        <v>1503</v>
      </c>
      <c r="D195" s="2621"/>
      <c r="E195" s="2363"/>
      <c r="F195" s="2542"/>
      <c r="G195" s="546"/>
      <c r="H195" s="1646"/>
      <c r="I195" s="797"/>
      <c r="J195" s="717"/>
      <c r="K195" s="1646"/>
      <c r="L195" s="360"/>
      <c r="M195" s="487"/>
      <c r="N195" s="480"/>
      <c r="O195" s="1770"/>
      <c r="P195" s="1770"/>
      <c r="AH195" s="1777">
        <v>0</v>
      </c>
    </row>
    <row s="7235" customFormat="1" customHeight="1" ht="18.75" hidden="1">
      <c r="A196" s="1925" t="s">
        <v>282</v>
      </c>
      <c r="B196" s="1925" t="s">
        <v>283</v>
      </c>
      <c r="C196" s="515"/>
      <c r="D196" s="2621"/>
      <c r="E196" s="2363"/>
      <c r="F196" s="254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86" t="str">
        <f>INDEX(PT_DIFFERENTIATION_NTAR,MATCH(B196,PT_DIFFERENTIATION_NTAR_ID,0))</f>
        <v/>
      </c>
      <c r="H196" s="2005"/>
      <c r="I196" s="1884"/>
      <c r="J196" s="1918"/>
      <c r="K196" s="1923"/>
      <c r="L196" s="2005" t="s">
        <v>328</v>
      </c>
      <c r="M196" s="487"/>
      <c r="N196" s="480"/>
      <c r="O196" s="1770"/>
      <c r="P196" s="1770"/>
      <c r="AH196" s="1777">
        <v>0</v>
      </c>
    </row>
    <row s="7235" customFormat="1" customHeight="1" ht="18.75" hidden="1">
      <c r="A197" s="1925"/>
      <c r="B197" s="1925"/>
      <c r="C197" s="515" t="s">
        <v>1496</v>
      </c>
      <c r="D197" s="2621"/>
      <c r="E197" s="2363"/>
      <c r="F197" s="2542"/>
      <c r="G197" s="2586"/>
      <c r="H197" s="1646"/>
      <c r="I197" s="797" t="s">
        <v>1495</v>
      </c>
      <c r="J197" s="717"/>
      <c r="K197" s="1646"/>
      <c r="L197" s="360"/>
      <c r="M197" s="487"/>
      <c r="N197" s="480"/>
      <c r="O197" s="1770"/>
      <c r="P197" s="1770"/>
      <c r="AH197" s="1777">
        <v>0</v>
      </c>
    </row>
    <row s="7235" customFormat="1" customHeight="1" ht="0.75" hidden="1">
      <c r="A198" s="1925"/>
      <c r="B198" s="1925"/>
      <c r="C198" s="515" t="s">
        <v>1503</v>
      </c>
      <c r="D198" s="2621"/>
      <c r="E198" s="2363"/>
      <c r="F198" s="2542"/>
      <c r="G198" s="546"/>
      <c r="H198" s="1646"/>
      <c r="I198" s="797"/>
      <c r="J198" s="717"/>
      <c r="K198" s="1646"/>
      <c r="L198" s="360"/>
      <c r="M198" s="487"/>
      <c r="N198" s="480"/>
      <c r="O198" s="1770"/>
      <c r="P198" s="1770"/>
      <c r="AH198" s="1777">
        <v>0</v>
      </c>
    </row>
    <row s="7235" customFormat="1" customHeight="1" ht="18.75" hidden="1">
      <c r="A199" s="1925" t="s">
        <v>287</v>
      </c>
      <c r="B199" s="1925" t="s">
        <v>288</v>
      </c>
      <c r="C199" s="515"/>
      <c r="D199" s="2621"/>
      <c r="E199" s="2363"/>
      <c r="F199" s="2542" t="str">
        <f>INDEX(PT_DIFFERENTIATION_VTAR,MATCH(A199,PT_DIFFERENTIATION_VTAR_ID,0))</f>
        <v>Тариф на водоотведение</v>
      </c>
      <c r="G199" s="2586" t="str">
        <f>INDEX(PT_DIFFERENTIATION_NTAR,MATCH(B199,PT_DIFFERENTIATION_NTAR_ID,0))</f>
        <v/>
      </c>
      <c r="H199" s="2005"/>
      <c r="I199" s="1884"/>
      <c r="J199" s="1918"/>
      <c r="K199" s="1923"/>
      <c r="L199" s="2005" t="s">
        <v>328</v>
      </c>
      <c r="M199" s="487"/>
      <c r="N199" s="480"/>
      <c r="O199" s="1770"/>
      <c r="P199" s="1770"/>
      <c r="AH199" s="1777">
        <v>0</v>
      </c>
    </row>
    <row s="7235" customFormat="1" customHeight="1" ht="18.75" hidden="1">
      <c r="A200" s="1925"/>
      <c r="B200" s="1925"/>
      <c r="C200" s="515" t="s">
        <v>1496</v>
      </c>
      <c r="D200" s="2621"/>
      <c r="E200" s="2363"/>
      <c r="F200" s="2542"/>
      <c r="G200" s="2586"/>
      <c r="H200" s="1646"/>
      <c r="I200" s="797" t="s">
        <v>1495</v>
      </c>
      <c r="J200" s="717"/>
      <c r="K200" s="1646"/>
      <c r="L200" s="360"/>
      <c r="M200" s="487"/>
      <c r="N200" s="480"/>
      <c r="O200" s="1770"/>
      <c r="P200" s="1770"/>
      <c r="AH200" s="1777">
        <v>0</v>
      </c>
    </row>
    <row s="7235" customFormat="1" customHeight="1" ht="0.75" hidden="1">
      <c r="A201" s="1925"/>
      <c r="B201" s="1925"/>
      <c r="C201" s="515" t="s">
        <v>1503</v>
      </c>
      <c r="D201" s="2621"/>
      <c r="E201" s="2363"/>
      <c r="F201" s="2542"/>
      <c r="G201" s="546"/>
      <c r="H201" s="1646"/>
      <c r="I201" s="797"/>
      <c r="J201" s="717"/>
      <c r="K201" s="1646"/>
      <c r="L201" s="360"/>
      <c r="M201" s="487"/>
      <c r="N201" s="480"/>
      <c r="O201" s="1770"/>
      <c r="P201" s="1770"/>
      <c r="AH201" s="1777">
        <v>0</v>
      </c>
    </row>
    <row s="7235" customFormat="1" customHeight="1" ht="18.75" hidden="1">
      <c r="A202" s="1925" t="s">
        <v>292</v>
      </c>
      <c r="B202" s="1925" t="s">
        <v>293</v>
      </c>
      <c r="C202" s="515"/>
      <c r="D202" s="2621"/>
      <c r="E202" s="2363"/>
      <c r="F202" s="2542" t="str">
        <f>INDEX(PT_DIFFERENTIATION_VTAR,MATCH(A202,PT_DIFFERENTIATION_VTAR_ID,0))</f>
        <v>Тариф на транспортировку сточных вод</v>
      </c>
      <c r="G202" s="2586" t="str">
        <f>INDEX(PT_DIFFERENTIATION_NTAR,MATCH(B202,PT_DIFFERENTIATION_NTAR_ID,0))</f>
        <v/>
      </c>
      <c r="H202" s="2005"/>
      <c r="I202" s="1884"/>
      <c r="J202" s="1918"/>
      <c r="K202" s="1923"/>
      <c r="L202" s="2005" t="s">
        <v>328</v>
      </c>
      <c r="M202" s="487"/>
      <c r="N202" s="480"/>
      <c r="O202" s="1770"/>
      <c r="P202" s="1770"/>
      <c r="AH202" s="1777">
        <v>0</v>
      </c>
    </row>
    <row s="7235" customFormat="1" customHeight="1" ht="18.75" hidden="1">
      <c r="A203" s="1925"/>
      <c r="B203" s="1925"/>
      <c r="C203" s="515" t="s">
        <v>1496</v>
      </c>
      <c r="D203" s="2621"/>
      <c r="E203" s="2363"/>
      <c r="F203" s="2542"/>
      <c r="G203" s="2586"/>
      <c r="H203" s="1646"/>
      <c r="I203" s="797" t="s">
        <v>1495</v>
      </c>
      <c r="J203" s="717"/>
      <c r="K203" s="1646"/>
      <c r="L203" s="360"/>
      <c r="M203" s="487"/>
      <c r="N203" s="480"/>
      <c r="O203" s="1770"/>
      <c r="P203" s="1770"/>
      <c r="AH203" s="1777">
        <v>0</v>
      </c>
    </row>
    <row s="7235" customFormat="1" customHeight="1" ht="0.75" hidden="1">
      <c r="A204" s="1925"/>
      <c r="B204" s="1925"/>
      <c r="C204" s="515" t="s">
        <v>1503</v>
      </c>
      <c r="D204" s="2621"/>
      <c r="E204" s="2363"/>
      <c r="F204" s="2542"/>
      <c r="G204" s="546"/>
      <c r="H204" s="1646"/>
      <c r="I204" s="797"/>
      <c r="J204" s="717"/>
      <c r="K204" s="1646"/>
      <c r="L204" s="360"/>
      <c r="M204" s="487"/>
      <c r="N204" s="480"/>
      <c r="O204" s="1770"/>
      <c r="P204" s="1770"/>
      <c r="AH204" s="1777">
        <v>0</v>
      </c>
    </row>
    <row s="7235" customFormat="1" customHeight="1" ht="18.75" hidden="1">
      <c r="A205" s="1925" t="s">
        <v>297</v>
      </c>
      <c r="B205" s="1925" t="s">
        <v>298</v>
      </c>
      <c r="C205" s="515"/>
      <c r="D205" s="2621"/>
      <c r="E205" s="2363"/>
      <c r="F205" s="2542" t="str">
        <f>INDEX(PT_DIFFERENTIATION_VTAR,MATCH(A205,PT_DIFFERENTIATION_VTAR_ID,0))</f>
        <v>Тариф на подключение (технологическое присоединение) к централизованной системе водоотведения</v>
      </c>
      <c r="G205" s="2586" t="str">
        <f>INDEX(PT_DIFFERENTIATION_NTAR,MATCH(B205,PT_DIFFERENTIATION_NTAR_ID,0))</f>
        <v/>
      </c>
      <c r="H205" s="2005"/>
      <c r="I205" s="1884"/>
      <c r="J205" s="1918"/>
      <c r="K205" s="1923"/>
      <c r="L205" s="2005" t="s">
        <v>328</v>
      </c>
      <c r="M205" s="487"/>
      <c r="N205" s="480"/>
      <c r="O205" s="1770"/>
      <c r="P205" s="1770"/>
      <c r="AH205" s="1777">
        <v>0</v>
      </c>
    </row>
    <row s="7235" customFormat="1" customHeight="1" ht="18.75" hidden="1">
      <c r="A206" s="1925"/>
      <c r="B206" s="1925"/>
      <c r="C206" s="515" t="s">
        <v>1496</v>
      </c>
      <c r="D206" s="2621"/>
      <c r="E206" s="2363"/>
      <c r="F206" s="2542"/>
      <c r="G206" s="2586"/>
      <c r="H206" s="1646"/>
      <c r="I206" s="797" t="s">
        <v>1495</v>
      </c>
      <c r="J206" s="717"/>
      <c r="K206" s="1646"/>
      <c r="L206" s="360"/>
      <c r="M206" s="487"/>
      <c r="N206" s="480"/>
      <c r="O206" s="1770"/>
      <c r="P206" s="1770"/>
      <c r="AH206" s="1777">
        <v>0</v>
      </c>
    </row>
    <row s="7235" customFormat="1" customHeight="1" ht="1.05">
      <c r="A207" s="1925"/>
      <c r="B207" s="1925"/>
      <c r="C207" s="515" t="s">
        <v>1503</v>
      </c>
      <c r="D207" s="2621"/>
      <c r="E207" s="2363"/>
      <c r="F207" s="2542"/>
      <c r="G207" s="546"/>
      <c r="H207" s="1646"/>
      <c r="I207" s="797"/>
      <c r="J207" s="717"/>
      <c r="K207" s="1646"/>
      <c r="L207" s="360"/>
      <c r="M207" s="487"/>
      <c r="N207" s="480"/>
      <c r="O207" s="1770"/>
      <c r="P207" s="1770"/>
      <c r="AH207" s="1777">
        <v>1</v>
      </c>
    </row>
    <row customHeight="1" ht="27.299999999999997">
      <c r="A208" s="1925"/>
      <c r="B208" s="1925"/>
      <c r="D208" s="522"/>
      <c r="E208" s="293" t="s">
        <v>122</v>
      </c>
      <c r="F208" s="261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19"/>
      <c r="H208" s="2619"/>
      <c r="I208" s="2619"/>
      <c r="J208" s="2619"/>
      <c r="K208" s="2619"/>
      <c r="L208" s="2619"/>
      <c r="M208" s="443"/>
      <c r="N208" s="480"/>
      <c r="AH208" s="520">
        <v>26</v>
      </c>
    </row>
    <row s="7235" customFormat="1" customHeight="1" ht="60.75" hidden="1">
      <c r="A209" s="1925" t="s">
        <v>179</v>
      </c>
      <c r="B209" s="1925" t="s">
        <v>180</v>
      </c>
      <c r="C209" s="515"/>
      <c r="D209" s="2621"/>
      <c r="E209" s="2363"/>
      <c r="F209" s="254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86" t="str">
        <f>INDEX(PT_DIFFERENTIATION_NTAR,MATCH(B209,PT_DIFFERENTIATION_NTAR_ID,0))</f>
        <v/>
      </c>
      <c r="H209" s="2005"/>
      <c r="I209" s="1884"/>
      <c r="J209" s="1918"/>
      <c r="K209" s="1923"/>
      <c r="L209" s="2005" t="s">
        <v>328</v>
      </c>
      <c r="M209" s="232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480"/>
      <c r="O209" s="1770"/>
      <c r="P209" s="1770"/>
      <c r="AH209" s="1777">
        <v>0</v>
      </c>
    </row>
    <row s="7235" customFormat="1" customHeight="1" ht="18.75" hidden="1">
      <c r="A210" s="1925"/>
      <c r="B210" s="1925"/>
      <c r="C210" s="515" t="s">
        <v>1496</v>
      </c>
      <c r="D210" s="2621"/>
      <c r="E210" s="2363"/>
      <c r="F210" s="2542"/>
      <c r="G210" s="2586"/>
      <c r="H210" s="1646"/>
      <c r="I210" s="797" t="s">
        <v>1495</v>
      </c>
      <c r="J210" s="717"/>
      <c r="K210" s="1646"/>
      <c r="L210" s="360"/>
      <c r="M210" s="2329"/>
      <c r="N210" s="480"/>
      <c r="O210" s="1770"/>
      <c r="P210" s="1770"/>
      <c r="AH210" s="1777">
        <v>0</v>
      </c>
    </row>
    <row s="7235" customFormat="1" customHeight="1" ht="0.75" hidden="1">
      <c r="A211" s="1925"/>
      <c r="B211" s="1925"/>
      <c r="C211" s="515" t="s">
        <v>1503</v>
      </c>
      <c r="D211" s="2621"/>
      <c r="E211" s="2363"/>
      <c r="F211" s="2542"/>
      <c r="G211" s="546"/>
      <c r="H211" s="1646"/>
      <c r="I211" s="797"/>
      <c r="J211" s="717"/>
      <c r="K211" s="1646"/>
      <c r="L211" s="360"/>
      <c r="M211" s="2329"/>
      <c r="N211" s="480"/>
      <c r="O211" s="1770"/>
      <c r="P211" s="1770"/>
      <c r="AH211" s="1777">
        <v>0</v>
      </c>
    </row>
    <row s="7235" customFormat="1" customHeight="1" ht="45" hidden="1">
      <c r="A212" s="1925" t="s">
        <v>184</v>
      </c>
      <c r="B212" s="1925" t="s">
        <v>185</v>
      </c>
      <c r="C212" s="515"/>
      <c r="D212" s="2621"/>
      <c r="E212" s="2363"/>
      <c r="F212" s="2542" t="str">
        <f>INDEX(PT_DIFFERENTIATION_VTAR,MATCH(A212,PT_DIFFERENTIATION_VTAR_ID,0))</f>
        <v/>
      </c>
      <c r="G212" s="2586" t="str">
        <f>INDEX(PT_DIFFERENTIATION_NTAR,MATCH(B212,PT_DIFFERENTIATION_NTAR_ID,0))</f>
        <v/>
      </c>
      <c r="H212" s="2005"/>
      <c r="I212" s="1884"/>
      <c r="J212" s="1918"/>
      <c r="K212" s="1923"/>
      <c r="L212" s="2005" t="s">
        <v>328</v>
      </c>
      <c r="M212" s="2330"/>
      <c r="N212" s="480"/>
      <c r="O212" s="1770"/>
      <c r="P212" s="1770"/>
      <c r="AH212" s="1777">
        <v>0</v>
      </c>
    </row>
    <row s="7235" customFormat="1" customHeight="1" ht="18.75" hidden="1">
      <c r="A213" s="1925"/>
      <c r="B213" s="1925"/>
      <c r="C213" s="515" t="s">
        <v>1496</v>
      </c>
      <c r="D213" s="2621"/>
      <c r="E213" s="2363"/>
      <c r="F213" s="2542"/>
      <c r="G213" s="2586"/>
      <c r="H213" s="1646"/>
      <c r="I213" s="797" t="s">
        <v>1495</v>
      </c>
      <c r="J213" s="717"/>
      <c r="K213" s="1646"/>
      <c r="L213" s="360"/>
      <c r="M213" s="2004"/>
      <c r="N213" s="480"/>
      <c r="O213" s="1770"/>
      <c r="P213" s="1770"/>
      <c r="AH213" s="1777">
        <v>0</v>
      </c>
    </row>
    <row s="7235" customFormat="1" customHeight="1" ht="0.75" hidden="1">
      <c r="A214" s="1925"/>
      <c r="B214" s="1925"/>
      <c r="C214" s="515" t="s">
        <v>1503</v>
      </c>
      <c r="D214" s="2621"/>
      <c r="E214" s="2363"/>
      <c r="F214" s="2542"/>
      <c r="G214" s="546"/>
      <c r="H214" s="1646"/>
      <c r="I214" s="797"/>
      <c r="J214" s="717"/>
      <c r="K214" s="1646"/>
      <c r="L214" s="360"/>
      <c r="M214" s="487"/>
      <c r="N214" s="480"/>
      <c r="O214" s="1770"/>
      <c r="P214" s="1770"/>
      <c r="AH214" s="1777">
        <v>0</v>
      </c>
    </row>
    <row s="7235" customFormat="1" customHeight="1" ht="45" hidden="1">
      <c r="A215" s="1925" t="s">
        <v>191</v>
      </c>
      <c r="B215" s="1925" t="s">
        <v>192</v>
      </c>
      <c r="C215" s="515"/>
      <c r="D215" s="2621"/>
      <c r="E215" s="2363"/>
      <c r="F215" s="254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86" t="str">
        <f>INDEX(PT_DIFFERENTIATION_NTAR,MATCH(B215,PT_DIFFERENTIATION_NTAR_ID,0))</f>
        <v/>
      </c>
      <c r="H215" s="2005"/>
      <c r="I215" s="1884"/>
      <c r="J215" s="1918"/>
      <c r="K215" s="1923"/>
      <c r="L215" s="2005" t="s">
        <v>328</v>
      </c>
      <c r="M215" s="487"/>
      <c r="N215" s="480"/>
      <c r="O215" s="1770"/>
      <c r="P215" s="1770"/>
      <c r="AH215" s="1777">
        <v>0</v>
      </c>
    </row>
    <row s="7235" customFormat="1" customHeight="1" ht="18.75" hidden="1">
      <c r="A216" s="1925"/>
      <c r="B216" s="1925"/>
      <c r="C216" s="515" t="s">
        <v>1496</v>
      </c>
      <c r="D216" s="2621"/>
      <c r="E216" s="2363"/>
      <c r="F216" s="2542"/>
      <c r="G216" s="2586"/>
      <c r="H216" s="1646"/>
      <c r="I216" s="797" t="s">
        <v>1495</v>
      </c>
      <c r="J216" s="717"/>
      <c r="K216" s="1646"/>
      <c r="L216" s="360"/>
      <c r="M216" s="487"/>
      <c r="N216" s="480"/>
      <c r="O216" s="1770"/>
      <c r="P216" s="1770"/>
      <c r="AH216" s="1777">
        <v>0</v>
      </c>
    </row>
    <row s="7235" customFormat="1" customHeight="1" ht="0.75" hidden="1">
      <c r="A217" s="1925"/>
      <c r="B217" s="1925"/>
      <c r="C217" s="515" t="s">
        <v>1503</v>
      </c>
      <c r="D217" s="2621"/>
      <c r="E217" s="2363"/>
      <c r="F217" s="2542"/>
      <c r="G217" s="546"/>
      <c r="H217" s="1646"/>
      <c r="I217" s="797"/>
      <c r="J217" s="717"/>
      <c r="K217" s="1646"/>
      <c r="L217" s="360"/>
      <c r="M217" s="487"/>
      <c r="N217" s="480"/>
      <c r="O217" s="1770"/>
      <c r="P217" s="1770"/>
      <c r="AH217" s="1777">
        <v>0</v>
      </c>
    </row>
    <row s="7235" customFormat="1" customHeight="1" ht="45" hidden="1">
      <c r="A218" s="1925" t="s">
        <v>197</v>
      </c>
      <c r="B218" s="1925" t="s">
        <v>198</v>
      </c>
      <c r="C218" s="515"/>
      <c r="D218" s="2621"/>
      <c r="E218" s="2363"/>
      <c r="F218" s="254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86" t="str">
        <f>INDEX(PT_DIFFERENTIATION_NTAR,MATCH(B218,PT_DIFFERENTIATION_NTAR_ID,0))</f>
        <v/>
      </c>
      <c r="H218" s="2005"/>
      <c r="I218" s="1884"/>
      <c r="J218" s="1918"/>
      <c r="K218" s="1923"/>
      <c r="L218" s="2005" t="s">
        <v>328</v>
      </c>
      <c r="M218" s="487"/>
      <c r="N218" s="480"/>
      <c r="O218" s="1770"/>
      <c r="P218" s="1770"/>
      <c r="AH218" s="1777">
        <v>0</v>
      </c>
    </row>
    <row s="7235" customFormat="1" customHeight="1" ht="18.75" hidden="1">
      <c r="A219" s="1925"/>
      <c r="B219" s="1925"/>
      <c r="C219" s="515" t="s">
        <v>1496</v>
      </c>
      <c r="D219" s="2621"/>
      <c r="E219" s="2363"/>
      <c r="F219" s="2542"/>
      <c r="G219" s="2586"/>
      <c r="H219" s="1646"/>
      <c r="I219" s="797" t="s">
        <v>1495</v>
      </c>
      <c r="J219" s="717"/>
      <c r="K219" s="1646"/>
      <c r="L219" s="360"/>
      <c r="M219" s="487"/>
      <c r="N219" s="480"/>
      <c r="O219" s="1770"/>
      <c r="P219" s="1770"/>
      <c r="AH219" s="1777">
        <v>0</v>
      </c>
    </row>
    <row s="7235" customFormat="1" customHeight="1" ht="0.75" hidden="1">
      <c r="A220" s="1925"/>
      <c r="B220" s="1925"/>
      <c r="C220" s="515" t="s">
        <v>1503</v>
      </c>
      <c r="D220" s="2621"/>
      <c r="E220" s="2363"/>
      <c r="F220" s="2542"/>
      <c r="G220" s="546"/>
      <c r="H220" s="1646"/>
      <c r="I220" s="797"/>
      <c r="J220" s="717"/>
      <c r="K220" s="1646"/>
      <c r="L220" s="360"/>
      <c r="M220" s="487"/>
      <c r="N220" s="480"/>
      <c r="O220" s="1770"/>
      <c r="P220" s="1770"/>
      <c r="AH220" s="1777">
        <v>0</v>
      </c>
    </row>
    <row s="7235" customFormat="1" customHeight="1" ht="18.75" hidden="1">
      <c r="A221" s="1925" t="s">
        <v>203</v>
      </c>
      <c r="B221" s="1925" t="s">
        <v>204</v>
      </c>
      <c r="C221" s="515"/>
      <c r="D221" s="2621"/>
      <c r="E221" s="2363"/>
      <c r="F221" s="2542" t="str">
        <f>INDEX(PT_DIFFERENTIATION_VTAR,MATCH(A221,PT_DIFFERENTIATION_VTAR_ID,0))</f>
        <v>Тарифы на услуги по передаче тепловой энергии</v>
      </c>
      <c r="G221" s="2586" t="str">
        <f>INDEX(PT_DIFFERENTIATION_NTAR,MATCH(B221,PT_DIFFERENTIATION_NTAR_ID,0))</f>
        <v/>
      </c>
      <c r="H221" s="2005"/>
      <c r="I221" s="1884"/>
      <c r="J221" s="1918"/>
      <c r="K221" s="1923"/>
      <c r="L221" s="2005" t="s">
        <v>328</v>
      </c>
      <c r="M221" s="487"/>
      <c r="N221" s="480"/>
      <c r="O221" s="1770"/>
      <c r="P221" s="1770"/>
      <c r="AH221" s="1777">
        <v>0</v>
      </c>
    </row>
    <row s="7235" customFormat="1" customHeight="1" ht="18.75" hidden="1">
      <c r="A222" s="1925"/>
      <c r="B222" s="1925"/>
      <c r="C222" s="515" t="s">
        <v>1496</v>
      </c>
      <c r="D222" s="2621"/>
      <c r="E222" s="2363"/>
      <c r="F222" s="2542"/>
      <c r="G222" s="2586"/>
      <c r="H222" s="1646"/>
      <c r="I222" s="797" t="s">
        <v>1495</v>
      </c>
      <c r="J222" s="717"/>
      <c r="K222" s="1646"/>
      <c r="L222" s="360"/>
      <c r="M222" s="487"/>
      <c r="N222" s="480"/>
      <c r="O222" s="1770"/>
      <c r="P222" s="1770"/>
      <c r="AH222" s="1777">
        <v>0</v>
      </c>
    </row>
    <row s="7235" customFormat="1" customHeight="1" ht="0.75" hidden="1">
      <c r="A223" s="1925"/>
      <c r="B223" s="1925"/>
      <c r="C223" s="515" t="s">
        <v>1503</v>
      </c>
      <c r="D223" s="2621"/>
      <c r="E223" s="2363"/>
      <c r="F223" s="2542"/>
      <c r="G223" s="546"/>
      <c r="H223" s="1646"/>
      <c r="I223" s="797"/>
      <c r="J223" s="717"/>
      <c r="K223" s="1646"/>
      <c r="L223" s="360"/>
      <c r="M223" s="487"/>
      <c r="N223" s="480"/>
      <c r="O223" s="1770"/>
      <c r="P223" s="1770"/>
      <c r="AH223" s="1777">
        <v>0</v>
      </c>
    </row>
    <row s="7235" customFormat="1" customHeight="1" ht="18.75" hidden="1">
      <c r="A224" s="1925" t="s">
        <v>209</v>
      </c>
      <c r="B224" s="1925" t="s">
        <v>210</v>
      </c>
      <c r="C224" s="515"/>
      <c r="D224" s="2621"/>
      <c r="E224" s="2363"/>
      <c r="F224" s="2542" t="str">
        <f>INDEX(PT_DIFFERENTIATION_VTAR,MATCH(A224,PT_DIFFERENTIATION_VTAR_ID,0))</f>
        <v>Тарифы на услуги по передаче теплоносителя</v>
      </c>
      <c r="G224" s="2586" t="str">
        <f>INDEX(PT_DIFFERENTIATION_NTAR,MATCH(B224,PT_DIFFERENTIATION_NTAR_ID,0))</f>
        <v/>
      </c>
      <c r="H224" s="2005"/>
      <c r="I224" s="1884"/>
      <c r="J224" s="1918"/>
      <c r="K224" s="1923"/>
      <c r="L224" s="2005" t="s">
        <v>328</v>
      </c>
      <c r="M224" s="487"/>
      <c r="N224" s="480"/>
      <c r="O224" s="1770"/>
      <c r="P224" s="1770"/>
      <c r="AH224" s="1777">
        <v>0</v>
      </c>
    </row>
    <row s="7235" customFormat="1" customHeight="1" ht="18.75" hidden="1">
      <c r="A225" s="1925"/>
      <c r="B225" s="1925"/>
      <c r="C225" s="515" t="s">
        <v>1496</v>
      </c>
      <c r="D225" s="2621"/>
      <c r="E225" s="2363"/>
      <c r="F225" s="2542"/>
      <c r="G225" s="2586"/>
      <c r="H225" s="1646"/>
      <c r="I225" s="797" t="s">
        <v>1495</v>
      </c>
      <c r="J225" s="717"/>
      <c r="K225" s="1646"/>
      <c r="L225" s="360"/>
      <c r="M225" s="487"/>
      <c r="N225" s="480"/>
      <c r="O225" s="1770"/>
      <c r="P225" s="1770"/>
      <c r="AH225" s="1777">
        <v>0</v>
      </c>
    </row>
    <row s="7235" customFormat="1" customHeight="1" ht="0.75" hidden="1">
      <c r="A226" s="1925"/>
      <c r="B226" s="1925"/>
      <c r="C226" s="515" t="s">
        <v>1503</v>
      </c>
      <c r="D226" s="2621"/>
      <c r="E226" s="2363"/>
      <c r="F226" s="2542"/>
      <c r="G226" s="546"/>
      <c r="H226" s="1646"/>
      <c r="I226" s="797"/>
      <c r="J226" s="717"/>
      <c r="K226" s="1646"/>
      <c r="L226" s="360"/>
      <c r="M226" s="487"/>
      <c r="N226" s="480"/>
      <c r="O226" s="1770"/>
      <c r="P226" s="1770"/>
      <c r="AH226" s="1777">
        <v>0</v>
      </c>
    </row>
    <row s="7235" customFormat="1" customHeight="1" ht="18.75" hidden="1">
      <c r="A227" s="1925" t="s">
        <v>215</v>
      </c>
      <c r="B227" s="1925" t="s">
        <v>216</v>
      </c>
      <c r="C227" s="515"/>
      <c r="D227" s="2621"/>
      <c r="E227" s="2363"/>
      <c r="F227" s="254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86" t="str">
        <f>INDEX(PT_DIFFERENTIATION_NTAR,MATCH(B227,PT_DIFFERENTIATION_NTAR_ID,0))</f>
        <v/>
      </c>
      <c r="H227" s="2005"/>
      <c r="I227" s="1884"/>
      <c r="J227" s="1918"/>
      <c r="K227" s="1923"/>
      <c r="L227" s="2005" t="s">
        <v>328</v>
      </c>
      <c r="M227" s="487"/>
      <c r="N227" s="480"/>
      <c r="O227" s="1770"/>
      <c r="P227" s="1770"/>
      <c r="AH227" s="1777">
        <v>0</v>
      </c>
    </row>
    <row s="7235" customFormat="1" customHeight="1" ht="18.75" hidden="1">
      <c r="A228" s="1925"/>
      <c r="B228" s="1925"/>
      <c r="C228" s="515" t="s">
        <v>1496</v>
      </c>
      <c r="D228" s="2621"/>
      <c r="E228" s="2363"/>
      <c r="F228" s="2542"/>
      <c r="G228" s="2586"/>
      <c r="H228" s="1646"/>
      <c r="I228" s="797" t="s">
        <v>1495</v>
      </c>
      <c r="J228" s="717"/>
      <c r="K228" s="1646"/>
      <c r="L228" s="360"/>
      <c r="M228" s="487"/>
      <c r="N228" s="480"/>
      <c r="O228" s="1770"/>
      <c r="P228" s="1770"/>
      <c r="AH228" s="1777">
        <v>0</v>
      </c>
    </row>
    <row s="7235" customFormat="1" customHeight="1" ht="0.75" hidden="1">
      <c r="A229" s="1925"/>
      <c r="B229" s="1925"/>
      <c r="C229" s="515" t="s">
        <v>1503</v>
      </c>
      <c r="D229" s="2621"/>
      <c r="E229" s="2363"/>
      <c r="F229" s="2542"/>
      <c r="G229" s="546"/>
      <c r="H229" s="1646"/>
      <c r="I229" s="797"/>
      <c r="J229" s="717"/>
      <c r="K229" s="1646"/>
      <c r="L229" s="360"/>
      <c r="M229" s="487"/>
      <c r="N229" s="480"/>
      <c r="O229" s="1770"/>
      <c r="P229" s="1770"/>
      <c r="AH229" s="1777">
        <v>0</v>
      </c>
    </row>
    <row s="7235" customFormat="1" customHeight="1" ht="18.75" hidden="1">
      <c r="A230" s="1925" t="s">
        <v>221</v>
      </c>
      <c r="B230" s="1925" t="s">
        <v>222</v>
      </c>
      <c r="C230" s="515"/>
      <c r="D230" s="2621"/>
      <c r="E230" s="2363"/>
      <c r="F230" s="2542" t="str">
        <f>INDEX(PT_DIFFERENTIATION_VTAR,MATCH(A230,PT_DIFFERENTIATION_VTAR_ID,0))</f>
        <v>Плата за подключение (технологическое присоединение) к системе теплоснабжения</v>
      </c>
      <c r="G230" s="2586" t="str">
        <f>INDEX(PT_DIFFERENTIATION_NTAR,MATCH(B230,PT_DIFFERENTIATION_NTAR_ID,0))</f>
        <v/>
      </c>
      <c r="H230" s="2005"/>
      <c r="I230" s="1884"/>
      <c r="J230" s="1918"/>
      <c r="K230" s="1923"/>
      <c r="L230" s="2005" t="s">
        <v>328</v>
      </c>
      <c r="M230" s="487"/>
      <c r="N230" s="480"/>
      <c r="O230" s="1770"/>
      <c r="P230" s="1770"/>
      <c r="AH230" s="1777">
        <v>0</v>
      </c>
    </row>
    <row s="7235" customFormat="1" customHeight="1" ht="18.75" hidden="1">
      <c r="A231" s="1925"/>
      <c r="B231" s="1925"/>
      <c r="C231" s="515" t="s">
        <v>1496</v>
      </c>
      <c r="D231" s="2621"/>
      <c r="E231" s="2363"/>
      <c r="F231" s="2542"/>
      <c r="G231" s="2586"/>
      <c r="H231" s="1646"/>
      <c r="I231" s="797" t="s">
        <v>1495</v>
      </c>
      <c r="J231" s="717"/>
      <c r="K231" s="1646"/>
      <c r="L231" s="360"/>
      <c r="M231" s="487"/>
      <c r="N231" s="480"/>
      <c r="O231" s="1770"/>
      <c r="P231" s="1770"/>
      <c r="AH231" s="1777">
        <v>0</v>
      </c>
    </row>
    <row s="7235" customFormat="1" customHeight="1" ht="0.75" hidden="1">
      <c r="A232" s="1925"/>
      <c r="B232" s="1925"/>
      <c r="C232" s="515" t="s">
        <v>1503</v>
      </c>
      <c r="D232" s="2621"/>
      <c r="E232" s="2363"/>
      <c r="F232" s="2542"/>
      <c r="G232" s="546"/>
      <c r="H232" s="1646"/>
      <c r="I232" s="797"/>
      <c r="J232" s="717"/>
      <c r="K232" s="1646"/>
      <c r="L232" s="360"/>
      <c r="M232" s="487"/>
      <c r="N232" s="480"/>
      <c r="O232" s="1770"/>
      <c r="P232" s="1770"/>
      <c r="AH232" s="1777">
        <v>0</v>
      </c>
    </row>
    <row s="7235" customFormat="1" customHeight="1" ht="18.75" hidden="1">
      <c r="A233" s="1925" t="s">
        <v>227</v>
      </c>
      <c r="B233" s="1925" t="s">
        <v>228</v>
      </c>
      <c r="C233" s="515"/>
      <c r="D233" s="2621"/>
      <c r="E233" s="2363"/>
      <c r="F233" s="2542" t="str">
        <f>INDEX(PT_DIFFERENTIATION_VTAR,MATCH(A233,PT_DIFFERENTIATION_VTAR_ID,0))</f>
        <v>Плата за подключение (технологическое присоединение) к системе теплоснабжения (индивидуальная)</v>
      </c>
      <c r="G233" s="2586" t="str">
        <f>INDEX(PT_DIFFERENTIATION_NTAR,MATCH(B233,PT_DIFFERENTIATION_NTAR_ID,0))</f>
        <v/>
      </c>
      <c r="H233" s="2132"/>
      <c r="I233" s="1884"/>
      <c r="J233" s="1918"/>
      <c r="K233" s="1923"/>
      <c r="L233" s="2132" t="s">
        <v>328</v>
      </c>
      <c r="M233" s="487"/>
      <c r="N233" s="480"/>
      <c r="O233" s="1770"/>
      <c r="P233" s="1770"/>
      <c r="AH233" s="1777">
        <v>0</v>
      </c>
    </row>
    <row s="7235" customFormat="1" customHeight="1" ht="18.75" hidden="1">
      <c r="A234" s="1925"/>
      <c r="B234" s="1925"/>
      <c r="C234" s="515" t="s">
        <v>1496</v>
      </c>
      <c r="D234" s="2621"/>
      <c r="E234" s="2363"/>
      <c r="F234" s="2542"/>
      <c r="G234" s="2586"/>
      <c r="H234" s="1646"/>
      <c r="I234" s="797" t="s">
        <v>1495</v>
      </c>
      <c r="J234" s="717"/>
      <c r="K234" s="1646"/>
      <c r="L234" s="360"/>
      <c r="M234" s="487"/>
      <c r="N234" s="480"/>
      <c r="O234" s="1770"/>
      <c r="P234" s="1770"/>
      <c r="AH234" s="1777">
        <v>0</v>
      </c>
    </row>
    <row s="7235" customFormat="1" customHeight="1" ht="0.75" hidden="1">
      <c r="A235" s="1925"/>
      <c r="B235" s="1925"/>
      <c r="C235" s="515" t="s">
        <v>1503</v>
      </c>
      <c r="D235" s="2621"/>
      <c r="E235" s="2363"/>
      <c r="F235" s="2542"/>
      <c r="G235" s="546"/>
      <c r="H235" s="1646"/>
      <c r="I235" s="797"/>
      <c r="J235" s="717"/>
      <c r="K235" s="1646"/>
      <c r="L235" s="360"/>
      <c r="M235" s="487"/>
      <c r="N235" s="480"/>
      <c r="O235" s="1770"/>
      <c r="P235" s="1770"/>
      <c r="AH235" s="1777">
        <v>0</v>
      </c>
    </row>
    <row s="7235" customFormat="1" customHeight="1" ht="18.75" hidden="1">
      <c r="A236" s="1925" t="s">
        <v>247</v>
      </c>
      <c r="B236" s="1925" t="s">
        <v>248</v>
      </c>
      <c r="C236" s="515"/>
      <c r="D236" s="2621"/>
      <c r="E236" s="2363"/>
      <c r="F236" s="2542" t="str">
        <f>INDEX(PT_DIFFERENTIATION_VTAR,MATCH(A236,PT_DIFFERENTIATION_VTAR_ID,0))</f>
        <v>Тариф на питьевую воду (питьевое водоснабжение)</v>
      </c>
      <c r="G236" s="2586" t="str">
        <f>INDEX(PT_DIFFERENTIATION_NTAR,MATCH(B236,PT_DIFFERENTIATION_NTAR_ID,0))</f>
        <v/>
      </c>
      <c r="H236" s="2005"/>
      <c r="I236" s="1884"/>
      <c r="J236" s="1918"/>
      <c r="K236" s="1923"/>
      <c r="L236" s="2005" t="s">
        <v>328</v>
      </c>
      <c r="M236" s="487"/>
      <c r="N236" s="480"/>
      <c r="O236" s="1770"/>
      <c r="P236" s="1770"/>
      <c r="AH236" s="1777">
        <v>0</v>
      </c>
    </row>
    <row s="7235" customFormat="1" customHeight="1" ht="18.75" hidden="1">
      <c r="A237" s="1925"/>
      <c r="B237" s="1925"/>
      <c r="C237" s="515" t="s">
        <v>1496</v>
      </c>
      <c r="D237" s="2621"/>
      <c r="E237" s="2363"/>
      <c r="F237" s="2542"/>
      <c r="G237" s="2586"/>
      <c r="H237" s="1646"/>
      <c r="I237" s="797" t="s">
        <v>1495</v>
      </c>
      <c r="J237" s="717"/>
      <c r="K237" s="1646"/>
      <c r="L237" s="360"/>
      <c r="M237" s="487"/>
      <c r="N237" s="480"/>
      <c r="O237" s="1770"/>
      <c r="P237" s="1770"/>
      <c r="AH237" s="1777">
        <v>0</v>
      </c>
    </row>
    <row s="7235" customFormat="1" customHeight="1" ht="0.75" hidden="1">
      <c r="A238" s="1925"/>
      <c r="B238" s="1925"/>
      <c r="C238" s="515" t="s">
        <v>1503</v>
      </c>
      <c r="D238" s="2621"/>
      <c r="E238" s="2363"/>
      <c r="F238" s="2542"/>
      <c r="G238" s="546"/>
      <c r="H238" s="1646"/>
      <c r="I238" s="797"/>
      <c r="J238" s="717"/>
      <c r="K238" s="1646"/>
      <c r="L238" s="360"/>
      <c r="M238" s="487"/>
      <c r="N238" s="480"/>
      <c r="O238" s="1770"/>
      <c r="P238" s="1770"/>
      <c r="AH238" s="1777">
        <v>0</v>
      </c>
    </row>
    <row s="7235" customFormat="1" customHeight="1" ht="18.75" hidden="1">
      <c r="A239" s="1925" t="s">
        <v>252</v>
      </c>
      <c r="B239" s="1925" t="s">
        <v>253</v>
      </c>
      <c r="C239" s="515"/>
      <c r="D239" s="2621"/>
      <c r="E239" s="2363"/>
      <c r="F239" s="2542" t="str">
        <f>INDEX(PT_DIFFERENTIATION_VTAR,MATCH(A239,PT_DIFFERENTIATION_VTAR_ID,0))</f>
        <v>Тариф на техническую воду</v>
      </c>
      <c r="G239" s="2586" t="str">
        <f>INDEX(PT_DIFFERENTIATION_NTAR,MATCH(B239,PT_DIFFERENTIATION_NTAR_ID,0))</f>
        <v/>
      </c>
      <c r="H239" s="2005"/>
      <c r="I239" s="1884"/>
      <c r="J239" s="1918"/>
      <c r="K239" s="1923"/>
      <c r="L239" s="2005" t="s">
        <v>328</v>
      </c>
      <c r="M239" s="487"/>
      <c r="N239" s="480"/>
      <c r="O239" s="1770"/>
      <c r="P239" s="1770"/>
      <c r="AH239" s="1777">
        <v>0</v>
      </c>
    </row>
    <row s="7235" customFormat="1" customHeight="1" ht="18.75" hidden="1">
      <c r="A240" s="1925"/>
      <c r="B240" s="1925"/>
      <c r="C240" s="515" t="s">
        <v>1496</v>
      </c>
      <c r="D240" s="2621"/>
      <c r="E240" s="2363"/>
      <c r="F240" s="2542"/>
      <c r="G240" s="2586"/>
      <c r="H240" s="1646"/>
      <c r="I240" s="797" t="s">
        <v>1495</v>
      </c>
      <c r="J240" s="717"/>
      <c r="K240" s="1646"/>
      <c r="L240" s="360"/>
      <c r="M240" s="487"/>
      <c r="N240" s="480"/>
      <c r="O240" s="1770"/>
      <c r="P240" s="1770"/>
      <c r="AH240" s="1777">
        <v>0</v>
      </c>
    </row>
    <row s="7235" customFormat="1" customHeight="1" ht="0.75" hidden="1">
      <c r="A241" s="1925"/>
      <c r="B241" s="1925"/>
      <c r="C241" s="515" t="s">
        <v>1503</v>
      </c>
      <c r="D241" s="2621"/>
      <c r="E241" s="2363"/>
      <c r="F241" s="2542"/>
      <c r="G241" s="546"/>
      <c r="H241" s="1646"/>
      <c r="I241" s="797"/>
      <c r="J241" s="717"/>
      <c r="K241" s="1646"/>
      <c r="L241" s="360"/>
      <c r="M241" s="487"/>
      <c r="N241" s="480"/>
      <c r="O241" s="1770"/>
      <c r="P241" s="1770"/>
      <c r="AH241" s="1777">
        <v>0</v>
      </c>
    </row>
    <row s="7235" customFormat="1" customHeight="1" ht="18.75" hidden="1">
      <c r="A242" s="1925" t="s">
        <v>257</v>
      </c>
      <c r="B242" s="1925" t="s">
        <v>258</v>
      </c>
      <c r="C242" s="515"/>
      <c r="D242" s="2621"/>
      <c r="E242" s="2363"/>
      <c r="F242" s="2542" t="str">
        <f>INDEX(PT_DIFFERENTIATION_VTAR,MATCH(A242,PT_DIFFERENTIATION_VTAR_ID,0))</f>
        <v>Тариф на транспортировку воды</v>
      </c>
      <c r="G242" s="2586" t="str">
        <f>INDEX(PT_DIFFERENTIATION_NTAR,MATCH(B242,PT_DIFFERENTIATION_NTAR_ID,0))</f>
        <v/>
      </c>
      <c r="H242" s="2005"/>
      <c r="I242" s="1884"/>
      <c r="J242" s="1918"/>
      <c r="K242" s="1923"/>
      <c r="L242" s="2005" t="s">
        <v>328</v>
      </c>
      <c r="M242" s="487"/>
      <c r="N242" s="480"/>
      <c r="O242" s="1770"/>
      <c r="P242" s="1770"/>
      <c r="AH242" s="1777">
        <v>0</v>
      </c>
    </row>
    <row s="7235" customFormat="1" customHeight="1" ht="18.75" hidden="1">
      <c r="A243" s="1925"/>
      <c r="B243" s="1925"/>
      <c r="C243" s="515" t="s">
        <v>1496</v>
      </c>
      <c r="D243" s="2621"/>
      <c r="E243" s="2363"/>
      <c r="F243" s="2542"/>
      <c r="G243" s="2586"/>
      <c r="H243" s="1646"/>
      <c r="I243" s="797" t="s">
        <v>1495</v>
      </c>
      <c r="J243" s="717"/>
      <c r="K243" s="1646"/>
      <c r="L243" s="360"/>
      <c r="M243" s="487"/>
      <c r="N243" s="480"/>
      <c r="O243" s="1770"/>
      <c r="P243" s="1770"/>
      <c r="AH243" s="1777">
        <v>0</v>
      </c>
    </row>
    <row s="7235" customFormat="1" customHeight="1" ht="0.75" hidden="1">
      <c r="A244" s="1925"/>
      <c r="B244" s="1925"/>
      <c r="C244" s="515" t="s">
        <v>1503</v>
      </c>
      <c r="D244" s="2621"/>
      <c r="E244" s="2363"/>
      <c r="F244" s="2542"/>
      <c r="G244" s="546"/>
      <c r="H244" s="1646"/>
      <c r="I244" s="797"/>
      <c r="J244" s="717"/>
      <c r="K244" s="1646"/>
      <c r="L244" s="360"/>
      <c r="M244" s="487"/>
      <c r="N244" s="480"/>
      <c r="O244" s="1770"/>
      <c r="P244" s="1770"/>
      <c r="AH244" s="1777">
        <v>0</v>
      </c>
    </row>
    <row s="7235" customFormat="1" customHeight="1" ht="18.75" hidden="1">
      <c r="A245" s="1925" t="s">
        <v>262</v>
      </c>
      <c r="B245" s="1925" t="s">
        <v>263</v>
      </c>
      <c r="C245" s="515"/>
      <c r="D245" s="2621"/>
      <c r="E245" s="2363"/>
      <c r="F245" s="2542" t="str">
        <f>INDEX(PT_DIFFERENTIATION_VTAR,MATCH(A245,PT_DIFFERENTIATION_VTAR_ID,0))</f>
        <v>Тариф на подвоз воды</v>
      </c>
      <c r="G245" s="2586" t="str">
        <f>INDEX(PT_DIFFERENTIATION_NTAR,MATCH(B245,PT_DIFFERENTIATION_NTAR_ID,0))</f>
        <v/>
      </c>
      <c r="H245" s="2005"/>
      <c r="I245" s="1884"/>
      <c r="J245" s="1918"/>
      <c r="K245" s="1923"/>
      <c r="L245" s="2005" t="s">
        <v>328</v>
      </c>
      <c r="M245" s="487"/>
      <c r="N245" s="480"/>
      <c r="O245" s="1770"/>
      <c r="P245" s="1770"/>
      <c r="AH245" s="1777">
        <v>0</v>
      </c>
    </row>
    <row s="7235" customFormat="1" customHeight="1" ht="18.75" hidden="1">
      <c r="A246" s="1925"/>
      <c r="B246" s="1925"/>
      <c r="C246" s="515" t="s">
        <v>1496</v>
      </c>
      <c r="D246" s="2621"/>
      <c r="E246" s="2363"/>
      <c r="F246" s="2542"/>
      <c r="G246" s="2586"/>
      <c r="H246" s="1646"/>
      <c r="I246" s="797" t="s">
        <v>1495</v>
      </c>
      <c r="J246" s="717"/>
      <c r="K246" s="1646"/>
      <c r="L246" s="360"/>
      <c r="M246" s="487"/>
      <c r="N246" s="480"/>
      <c r="O246" s="1770"/>
      <c r="P246" s="1770"/>
      <c r="AH246" s="1777">
        <v>0</v>
      </c>
    </row>
    <row s="7235" customFormat="1" customHeight="1" ht="0.75" hidden="1">
      <c r="A247" s="1925"/>
      <c r="B247" s="1925"/>
      <c r="C247" s="515" t="s">
        <v>1503</v>
      </c>
      <c r="D247" s="2621"/>
      <c r="E247" s="2363"/>
      <c r="F247" s="2542"/>
      <c r="G247" s="546"/>
      <c r="H247" s="1646"/>
      <c r="I247" s="797"/>
      <c r="J247" s="717"/>
      <c r="K247" s="1646"/>
      <c r="L247" s="360"/>
      <c r="M247" s="487"/>
      <c r="N247" s="480"/>
      <c r="O247" s="1770"/>
      <c r="P247" s="1770"/>
      <c r="AH247" s="1777">
        <v>0</v>
      </c>
    </row>
    <row s="7235" customFormat="1" customHeight="1" ht="18.75" hidden="1">
      <c r="A248" s="1925" t="s">
        <v>267</v>
      </c>
      <c r="B248" s="1925" t="s">
        <v>268</v>
      </c>
      <c r="C248" s="515"/>
      <c r="D248" s="2621"/>
      <c r="E248" s="2363"/>
      <c r="F248" s="254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86" t="str">
        <f>INDEX(PT_DIFFERENTIATION_NTAR,MATCH(B248,PT_DIFFERENTIATION_NTAR_ID,0))</f>
        <v/>
      </c>
      <c r="H248" s="2005"/>
      <c r="I248" s="1884"/>
      <c r="J248" s="1918"/>
      <c r="K248" s="1923"/>
      <c r="L248" s="2005" t="s">
        <v>328</v>
      </c>
      <c r="M248" s="487"/>
      <c r="N248" s="480"/>
      <c r="O248" s="1770"/>
      <c r="P248" s="1770"/>
      <c r="AH248" s="1777">
        <v>0</v>
      </c>
    </row>
    <row s="7235" customFormat="1" customHeight="1" ht="18.75" hidden="1">
      <c r="A249" s="1925"/>
      <c r="B249" s="1925"/>
      <c r="C249" s="515" t="s">
        <v>1496</v>
      </c>
      <c r="D249" s="2621"/>
      <c r="E249" s="2363"/>
      <c r="F249" s="2542"/>
      <c r="G249" s="2586"/>
      <c r="H249" s="1646"/>
      <c r="I249" s="797" t="s">
        <v>1495</v>
      </c>
      <c r="J249" s="717"/>
      <c r="K249" s="1646"/>
      <c r="L249" s="360"/>
      <c r="M249" s="487"/>
      <c r="N249" s="480"/>
      <c r="O249" s="1770"/>
      <c r="P249" s="1770"/>
      <c r="AH249" s="1777">
        <v>0</v>
      </c>
    </row>
    <row s="7235" customFormat="1" customHeight="1" ht="0.75" hidden="1">
      <c r="A250" s="1925"/>
      <c r="B250" s="1925"/>
      <c r="C250" s="515" t="s">
        <v>1503</v>
      </c>
      <c r="D250" s="2621"/>
      <c r="E250" s="2363"/>
      <c r="F250" s="2542"/>
      <c r="G250" s="546"/>
      <c r="H250" s="1646"/>
      <c r="I250" s="797"/>
      <c r="J250" s="717"/>
      <c r="K250" s="1646"/>
      <c r="L250" s="360"/>
      <c r="M250" s="487"/>
      <c r="N250" s="480"/>
      <c r="O250" s="1770"/>
      <c r="P250" s="1770"/>
      <c r="AH250" s="1777">
        <v>0</v>
      </c>
    </row>
    <row s="7235" customFormat="1" customHeight="1" ht="18.75" hidden="1">
      <c r="A251" s="1925" t="s">
        <v>272</v>
      </c>
      <c r="B251" s="1925" t="s">
        <v>273</v>
      </c>
      <c r="C251" s="515"/>
      <c r="D251" s="2621"/>
      <c r="E251" s="2363"/>
      <c r="F251" s="2542" t="str">
        <f>INDEX(PT_DIFFERENTIATION_VTAR,MATCH(A251,PT_DIFFERENTIATION_VTAR_ID,0))</f>
        <v>Тариф на горячую воду (горячее водоснабжение)</v>
      </c>
      <c r="G251" s="2586" t="str">
        <f>INDEX(PT_DIFFERENTIATION_NTAR,MATCH(B251,PT_DIFFERENTIATION_NTAR_ID,0))</f>
        <v/>
      </c>
      <c r="H251" s="2005"/>
      <c r="I251" s="1884"/>
      <c r="J251" s="1918"/>
      <c r="K251" s="1923"/>
      <c r="L251" s="2005" t="s">
        <v>328</v>
      </c>
      <c r="M251" s="487"/>
      <c r="N251" s="480"/>
      <c r="O251" s="1770"/>
      <c r="P251" s="1770"/>
      <c r="AH251" s="1777">
        <v>0</v>
      </c>
    </row>
    <row s="7235" customFormat="1" customHeight="1" ht="18.75" hidden="1">
      <c r="A252" s="1925"/>
      <c r="B252" s="1925"/>
      <c r="C252" s="515" t="s">
        <v>1496</v>
      </c>
      <c r="D252" s="2621"/>
      <c r="E252" s="2363"/>
      <c r="F252" s="2542"/>
      <c r="G252" s="2586"/>
      <c r="H252" s="1646"/>
      <c r="I252" s="797" t="s">
        <v>1495</v>
      </c>
      <c r="J252" s="717"/>
      <c r="K252" s="1646"/>
      <c r="L252" s="360"/>
      <c r="M252" s="487"/>
      <c r="N252" s="480"/>
      <c r="O252" s="1770"/>
      <c r="P252" s="1770"/>
      <c r="AH252" s="1777">
        <v>0</v>
      </c>
    </row>
    <row s="7235" customFormat="1" customHeight="1" ht="0.75" hidden="1">
      <c r="A253" s="1925"/>
      <c r="B253" s="1925"/>
      <c r="C253" s="515" t="s">
        <v>1503</v>
      </c>
      <c r="D253" s="2621"/>
      <c r="E253" s="2363"/>
      <c r="F253" s="2542"/>
      <c r="G253" s="546"/>
      <c r="H253" s="1646"/>
      <c r="I253" s="797"/>
      <c r="J253" s="717"/>
      <c r="K253" s="1646"/>
      <c r="L253" s="360"/>
      <c r="M253" s="487"/>
      <c r="N253" s="480"/>
      <c r="O253" s="1770"/>
      <c r="P253" s="1770"/>
      <c r="AH253" s="1777">
        <v>0</v>
      </c>
    </row>
    <row s="7235" customFormat="1" customHeight="1" ht="18.75" hidden="1">
      <c r="A254" s="1925" t="s">
        <v>277</v>
      </c>
      <c r="B254" s="1925" t="s">
        <v>278</v>
      </c>
      <c r="C254" s="515"/>
      <c r="D254" s="2621"/>
      <c r="E254" s="2363"/>
      <c r="F254" s="2542" t="str">
        <f>INDEX(PT_DIFFERENTIATION_VTAR,MATCH(A254,PT_DIFFERENTIATION_VTAR_ID,0))</f>
        <v>Тариф на транспортировку горячей воды</v>
      </c>
      <c r="G254" s="2586" t="str">
        <f>INDEX(PT_DIFFERENTIATION_NTAR,MATCH(B254,PT_DIFFERENTIATION_NTAR_ID,0))</f>
        <v/>
      </c>
      <c r="H254" s="2005"/>
      <c r="I254" s="1884"/>
      <c r="J254" s="1918"/>
      <c r="K254" s="1923"/>
      <c r="L254" s="2005" t="s">
        <v>328</v>
      </c>
      <c r="M254" s="487"/>
      <c r="N254" s="480"/>
      <c r="O254" s="1770"/>
      <c r="P254" s="1770"/>
      <c r="AH254" s="1777">
        <v>0</v>
      </c>
    </row>
    <row s="7235" customFormat="1" customHeight="1" ht="18.75" hidden="1">
      <c r="A255" s="1925"/>
      <c r="B255" s="1925"/>
      <c r="C255" s="515" t="s">
        <v>1496</v>
      </c>
      <c r="D255" s="2621"/>
      <c r="E255" s="2363"/>
      <c r="F255" s="2542"/>
      <c r="G255" s="2586"/>
      <c r="H255" s="1646"/>
      <c r="I255" s="797" t="s">
        <v>1495</v>
      </c>
      <c r="J255" s="717"/>
      <c r="K255" s="1646"/>
      <c r="L255" s="360"/>
      <c r="M255" s="487"/>
      <c r="N255" s="480"/>
      <c r="O255" s="1770"/>
      <c r="P255" s="1770"/>
      <c r="AH255" s="1777">
        <v>0</v>
      </c>
    </row>
    <row s="7235" customFormat="1" customHeight="1" ht="0.75" hidden="1">
      <c r="A256" s="1925"/>
      <c r="B256" s="1925"/>
      <c r="C256" s="515" t="s">
        <v>1503</v>
      </c>
      <c r="D256" s="2621"/>
      <c r="E256" s="2363"/>
      <c r="F256" s="2542"/>
      <c r="G256" s="546"/>
      <c r="H256" s="1646"/>
      <c r="I256" s="797"/>
      <c r="J256" s="717"/>
      <c r="K256" s="1646"/>
      <c r="L256" s="360"/>
      <c r="M256" s="487"/>
      <c r="N256" s="480"/>
      <c r="O256" s="1770"/>
      <c r="P256" s="1770"/>
      <c r="AH256" s="1777">
        <v>0</v>
      </c>
    </row>
    <row s="7235" customFormat="1" customHeight="1" ht="18.75" hidden="1">
      <c r="A257" s="1925" t="s">
        <v>282</v>
      </c>
      <c r="B257" s="1925" t="s">
        <v>283</v>
      </c>
      <c r="C257" s="515"/>
      <c r="D257" s="2621"/>
      <c r="E257" s="2363"/>
      <c r="F257" s="254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86" t="str">
        <f>INDEX(PT_DIFFERENTIATION_NTAR,MATCH(B257,PT_DIFFERENTIATION_NTAR_ID,0))</f>
        <v/>
      </c>
      <c r="H257" s="2005"/>
      <c r="I257" s="1884"/>
      <c r="J257" s="1918"/>
      <c r="K257" s="1923"/>
      <c r="L257" s="2005" t="s">
        <v>328</v>
      </c>
      <c r="M257" s="487"/>
      <c r="N257" s="480"/>
      <c r="O257" s="1770"/>
      <c r="P257" s="1770"/>
      <c r="AH257" s="1777">
        <v>0</v>
      </c>
    </row>
    <row s="7235" customFormat="1" customHeight="1" ht="18.75" hidden="1">
      <c r="A258" s="1925"/>
      <c r="B258" s="1925"/>
      <c r="C258" s="515" t="s">
        <v>1496</v>
      </c>
      <c r="D258" s="2621"/>
      <c r="E258" s="2363"/>
      <c r="F258" s="2542"/>
      <c r="G258" s="2586"/>
      <c r="H258" s="1646"/>
      <c r="I258" s="797" t="s">
        <v>1495</v>
      </c>
      <c r="J258" s="717"/>
      <c r="K258" s="1646"/>
      <c r="L258" s="360"/>
      <c r="M258" s="487"/>
      <c r="N258" s="480"/>
      <c r="O258" s="1770"/>
      <c r="P258" s="1770"/>
      <c r="AH258" s="1777">
        <v>0</v>
      </c>
    </row>
    <row s="7235" customFormat="1" customHeight="1" ht="0.75" hidden="1">
      <c r="A259" s="1925"/>
      <c r="B259" s="1925"/>
      <c r="C259" s="515" t="s">
        <v>1503</v>
      </c>
      <c r="D259" s="2621"/>
      <c r="E259" s="2363"/>
      <c r="F259" s="2542"/>
      <c r="G259" s="546"/>
      <c r="H259" s="1646"/>
      <c r="I259" s="797"/>
      <c r="J259" s="717"/>
      <c r="K259" s="1646"/>
      <c r="L259" s="360"/>
      <c r="M259" s="487"/>
      <c r="N259" s="480"/>
      <c r="O259" s="1770"/>
      <c r="P259" s="1770"/>
      <c r="AH259" s="1777">
        <v>0</v>
      </c>
    </row>
    <row s="7235" customFormat="1" customHeight="1" ht="18.75" hidden="1">
      <c r="A260" s="1925" t="s">
        <v>287</v>
      </c>
      <c r="B260" s="1925" t="s">
        <v>288</v>
      </c>
      <c r="C260" s="515"/>
      <c r="D260" s="2621"/>
      <c r="E260" s="2363"/>
      <c r="F260" s="2542" t="str">
        <f>INDEX(PT_DIFFERENTIATION_VTAR,MATCH(A260,PT_DIFFERENTIATION_VTAR_ID,0))</f>
        <v>Тариф на водоотведение</v>
      </c>
      <c r="G260" s="2586" t="str">
        <f>INDEX(PT_DIFFERENTIATION_NTAR,MATCH(B260,PT_DIFFERENTIATION_NTAR_ID,0))</f>
        <v/>
      </c>
      <c r="H260" s="2005"/>
      <c r="I260" s="1884"/>
      <c r="J260" s="1918"/>
      <c r="K260" s="1923"/>
      <c r="L260" s="2005" t="s">
        <v>328</v>
      </c>
      <c r="M260" s="487"/>
      <c r="N260" s="480"/>
      <c r="O260" s="1770"/>
      <c r="P260" s="1770"/>
      <c r="AH260" s="1777">
        <v>0</v>
      </c>
    </row>
    <row s="7235" customFormat="1" customHeight="1" ht="18.75" hidden="1">
      <c r="A261" s="1925"/>
      <c r="B261" s="1925"/>
      <c r="C261" s="515" t="s">
        <v>1496</v>
      </c>
      <c r="D261" s="2621"/>
      <c r="E261" s="2363"/>
      <c r="F261" s="2542"/>
      <c r="G261" s="2586"/>
      <c r="H261" s="1646"/>
      <c r="I261" s="797" t="s">
        <v>1495</v>
      </c>
      <c r="J261" s="717"/>
      <c r="K261" s="1646"/>
      <c r="L261" s="360"/>
      <c r="M261" s="487"/>
      <c r="N261" s="480"/>
      <c r="O261" s="1770"/>
      <c r="P261" s="1770"/>
      <c r="AH261" s="1777">
        <v>0</v>
      </c>
    </row>
    <row s="7235" customFormat="1" customHeight="1" ht="0.75" hidden="1">
      <c r="A262" s="1925"/>
      <c r="B262" s="1925"/>
      <c r="C262" s="515" t="s">
        <v>1503</v>
      </c>
      <c r="D262" s="2621"/>
      <c r="E262" s="2363"/>
      <c r="F262" s="2542"/>
      <c r="G262" s="546"/>
      <c r="H262" s="1646"/>
      <c r="I262" s="797"/>
      <c r="J262" s="717"/>
      <c r="K262" s="1646"/>
      <c r="L262" s="360"/>
      <c r="M262" s="487"/>
      <c r="N262" s="480"/>
      <c r="O262" s="1770"/>
      <c r="P262" s="1770"/>
      <c r="AH262" s="1777">
        <v>0</v>
      </c>
    </row>
    <row s="7235" customFormat="1" customHeight="1" ht="18.75" hidden="1">
      <c r="A263" s="1925" t="s">
        <v>292</v>
      </c>
      <c r="B263" s="1925" t="s">
        <v>293</v>
      </c>
      <c r="C263" s="515"/>
      <c r="D263" s="2621"/>
      <c r="E263" s="2363"/>
      <c r="F263" s="2542" t="str">
        <f>INDEX(PT_DIFFERENTIATION_VTAR,MATCH(A263,PT_DIFFERENTIATION_VTAR_ID,0))</f>
        <v>Тариф на транспортировку сточных вод</v>
      </c>
      <c r="G263" s="2586" t="str">
        <f>INDEX(PT_DIFFERENTIATION_NTAR,MATCH(B263,PT_DIFFERENTIATION_NTAR_ID,0))</f>
        <v/>
      </c>
      <c r="H263" s="2005"/>
      <c r="I263" s="1884"/>
      <c r="J263" s="1918"/>
      <c r="K263" s="1923"/>
      <c r="L263" s="2005" t="s">
        <v>328</v>
      </c>
      <c r="M263" s="487"/>
      <c r="N263" s="480"/>
      <c r="O263" s="1770"/>
      <c r="P263" s="1770"/>
      <c r="AH263" s="1777">
        <v>0</v>
      </c>
    </row>
    <row s="7235" customFormat="1" customHeight="1" ht="18.75" hidden="1">
      <c r="A264" s="1925"/>
      <c r="B264" s="1925"/>
      <c r="C264" s="515" t="s">
        <v>1496</v>
      </c>
      <c r="D264" s="2621"/>
      <c r="E264" s="2363"/>
      <c r="F264" s="2542"/>
      <c r="G264" s="2586"/>
      <c r="H264" s="1646"/>
      <c r="I264" s="797" t="s">
        <v>1495</v>
      </c>
      <c r="J264" s="717"/>
      <c r="K264" s="1646"/>
      <c r="L264" s="360"/>
      <c r="M264" s="487"/>
      <c r="N264" s="480"/>
      <c r="O264" s="1770"/>
      <c r="P264" s="1770"/>
      <c r="AH264" s="1777">
        <v>0</v>
      </c>
    </row>
    <row s="7235" customFormat="1" customHeight="1" ht="0.75" hidden="1">
      <c r="A265" s="1925"/>
      <c r="B265" s="1925"/>
      <c r="C265" s="515" t="s">
        <v>1503</v>
      </c>
      <c r="D265" s="2621"/>
      <c r="E265" s="2363"/>
      <c r="F265" s="2542"/>
      <c r="G265" s="546"/>
      <c r="H265" s="1646"/>
      <c r="I265" s="797"/>
      <c r="J265" s="717"/>
      <c r="K265" s="1646"/>
      <c r="L265" s="360"/>
      <c r="M265" s="487"/>
      <c r="N265" s="480"/>
      <c r="O265" s="1770"/>
      <c r="P265" s="1770"/>
      <c r="AH265" s="1777">
        <v>0</v>
      </c>
    </row>
    <row s="7235" customFormat="1" customHeight="1" ht="18.75" hidden="1">
      <c r="A266" s="1925" t="s">
        <v>297</v>
      </c>
      <c r="B266" s="1925" t="s">
        <v>298</v>
      </c>
      <c r="C266" s="515"/>
      <c r="D266" s="2621"/>
      <c r="E266" s="2363"/>
      <c r="F266" s="2542" t="str">
        <f>INDEX(PT_DIFFERENTIATION_VTAR,MATCH(A266,PT_DIFFERENTIATION_VTAR_ID,0))</f>
        <v>Тариф на подключение (технологическое присоединение) к централизованной системе водоотведения</v>
      </c>
      <c r="G266" s="2586" t="str">
        <f>INDEX(PT_DIFFERENTIATION_NTAR,MATCH(B266,PT_DIFFERENTIATION_NTAR_ID,0))</f>
        <v/>
      </c>
      <c r="H266" s="2005"/>
      <c r="I266" s="1884"/>
      <c r="J266" s="1918"/>
      <c r="K266" s="1923"/>
      <c r="L266" s="2005" t="s">
        <v>328</v>
      </c>
      <c r="M266" s="487"/>
      <c r="N266" s="480"/>
      <c r="O266" s="1770"/>
      <c r="P266" s="1770"/>
      <c r="AH266" s="1777">
        <v>0</v>
      </c>
    </row>
    <row s="7235" customFormat="1" customHeight="1" ht="18.75" hidden="1">
      <c r="A267" s="1925"/>
      <c r="B267" s="1925"/>
      <c r="C267" s="515" t="s">
        <v>1496</v>
      </c>
      <c r="D267" s="2621"/>
      <c r="E267" s="2363"/>
      <c r="F267" s="2542"/>
      <c r="G267" s="2586"/>
      <c r="H267" s="1646"/>
      <c r="I267" s="797" t="s">
        <v>1495</v>
      </c>
      <c r="J267" s="717"/>
      <c r="K267" s="1646"/>
      <c r="L267" s="360"/>
      <c r="M267" s="487"/>
      <c r="N267" s="480"/>
      <c r="O267" s="1770"/>
      <c r="P267" s="1770"/>
      <c r="AH267" s="1777">
        <v>0</v>
      </c>
    </row>
    <row s="7235" customFormat="1" customHeight="1" ht="1.05">
      <c r="A268" s="1925"/>
      <c r="B268" s="1925"/>
      <c r="C268" s="515" t="s">
        <v>1503</v>
      </c>
      <c r="D268" s="2621"/>
      <c r="E268" s="2363"/>
      <c r="F268" s="2542"/>
      <c r="G268" s="546"/>
      <c r="H268" s="1646"/>
      <c r="I268" s="797"/>
      <c r="J268" s="717"/>
      <c r="K268" s="1646"/>
      <c r="L268" s="360"/>
      <c r="M268" s="487"/>
      <c r="N268" s="480"/>
      <c r="O268" s="1770"/>
      <c r="P268" s="1770"/>
      <c r="AH268" s="1777">
        <v>1</v>
      </c>
    </row>
    <row customHeight="1" ht="27.299999999999997">
      <c r="A269" s="1925"/>
      <c r="B269" s="1925"/>
      <c r="D269" s="522"/>
      <c r="E269" s="293" t="s">
        <v>93</v>
      </c>
      <c r="F269" s="261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19"/>
      <c r="H269" s="2619"/>
      <c r="I269" s="2619"/>
      <c r="J269" s="2619"/>
      <c r="K269" s="2619"/>
      <c r="L269" s="2619"/>
      <c r="M269" s="443"/>
      <c r="N269" s="480"/>
      <c r="AH269" s="520">
        <v>26</v>
      </c>
    </row>
    <row s="7235" customFormat="1" customHeight="1" ht="60.75" hidden="1">
      <c r="A270" s="1925" t="s">
        <v>179</v>
      </c>
      <c r="B270" s="1925" t="s">
        <v>180</v>
      </c>
      <c r="C270" s="515"/>
      <c r="D270" s="2621"/>
      <c r="E270" s="2363"/>
      <c r="F270" s="254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86" t="str">
        <f>INDEX(PT_DIFFERENTIATION_NTAR,MATCH(B270,PT_DIFFERENTIATION_NTAR_ID,0))</f>
        <v/>
      </c>
      <c r="H270" s="2005"/>
      <c r="I270" s="1884"/>
      <c r="J270" s="1918"/>
      <c r="K270" s="1923"/>
      <c r="L270" s="2005" t="s">
        <v>328</v>
      </c>
      <c r="M270" s="232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480"/>
      <c r="O270" s="1770"/>
      <c r="P270" s="1770"/>
      <c r="AH270" s="1777">
        <v>0</v>
      </c>
    </row>
    <row s="7235" customFormat="1" customHeight="1" ht="18.75" hidden="1">
      <c r="A271" s="1925"/>
      <c r="B271" s="1925"/>
      <c r="C271" s="515" t="s">
        <v>1496</v>
      </c>
      <c r="D271" s="2621"/>
      <c r="E271" s="2363"/>
      <c r="F271" s="2542"/>
      <c r="G271" s="2586"/>
      <c r="H271" s="1646"/>
      <c r="I271" s="797" t="s">
        <v>1495</v>
      </c>
      <c r="J271" s="717"/>
      <c r="K271" s="1646"/>
      <c r="L271" s="360"/>
      <c r="M271" s="2329"/>
      <c r="N271" s="480"/>
      <c r="O271" s="1770"/>
      <c r="P271" s="1770"/>
      <c r="AH271" s="1777">
        <v>0</v>
      </c>
    </row>
    <row s="7235" customFormat="1" customHeight="1" ht="0.75" hidden="1">
      <c r="A272" s="1925"/>
      <c r="B272" s="1925"/>
      <c r="C272" s="515" t="s">
        <v>1503</v>
      </c>
      <c r="D272" s="2621"/>
      <c r="E272" s="2363"/>
      <c r="F272" s="2542"/>
      <c r="G272" s="546"/>
      <c r="H272" s="1646"/>
      <c r="I272" s="797"/>
      <c r="J272" s="717"/>
      <c r="K272" s="1646"/>
      <c r="L272" s="360"/>
      <c r="M272" s="2329"/>
      <c r="N272" s="480"/>
      <c r="O272" s="1770"/>
      <c r="P272" s="1770"/>
      <c r="AH272" s="1777">
        <v>0</v>
      </c>
    </row>
    <row s="7235" customFormat="1" customHeight="1" ht="45" hidden="1">
      <c r="A273" s="1925" t="s">
        <v>184</v>
      </c>
      <c r="B273" s="1925" t="s">
        <v>185</v>
      </c>
      <c r="C273" s="515"/>
      <c r="D273" s="2621"/>
      <c r="E273" s="2363"/>
      <c r="F273" s="2542" t="str">
        <f>INDEX(PT_DIFFERENTIATION_VTAR,MATCH(A273,PT_DIFFERENTIATION_VTAR_ID,0))</f>
        <v/>
      </c>
      <c r="G273" s="2586" t="str">
        <f>INDEX(PT_DIFFERENTIATION_NTAR,MATCH(B273,PT_DIFFERENTIATION_NTAR_ID,0))</f>
        <v/>
      </c>
      <c r="H273" s="2005"/>
      <c r="I273" s="1884"/>
      <c r="J273" s="1918"/>
      <c r="K273" s="1923"/>
      <c r="L273" s="2005" t="s">
        <v>328</v>
      </c>
      <c r="M273" s="2330"/>
      <c r="N273" s="480"/>
      <c r="O273" s="1770"/>
      <c r="P273" s="1770"/>
      <c r="AH273" s="1777">
        <v>0</v>
      </c>
    </row>
    <row s="7235" customFormat="1" customHeight="1" ht="18.75" hidden="1">
      <c r="A274" s="1925"/>
      <c r="B274" s="1925"/>
      <c r="C274" s="515" t="s">
        <v>1496</v>
      </c>
      <c r="D274" s="2621"/>
      <c r="E274" s="2363"/>
      <c r="F274" s="2542"/>
      <c r="G274" s="2586"/>
      <c r="H274" s="1646"/>
      <c r="I274" s="797" t="s">
        <v>1495</v>
      </c>
      <c r="J274" s="717"/>
      <c r="K274" s="1646"/>
      <c r="L274" s="360"/>
      <c r="M274" s="2004"/>
      <c r="N274" s="480"/>
      <c r="O274" s="1770"/>
      <c r="P274" s="1770"/>
      <c r="AH274" s="1777">
        <v>0</v>
      </c>
    </row>
    <row s="7235" customFormat="1" customHeight="1" ht="0.75" hidden="1">
      <c r="A275" s="1925"/>
      <c r="B275" s="1925"/>
      <c r="C275" s="515" t="s">
        <v>1503</v>
      </c>
      <c r="D275" s="2621"/>
      <c r="E275" s="2363"/>
      <c r="F275" s="2542"/>
      <c r="G275" s="546"/>
      <c r="H275" s="1646"/>
      <c r="I275" s="797"/>
      <c r="J275" s="717"/>
      <c r="K275" s="1646"/>
      <c r="L275" s="360"/>
      <c r="M275" s="487"/>
      <c r="N275" s="480"/>
      <c r="O275" s="1770"/>
      <c r="P275" s="1770"/>
      <c r="AH275" s="1777">
        <v>0</v>
      </c>
    </row>
    <row s="7235" customFormat="1" customHeight="1" ht="45" hidden="1">
      <c r="A276" s="1925" t="s">
        <v>191</v>
      </c>
      <c r="B276" s="1925" t="s">
        <v>192</v>
      </c>
      <c r="C276" s="515"/>
      <c r="D276" s="2621"/>
      <c r="E276" s="2363"/>
      <c r="F276" s="254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86" t="str">
        <f>INDEX(PT_DIFFERENTIATION_NTAR,MATCH(B276,PT_DIFFERENTIATION_NTAR_ID,0))</f>
        <v/>
      </c>
      <c r="H276" s="2005"/>
      <c r="I276" s="1884"/>
      <c r="J276" s="1918"/>
      <c r="K276" s="1923"/>
      <c r="L276" s="2005" t="s">
        <v>328</v>
      </c>
      <c r="M276" s="487"/>
      <c r="N276" s="480"/>
      <c r="O276" s="1770"/>
      <c r="P276" s="1770"/>
      <c r="AH276" s="1777">
        <v>0</v>
      </c>
    </row>
    <row s="7235" customFormat="1" customHeight="1" ht="18.75" hidden="1">
      <c r="A277" s="1925"/>
      <c r="B277" s="1925"/>
      <c r="C277" s="515" t="s">
        <v>1496</v>
      </c>
      <c r="D277" s="2621"/>
      <c r="E277" s="2363"/>
      <c r="F277" s="2542"/>
      <c r="G277" s="2586"/>
      <c r="H277" s="1646"/>
      <c r="I277" s="797" t="s">
        <v>1495</v>
      </c>
      <c r="J277" s="717"/>
      <c r="K277" s="1646"/>
      <c r="L277" s="360"/>
      <c r="M277" s="487"/>
      <c r="N277" s="480"/>
      <c r="O277" s="1770"/>
      <c r="P277" s="1770"/>
      <c r="AH277" s="1777">
        <v>0</v>
      </c>
    </row>
    <row s="7235" customFormat="1" customHeight="1" ht="0.75" hidden="1">
      <c r="A278" s="1925"/>
      <c r="B278" s="1925"/>
      <c r="C278" s="515" t="s">
        <v>1503</v>
      </c>
      <c r="D278" s="2621"/>
      <c r="E278" s="2363"/>
      <c r="F278" s="2542"/>
      <c r="G278" s="546"/>
      <c r="H278" s="1646"/>
      <c r="I278" s="797"/>
      <c r="J278" s="717"/>
      <c r="K278" s="1646"/>
      <c r="L278" s="360"/>
      <c r="M278" s="487"/>
      <c r="N278" s="480"/>
      <c r="O278" s="1770"/>
      <c r="P278" s="1770"/>
      <c r="AH278" s="1777">
        <v>0</v>
      </c>
    </row>
    <row s="7235" customFormat="1" customHeight="1" ht="45" hidden="1">
      <c r="A279" s="1925" t="s">
        <v>197</v>
      </c>
      <c r="B279" s="1925" t="s">
        <v>198</v>
      </c>
      <c r="C279" s="515"/>
      <c r="D279" s="2621"/>
      <c r="E279" s="2363"/>
      <c r="F279" s="254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86" t="str">
        <f>INDEX(PT_DIFFERENTIATION_NTAR,MATCH(B279,PT_DIFFERENTIATION_NTAR_ID,0))</f>
        <v/>
      </c>
      <c r="H279" s="2005"/>
      <c r="I279" s="1884"/>
      <c r="J279" s="1918"/>
      <c r="K279" s="1923"/>
      <c r="L279" s="2005" t="s">
        <v>328</v>
      </c>
      <c r="M279" s="487"/>
      <c r="N279" s="480"/>
      <c r="O279" s="1770"/>
      <c r="P279" s="1770"/>
      <c r="AH279" s="1777">
        <v>0</v>
      </c>
    </row>
    <row s="7235" customFormat="1" customHeight="1" ht="18.75" hidden="1">
      <c r="A280" s="1925"/>
      <c r="B280" s="1925"/>
      <c r="C280" s="515" t="s">
        <v>1496</v>
      </c>
      <c r="D280" s="2621"/>
      <c r="E280" s="2363"/>
      <c r="F280" s="2542"/>
      <c r="G280" s="2586"/>
      <c r="H280" s="1646"/>
      <c r="I280" s="797" t="s">
        <v>1495</v>
      </c>
      <c r="J280" s="717"/>
      <c r="K280" s="1646"/>
      <c r="L280" s="360"/>
      <c r="M280" s="487"/>
      <c r="N280" s="480"/>
      <c r="O280" s="1770"/>
      <c r="P280" s="1770"/>
      <c r="AH280" s="1777">
        <v>0</v>
      </c>
    </row>
    <row s="7235" customFormat="1" customHeight="1" ht="0.75" hidden="1">
      <c r="A281" s="1925"/>
      <c r="B281" s="1925"/>
      <c r="C281" s="515" t="s">
        <v>1503</v>
      </c>
      <c r="D281" s="2621"/>
      <c r="E281" s="2363"/>
      <c r="F281" s="2542"/>
      <c r="G281" s="546"/>
      <c r="H281" s="1646"/>
      <c r="I281" s="797"/>
      <c r="J281" s="717"/>
      <c r="K281" s="1646"/>
      <c r="L281" s="360"/>
      <c r="M281" s="487"/>
      <c r="N281" s="480"/>
      <c r="O281" s="1770"/>
      <c r="P281" s="1770"/>
      <c r="AH281" s="1777">
        <v>0</v>
      </c>
    </row>
    <row s="7235" customFormat="1" customHeight="1" ht="18.75" hidden="1">
      <c r="A282" s="1925" t="s">
        <v>203</v>
      </c>
      <c r="B282" s="1925" t="s">
        <v>204</v>
      </c>
      <c r="C282" s="515"/>
      <c r="D282" s="2621"/>
      <c r="E282" s="2363"/>
      <c r="F282" s="2542" t="str">
        <f>INDEX(PT_DIFFERENTIATION_VTAR,MATCH(A282,PT_DIFFERENTIATION_VTAR_ID,0))</f>
        <v>Тарифы на услуги по передаче тепловой энергии</v>
      </c>
      <c r="G282" s="2586" t="str">
        <f>INDEX(PT_DIFFERENTIATION_NTAR,MATCH(B282,PT_DIFFERENTIATION_NTAR_ID,0))</f>
        <v/>
      </c>
      <c r="H282" s="2005"/>
      <c r="I282" s="1884"/>
      <c r="J282" s="1918"/>
      <c r="K282" s="1923"/>
      <c r="L282" s="2005" t="s">
        <v>328</v>
      </c>
      <c r="M282" s="487"/>
      <c r="N282" s="480"/>
      <c r="O282" s="1770"/>
      <c r="P282" s="1770"/>
      <c r="AH282" s="1777">
        <v>0</v>
      </c>
    </row>
    <row s="7235" customFormat="1" customHeight="1" ht="18.75" hidden="1">
      <c r="A283" s="1925"/>
      <c r="B283" s="1925"/>
      <c r="C283" s="515" t="s">
        <v>1496</v>
      </c>
      <c r="D283" s="2621"/>
      <c r="E283" s="2363"/>
      <c r="F283" s="2542"/>
      <c r="G283" s="2586"/>
      <c r="H283" s="1646"/>
      <c r="I283" s="797" t="s">
        <v>1495</v>
      </c>
      <c r="J283" s="717"/>
      <c r="K283" s="1646"/>
      <c r="L283" s="360"/>
      <c r="M283" s="487"/>
      <c r="N283" s="480"/>
      <c r="O283" s="1770"/>
      <c r="P283" s="1770"/>
      <c r="AH283" s="1777">
        <v>0</v>
      </c>
    </row>
    <row s="7235" customFormat="1" customHeight="1" ht="0.75" hidden="1">
      <c r="A284" s="1925"/>
      <c r="B284" s="1925"/>
      <c r="C284" s="515" t="s">
        <v>1503</v>
      </c>
      <c r="D284" s="2621"/>
      <c r="E284" s="2363"/>
      <c r="F284" s="2542"/>
      <c r="G284" s="546"/>
      <c r="H284" s="1646"/>
      <c r="I284" s="797"/>
      <c r="J284" s="717"/>
      <c r="K284" s="1646"/>
      <c r="L284" s="360"/>
      <c r="M284" s="487"/>
      <c r="N284" s="480"/>
      <c r="O284" s="1770"/>
      <c r="P284" s="1770"/>
      <c r="AH284" s="1777">
        <v>0</v>
      </c>
    </row>
    <row s="7235" customFormat="1" customHeight="1" ht="18.75" hidden="1">
      <c r="A285" s="1925" t="s">
        <v>209</v>
      </c>
      <c r="B285" s="1925" t="s">
        <v>210</v>
      </c>
      <c r="C285" s="515"/>
      <c r="D285" s="2621"/>
      <c r="E285" s="2363"/>
      <c r="F285" s="2542" t="str">
        <f>INDEX(PT_DIFFERENTIATION_VTAR,MATCH(A285,PT_DIFFERENTIATION_VTAR_ID,0))</f>
        <v>Тарифы на услуги по передаче теплоносителя</v>
      </c>
      <c r="G285" s="2586" t="str">
        <f>INDEX(PT_DIFFERENTIATION_NTAR,MATCH(B285,PT_DIFFERENTIATION_NTAR_ID,0))</f>
        <v/>
      </c>
      <c r="H285" s="2005"/>
      <c r="I285" s="1884"/>
      <c r="J285" s="1918"/>
      <c r="K285" s="1923"/>
      <c r="L285" s="2005" t="s">
        <v>328</v>
      </c>
      <c r="M285" s="487"/>
      <c r="N285" s="480"/>
      <c r="O285" s="1770"/>
      <c r="P285" s="1770"/>
      <c r="AH285" s="1777">
        <v>0</v>
      </c>
    </row>
    <row s="7235" customFormat="1" customHeight="1" ht="18.75" hidden="1">
      <c r="A286" s="1925"/>
      <c r="B286" s="1925"/>
      <c r="C286" s="515" t="s">
        <v>1496</v>
      </c>
      <c r="D286" s="2621"/>
      <c r="E286" s="2363"/>
      <c r="F286" s="2542"/>
      <c r="G286" s="2586"/>
      <c r="H286" s="1646"/>
      <c r="I286" s="797" t="s">
        <v>1495</v>
      </c>
      <c r="J286" s="717"/>
      <c r="K286" s="1646"/>
      <c r="L286" s="360"/>
      <c r="M286" s="487"/>
      <c r="N286" s="480"/>
      <c r="O286" s="1770"/>
      <c r="P286" s="1770"/>
      <c r="AH286" s="1777">
        <v>0</v>
      </c>
    </row>
    <row s="7235" customFormat="1" customHeight="1" ht="0.75" hidden="1">
      <c r="A287" s="1925"/>
      <c r="B287" s="1925"/>
      <c r="C287" s="515" t="s">
        <v>1503</v>
      </c>
      <c r="D287" s="2621"/>
      <c r="E287" s="2363"/>
      <c r="F287" s="2542"/>
      <c r="G287" s="546"/>
      <c r="H287" s="1646"/>
      <c r="I287" s="797"/>
      <c r="J287" s="717"/>
      <c r="K287" s="1646"/>
      <c r="L287" s="360"/>
      <c r="M287" s="487"/>
      <c r="N287" s="480"/>
      <c r="O287" s="1770"/>
      <c r="P287" s="1770"/>
      <c r="AH287" s="1777">
        <v>0</v>
      </c>
    </row>
    <row s="7235" customFormat="1" customHeight="1" ht="18.75" hidden="1">
      <c r="A288" s="1925" t="s">
        <v>215</v>
      </c>
      <c r="B288" s="1925" t="s">
        <v>216</v>
      </c>
      <c r="C288" s="515"/>
      <c r="D288" s="2621"/>
      <c r="E288" s="2363"/>
      <c r="F288" s="254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86" t="str">
        <f>INDEX(PT_DIFFERENTIATION_NTAR,MATCH(B288,PT_DIFFERENTIATION_NTAR_ID,0))</f>
        <v/>
      </c>
      <c r="H288" s="2005"/>
      <c r="I288" s="1884"/>
      <c r="J288" s="1918"/>
      <c r="K288" s="1923"/>
      <c r="L288" s="2005" t="s">
        <v>328</v>
      </c>
      <c r="M288" s="487"/>
      <c r="N288" s="480"/>
      <c r="O288" s="1770"/>
      <c r="P288" s="1770"/>
      <c r="AH288" s="1777">
        <v>0</v>
      </c>
    </row>
    <row s="7235" customFormat="1" customHeight="1" ht="18.75" hidden="1">
      <c r="A289" s="1925"/>
      <c r="B289" s="1925"/>
      <c r="C289" s="515" t="s">
        <v>1496</v>
      </c>
      <c r="D289" s="2621"/>
      <c r="E289" s="2363"/>
      <c r="F289" s="2542"/>
      <c r="G289" s="2586"/>
      <c r="H289" s="1646"/>
      <c r="I289" s="797" t="s">
        <v>1495</v>
      </c>
      <c r="J289" s="717"/>
      <c r="K289" s="1646"/>
      <c r="L289" s="360"/>
      <c r="M289" s="487"/>
      <c r="N289" s="480"/>
      <c r="O289" s="1770"/>
      <c r="P289" s="1770"/>
      <c r="AH289" s="1777">
        <v>0</v>
      </c>
    </row>
    <row s="7235" customFormat="1" customHeight="1" ht="0.75" hidden="1">
      <c r="A290" s="1925"/>
      <c r="B290" s="1925"/>
      <c r="C290" s="515" t="s">
        <v>1503</v>
      </c>
      <c r="D290" s="2621"/>
      <c r="E290" s="2363"/>
      <c r="F290" s="2542"/>
      <c r="G290" s="546"/>
      <c r="H290" s="1646"/>
      <c r="I290" s="797"/>
      <c r="J290" s="717"/>
      <c r="K290" s="1646"/>
      <c r="L290" s="360"/>
      <c r="M290" s="487"/>
      <c r="N290" s="480"/>
      <c r="O290" s="1770"/>
      <c r="P290" s="1770"/>
      <c r="AH290" s="1777">
        <v>0</v>
      </c>
    </row>
    <row s="7235" customFormat="1" customHeight="1" ht="18.75" hidden="1">
      <c r="A291" s="1925" t="s">
        <v>221</v>
      </c>
      <c r="B291" s="1925" t="s">
        <v>222</v>
      </c>
      <c r="C291" s="515"/>
      <c r="D291" s="2621"/>
      <c r="E291" s="2363"/>
      <c r="F291" s="2542" t="str">
        <f>INDEX(PT_DIFFERENTIATION_VTAR,MATCH(A291,PT_DIFFERENTIATION_VTAR_ID,0))</f>
        <v>Плата за подключение (технологическое присоединение) к системе теплоснабжения</v>
      </c>
      <c r="G291" s="2586" t="str">
        <f>INDEX(PT_DIFFERENTIATION_NTAR,MATCH(B291,PT_DIFFERENTIATION_NTAR_ID,0))</f>
        <v/>
      </c>
      <c r="H291" s="2005"/>
      <c r="I291" s="1884"/>
      <c r="J291" s="1918"/>
      <c r="K291" s="1923"/>
      <c r="L291" s="2005" t="s">
        <v>328</v>
      </c>
      <c r="M291" s="487"/>
      <c r="N291" s="480"/>
      <c r="O291" s="1770"/>
      <c r="P291" s="1770"/>
      <c r="AH291" s="1777">
        <v>0</v>
      </c>
    </row>
    <row s="7235" customFormat="1" customHeight="1" ht="18.75" hidden="1">
      <c r="A292" s="1925"/>
      <c r="B292" s="1925"/>
      <c r="C292" s="515" t="s">
        <v>1496</v>
      </c>
      <c r="D292" s="2621"/>
      <c r="E292" s="2363"/>
      <c r="F292" s="2542"/>
      <c r="G292" s="2586"/>
      <c r="H292" s="1646"/>
      <c r="I292" s="797" t="s">
        <v>1495</v>
      </c>
      <c r="J292" s="717"/>
      <c r="K292" s="1646"/>
      <c r="L292" s="360"/>
      <c r="M292" s="487"/>
      <c r="N292" s="480"/>
      <c r="O292" s="1770"/>
      <c r="P292" s="1770"/>
      <c r="AH292" s="1777">
        <v>0</v>
      </c>
    </row>
    <row s="7235" customFormat="1" customHeight="1" ht="0.75" hidden="1">
      <c r="A293" s="1925"/>
      <c r="B293" s="1925"/>
      <c r="C293" s="515" t="s">
        <v>1503</v>
      </c>
      <c r="D293" s="2621"/>
      <c r="E293" s="2363"/>
      <c r="F293" s="2542"/>
      <c r="G293" s="546"/>
      <c r="H293" s="1646"/>
      <c r="I293" s="797"/>
      <c r="J293" s="717"/>
      <c r="K293" s="1646"/>
      <c r="L293" s="360"/>
      <c r="M293" s="487"/>
      <c r="N293" s="480"/>
      <c r="O293" s="1770"/>
      <c r="P293" s="1770"/>
      <c r="AH293" s="1777">
        <v>0</v>
      </c>
    </row>
    <row s="7235" customFormat="1" customHeight="1" ht="18.75" hidden="1">
      <c r="A294" s="1925" t="s">
        <v>227</v>
      </c>
      <c r="B294" s="1925" t="s">
        <v>228</v>
      </c>
      <c r="C294" s="515"/>
      <c r="D294" s="2621"/>
      <c r="E294" s="2363"/>
      <c r="F294" s="2542" t="str">
        <f>INDEX(PT_DIFFERENTIATION_VTAR,MATCH(A294,PT_DIFFERENTIATION_VTAR_ID,0))</f>
        <v>Плата за подключение (технологическое присоединение) к системе теплоснабжения (индивидуальная)</v>
      </c>
      <c r="G294" s="2586" t="str">
        <f>INDEX(PT_DIFFERENTIATION_NTAR,MATCH(B294,PT_DIFFERENTIATION_NTAR_ID,0))</f>
        <v/>
      </c>
      <c r="H294" s="2132"/>
      <c r="I294" s="1884"/>
      <c r="J294" s="1918"/>
      <c r="K294" s="1923"/>
      <c r="L294" s="2132" t="s">
        <v>328</v>
      </c>
      <c r="M294" s="487"/>
      <c r="N294" s="480"/>
      <c r="O294" s="1770"/>
      <c r="P294" s="1770"/>
      <c r="AH294" s="1777">
        <v>0</v>
      </c>
    </row>
    <row s="7235" customFormat="1" customHeight="1" ht="18.75" hidden="1">
      <c r="A295" s="1925"/>
      <c r="B295" s="1925"/>
      <c r="C295" s="515" t="s">
        <v>1496</v>
      </c>
      <c r="D295" s="2621"/>
      <c r="E295" s="2363"/>
      <c r="F295" s="2542"/>
      <c r="G295" s="2586"/>
      <c r="H295" s="1646"/>
      <c r="I295" s="797" t="s">
        <v>1495</v>
      </c>
      <c r="J295" s="717"/>
      <c r="K295" s="1646"/>
      <c r="L295" s="360"/>
      <c r="M295" s="487"/>
      <c r="N295" s="480"/>
      <c r="O295" s="1770"/>
      <c r="P295" s="1770"/>
      <c r="AH295" s="1777">
        <v>0</v>
      </c>
    </row>
    <row s="7235" customFormat="1" customHeight="1" ht="0.75" hidden="1">
      <c r="A296" s="1925"/>
      <c r="B296" s="1925"/>
      <c r="C296" s="515" t="s">
        <v>1503</v>
      </c>
      <c r="D296" s="2621"/>
      <c r="E296" s="2363"/>
      <c r="F296" s="2542"/>
      <c r="G296" s="546"/>
      <c r="H296" s="1646"/>
      <c r="I296" s="797"/>
      <c r="J296" s="717"/>
      <c r="K296" s="1646"/>
      <c r="L296" s="360"/>
      <c r="M296" s="487"/>
      <c r="N296" s="480"/>
      <c r="O296" s="1770"/>
      <c r="P296" s="1770"/>
      <c r="AH296" s="1777">
        <v>0</v>
      </c>
    </row>
    <row s="7235" customFormat="1" customHeight="1" ht="18.75" hidden="1">
      <c r="A297" s="1925" t="s">
        <v>247</v>
      </c>
      <c r="B297" s="1925" t="s">
        <v>248</v>
      </c>
      <c r="C297" s="515"/>
      <c r="D297" s="2621"/>
      <c r="E297" s="2363"/>
      <c r="F297" s="2542" t="str">
        <f>INDEX(PT_DIFFERENTIATION_VTAR,MATCH(A297,PT_DIFFERENTIATION_VTAR_ID,0))</f>
        <v>Тариф на питьевую воду (питьевое водоснабжение)</v>
      </c>
      <c r="G297" s="2586" t="str">
        <f>INDEX(PT_DIFFERENTIATION_NTAR,MATCH(B297,PT_DIFFERENTIATION_NTAR_ID,0))</f>
        <v/>
      </c>
      <c r="H297" s="2005"/>
      <c r="I297" s="1884"/>
      <c r="J297" s="1918"/>
      <c r="K297" s="1923"/>
      <c r="L297" s="2005" t="s">
        <v>328</v>
      </c>
      <c r="M297" s="487"/>
      <c r="N297" s="480"/>
      <c r="O297" s="1770"/>
      <c r="P297" s="1770"/>
      <c r="AH297" s="1777">
        <v>0</v>
      </c>
    </row>
    <row s="7235" customFormat="1" customHeight="1" ht="18.75" hidden="1">
      <c r="A298" s="1925"/>
      <c r="B298" s="1925"/>
      <c r="C298" s="515" t="s">
        <v>1496</v>
      </c>
      <c r="D298" s="2621"/>
      <c r="E298" s="2363"/>
      <c r="F298" s="2542"/>
      <c r="G298" s="2586"/>
      <c r="H298" s="1646"/>
      <c r="I298" s="797" t="s">
        <v>1495</v>
      </c>
      <c r="J298" s="717"/>
      <c r="K298" s="1646"/>
      <c r="L298" s="360"/>
      <c r="M298" s="487"/>
      <c r="N298" s="480"/>
      <c r="O298" s="1770"/>
      <c r="P298" s="1770"/>
      <c r="AH298" s="1777">
        <v>0</v>
      </c>
    </row>
    <row s="7235" customFormat="1" customHeight="1" ht="0.75" hidden="1">
      <c r="A299" s="1925"/>
      <c r="B299" s="1925"/>
      <c r="C299" s="515" t="s">
        <v>1503</v>
      </c>
      <c r="D299" s="2621"/>
      <c r="E299" s="2363"/>
      <c r="F299" s="2542"/>
      <c r="G299" s="546"/>
      <c r="H299" s="1646"/>
      <c r="I299" s="797"/>
      <c r="J299" s="717"/>
      <c r="K299" s="1646"/>
      <c r="L299" s="360"/>
      <c r="M299" s="487"/>
      <c r="N299" s="480"/>
      <c r="O299" s="1770"/>
      <c r="P299" s="1770"/>
      <c r="AH299" s="1777">
        <v>0</v>
      </c>
    </row>
    <row s="7235" customFormat="1" customHeight="1" ht="18.75" hidden="1">
      <c r="A300" s="1925" t="s">
        <v>252</v>
      </c>
      <c r="B300" s="1925" t="s">
        <v>253</v>
      </c>
      <c r="C300" s="515"/>
      <c r="D300" s="2621"/>
      <c r="E300" s="2363"/>
      <c r="F300" s="2542" t="str">
        <f>INDEX(PT_DIFFERENTIATION_VTAR,MATCH(A300,PT_DIFFERENTIATION_VTAR_ID,0))</f>
        <v>Тариф на техническую воду</v>
      </c>
      <c r="G300" s="2586" t="str">
        <f>INDEX(PT_DIFFERENTIATION_NTAR,MATCH(B300,PT_DIFFERENTIATION_NTAR_ID,0))</f>
        <v/>
      </c>
      <c r="H300" s="2005"/>
      <c r="I300" s="1884"/>
      <c r="J300" s="1918"/>
      <c r="K300" s="1923"/>
      <c r="L300" s="2005" t="s">
        <v>328</v>
      </c>
      <c r="M300" s="487"/>
      <c r="N300" s="480"/>
      <c r="O300" s="1770"/>
      <c r="P300" s="1770"/>
      <c r="AH300" s="1777">
        <v>0</v>
      </c>
    </row>
    <row s="7235" customFormat="1" customHeight="1" ht="18.75" hidden="1">
      <c r="A301" s="1925"/>
      <c r="B301" s="1925"/>
      <c r="C301" s="515" t="s">
        <v>1496</v>
      </c>
      <c r="D301" s="2621"/>
      <c r="E301" s="2363"/>
      <c r="F301" s="2542"/>
      <c r="G301" s="2586"/>
      <c r="H301" s="1646"/>
      <c r="I301" s="797" t="s">
        <v>1495</v>
      </c>
      <c r="J301" s="717"/>
      <c r="K301" s="1646"/>
      <c r="L301" s="360"/>
      <c r="M301" s="487"/>
      <c r="N301" s="480"/>
      <c r="O301" s="1770"/>
      <c r="P301" s="1770"/>
      <c r="AH301" s="1777">
        <v>0</v>
      </c>
    </row>
    <row s="7235" customFormat="1" customHeight="1" ht="0.75" hidden="1">
      <c r="A302" s="1925"/>
      <c r="B302" s="1925"/>
      <c r="C302" s="515" t="s">
        <v>1503</v>
      </c>
      <c r="D302" s="2621"/>
      <c r="E302" s="2363"/>
      <c r="F302" s="2542"/>
      <c r="G302" s="546"/>
      <c r="H302" s="1646"/>
      <c r="I302" s="797"/>
      <c r="J302" s="717"/>
      <c r="K302" s="1646"/>
      <c r="L302" s="360"/>
      <c r="M302" s="487"/>
      <c r="N302" s="480"/>
      <c r="O302" s="1770"/>
      <c r="P302" s="1770"/>
      <c r="AH302" s="1777">
        <v>0</v>
      </c>
    </row>
    <row s="7235" customFormat="1" customHeight="1" ht="18.75" hidden="1">
      <c r="A303" s="1925" t="s">
        <v>257</v>
      </c>
      <c r="B303" s="1925" t="s">
        <v>258</v>
      </c>
      <c r="C303" s="515"/>
      <c r="D303" s="2621"/>
      <c r="E303" s="2363"/>
      <c r="F303" s="2542" t="str">
        <f>INDEX(PT_DIFFERENTIATION_VTAR,MATCH(A303,PT_DIFFERENTIATION_VTAR_ID,0))</f>
        <v>Тариф на транспортировку воды</v>
      </c>
      <c r="G303" s="2586" t="str">
        <f>INDEX(PT_DIFFERENTIATION_NTAR,MATCH(B303,PT_DIFFERENTIATION_NTAR_ID,0))</f>
        <v/>
      </c>
      <c r="H303" s="2005"/>
      <c r="I303" s="1884"/>
      <c r="J303" s="1918"/>
      <c r="K303" s="1923"/>
      <c r="L303" s="2005" t="s">
        <v>328</v>
      </c>
      <c r="M303" s="487"/>
      <c r="N303" s="480"/>
      <c r="O303" s="1770"/>
      <c r="P303" s="1770"/>
      <c r="AH303" s="1777">
        <v>0</v>
      </c>
    </row>
    <row s="7235" customFormat="1" customHeight="1" ht="18.75" hidden="1">
      <c r="A304" s="1925"/>
      <c r="B304" s="1925"/>
      <c r="C304" s="515" t="s">
        <v>1496</v>
      </c>
      <c r="D304" s="2621"/>
      <c r="E304" s="2363"/>
      <c r="F304" s="2542"/>
      <c r="G304" s="2586"/>
      <c r="H304" s="1646"/>
      <c r="I304" s="797" t="s">
        <v>1495</v>
      </c>
      <c r="J304" s="717"/>
      <c r="K304" s="1646"/>
      <c r="L304" s="360"/>
      <c r="M304" s="487"/>
      <c r="N304" s="480"/>
      <c r="O304" s="1770"/>
      <c r="P304" s="1770"/>
      <c r="AH304" s="1777">
        <v>0</v>
      </c>
    </row>
    <row s="7235" customFormat="1" customHeight="1" ht="0.75" hidden="1">
      <c r="A305" s="1925"/>
      <c r="B305" s="1925"/>
      <c r="C305" s="515" t="s">
        <v>1503</v>
      </c>
      <c r="D305" s="2621"/>
      <c r="E305" s="2363"/>
      <c r="F305" s="2542"/>
      <c r="G305" s="546"/>
      <c r="H305" s="1646"/>
      <c r="I305" s="797"/>
      <c r="J305" s="717"/>
      <c r="K305" s="1646"/>
      <c r="L305" s="360"/>
      <c r="M305" s="487"/>
      <c r="N305" s="480"/>
      <c r="O305" s="1770"/>
      <c r="P305" s="1770"/>
      <c r="AH305" s="1777">
        <v>0</v>
      </c>
    </row>
    <row s="7235" customFormat="1" customHeight="1" ht="18.75" hidden="1">
      <c r="A306" s="1925" t="s">
        <v>262</v>
      </c>
      <c r="B306" s="1925" t="s">
        <v>263</v>
      </c>
      <c r="C306" s="515"/>
      <c r="D306" s="2621"/>
      <c r="E306" s="2363"/>
      <c r="F306" s="2542" t="str">
        <f>INDEX(PT_DIFFERENTIATION_VTAR,MATCH(A306,PT_DIFFERENTIATION_VTAR_ID,0))</f>
        <v>Тариф на подвоз воды</v>
      </c>
      <c r="G306" s="2586" t="str">
        <f>INDEX(PT_DIFFERENTIATION_NTAR,MATCH(B306,PT_DIFFERENTIATION_NTAR_ID,0))</f>
        <v/>
      </c>
      <c r="H306" s="2005"/>
      <c r="I306" s="1884"/>
      <c r="J306" s="1918"/>
      <c r="K306" s="1923"/>
      <c r="L306" s="2005" t="s">
        <v>328</v>
      </c>
      <c r="M306" s="487"/>
      <c r="N306" s="480"/>
      <c r="O306" s="1770"/>
      <c r="P306" s="1770"/>
      <c r="AH306" s="1777">
        <v>0</v>
      </c>
    </row>
    <row s="7235" customFormat="1" customHeight="1" ht="18.75" hidden="1">
      <c r="A307" s="1925"/>
      <c r="B307" s="1925"/>
      <c r="C307" s="515" t="s">
        <v>1496</v>
      </c>
      <c r="D307" s="2621"/>
      <c r="E307" s="2363"/>
      <c r="F307" s="2542"/>
      <c r="G307" s="2586"/>
      <c r="H307" s="1646"/>
      <c r="I307" s="797" t="s">
        <v>1495</v>
      </c>
      <c r="J307" s="717"/>
      <c r="K307" s="1646"/>
      <c r="L307" s="360"/>
      <c r="M307" s="487"/>
      <c r="N307" s="480"/>
      <c r="O307" s="1770"/>
      <c r="P307" s="1770"/>
      <c r="AH307" s="1777">
        <v>0</v>
      </c>
    </row>
    <row s="7235" customFormat="1" customHeight="1" ht="0.75" hidden="1">
      <c r="A308" s="1925"/>
      <c r="B308" s="1925"/>
      <c r="C308" s="515" t="s">
        <v>1503</v>
      </c>
      <c r="D308" s="2621"/>
      <c r="E308" s="2363"/>
      <c r="F308" s="2542"/>
      <c r="G308" s="546"/>
      <c r="H308" s="1646"/>
      <c r="I308" s="797"/>
      <c r="J308" s="717"/>
      <c r="K308" s="1646"/>
      <c r="L308" s="360"/>
      <c r="M308" s="487"/>
      <c r="N308" s="480"/>
      <c r="O308" s="1770"/>
      <c r="P308" s="1770"/>
      <c r="AH308" s="1777">
        <v>0</v>
      </c>
    </row>
    <row s="7235" customFormat="1" customHeight="1" ht="18.75" hidden="1">
      <c r="A309" s="1925" t="s">
        <v>267</v>
      </c>
      <c r="B309" s="1925" t="s">
        <v>268</v>
      </c>
      <c r="C309" s="515"/>
      <c r="D309" s="2621"/>
      <c r="E309" s="2363"/>
      <c r="F309" s="254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86" t="str">
        <f>INDEX(PT_DIFFERENTIATION_NTAR,MATCH(B309,PT_DIFFERENTIATION_NTAR_ID,0))</f>
        <v/>
      </c>
      <c r="H309" s="2005"/>
      <c r="I309" s="1884"/>
      <c r="J309" s="1918"/>
      <c r="K309" s="1923"/>
      <c r="L309" s="2005" t="s">
        <v>328</v>
      </c>
      <c r="M309" s="487"/>
      <c r="N309" s="480"/>
      <c r="O309" s="1770"/>
      <c r="P309" s="1770"/>
      <c r="AH309" s="1777">
        <v>0</v>
      </c>
    </row>
    <row s="7235" customFormat="1" customHeight="1" ht="18.75" hidden="1">
      <c r="A310" s="1925"/>
      <c r="B310" s="1925"/>
      <c r="C310" s="515" t="s">
        <v>1496</v>
      </c>
      <c r="D310" s="2621"/>
      <c r="E310" s="2363"/>
      <c r="F310" s="2542"/>
      <c r="G310" s="2586"/>
      <c r="H310" s="1646"/>
      <c r="I310" s="797" t="s">
        <v>1495</v>
      </c>
      <c r="J310" s="717"/>
      <c r="K310" s="1646"/>
      <c r="L310" s="360"/>
      <c r="M310" s="487"/>
      <c r="N310" s="480"/>
      <c r="O310" s="1770"/>
      <c r="P310" s="1770"/>
      <c r="AH310" s="1777">
        <v>0</v>
      </c>
    </row>
    <row s="7235" customFormat="1" customHeight="1" ht="0.75" hidden="1">
      <c r="A311" s="1925"/>
      <c r="B311" s="1925"/>
      <c r="C311" s="515" t="s">
        <v>1503</v>
      </c>
      <c r="D311" s="2621"/>
      <c r="E311" s="2363"/>
      <c r="F311" s="2542"/>
      <c r="G311" s="546"/>
      <c r="H311" s="1646"/>
      <c r="I311" s="797"/>
      <c r="J311" s="717"/>
      <c r="K311" s="1646"/>
      <c r="L311" s="360"/>
      <c r="M311" s="487"/>
      <c r="N311" s="480"/>
      <c r="O311" s="1770"/>
      <c r="P311" s="1770"/>
      <c r="AH311" s="1777">
        <v>0</v>
      </c>
    </row>
    <row s="7235" customFormat="1" customHeight="1" ht="18.75" hidden="1">
      <c r="A312" s="1925" t="s">
        <v>272</v>
      </c>
      <c r="B312" s="1925" t="s">
        <v>273</v>
      </c>
      <c r="C312" s="515"/>
      <c r="D312" s="2621"/>
      <c r="E312" s="2363"/>
      <c r="F312" s="2542" t="str">
        <f>INDEX(PT_DIFFERENTIATION_VTAR,MATCH(A312,PT_DIFFERENTIATION_VTAR_ID,0))</f>
        <v>Тариф на горячую воду (горячее водоснабжение)</v>
      </c>
      <c r="G312" s="2586" t="str">
        <f>INDEX(PT_DIFFERENTIATION_NTAR,MATCH(B312,PT_DIFFERENTIATION_NTAR_ID,0))</f>
        <v/>
      </c>
      <c r="H312" s="2005"/>
      <c r="I312" s="1884"/>
      <c r="J312" s="1918"/>
      <c r="K312" s="1923"/>
      <c r="L312" s="2005" t="s">
        <v>328</v>
      </c>
      <c r="M312" s="487"/>
      <c r="N312" s="480"/>
      <c r="O312" s="1770"/>
      <c r="P312" s="1770"/>
      <c r="AH312" s="1777">
        <v>0</v>
      </c>
    </row>
    <row s="7235" customFormat="1" customHeight="1" ht="18.75" hidden="1">
      <c r="A313" s="1925"/>
      <c r="B313" s="1925"/>
      <c r="C313" s="515" t="s">
        <v>1496</v>
      </c>
      <c r="D313" s="2621"/>
      <c r="E313" s="2363"/>
      <c r="F313" s="2542"/>
      <c r="G313" s="2586"/>
      <c r="H313" s="1646"/>
      <c r="I313" s="797" t="s">
        <v>1495</v>
      </c>
      <c r="J313" s="717"/>
      <c r="K313" s="1646"/>
      <c r="L313" s="360"/>
      <c r="M313" s="487"/>
      <c r="N313" s="480"/>
      <c r="O313" s="1770"/>
      <c r="P313" s="1770"/>
      <c r="AH313" s="1777">
        <v>0</v>
      </c>
    </row>
    <row s="7235" customFormat="1" customHeight="1" ht="0.75" hidden="1">
      <c r="A314" s="1925"/>
      <c r="B314" s="1925"/>
      <c r="C314" s="515" t="s">
        <v>1503</v>
      </c>
      <c r="D314" s="2621"/>
      <c r="E314" s="2363"/>
      <c r="F314" s="2542"/>
      <c r="G314" s="546"/>
      <c r="H314" s="1646"/>
      <c r="I314" s="797"/>
      <c r="J314" s="717"/>
      <c r="K314" s="1646"/>
      <c r="L314" s="360"/>
      <c r="M314" s="487"/>
      <c r="N314" s="480"/>
      <c r="O314" s="1770"/>
      <c r="P314" s="1770"/>
      <c r="AH314" s="1777">
        <v>0</v>
      </c>
    </row>
    <row s="7235" customFormat="1" customHeight="1" ht="18.75" hidden="1">
      <c r="A315" s="1925" t="s">
        <v>277</v>
      </c>
      <c r="B315" s="1925" t="s">
        <v>278</v>
      </c>
      <c r="C315" s="515"/>
      <c r="D315" s="2621"/>
      <c r="E315" s="2363"/>
      <c r="F315" s="2542" t="str">
        <f>INDEX(PT_DIFFERENTIATION_VTAR,MATCH(A315,PT_DIFFERENTIATION_VTAR_ID,0))</f>
        <v>Тариф на транспортировку горячей воды</v>
      </c>
      <c r="G315" s="2586" t="str">
        <f>INDEX(PT_DIFFERENTIATION_NTAR,MATCH(B315,PT_DIFFERENTIATION_NTAR_ID,0))</f>
        <v/>
      </c>
      <c r="H315" s="2005"/>
      <c r="I315" s="1884"/>
      <c r="J315" s="1918"/>
      <c r="K315" s="1923"/>
      <c r="L315" s="2005" t="s">
        <v>328</v>
      </c>
      <c r="M315" s="487"/>
      <c r="N315" s="480"/>
      <c r="O315" s="1770"/>
      <c r="P315" s="1770"/>
      <c r="AH315" s="1777">
        <v>0</v>
      </c>
    </row>
    <row s="7235" customFormat="1" customHeight="1" ht="18.75" hidden="1">
      <c r="A316" s="1925"/>
      <c r="B316" s="1925"/>
      <c r="C316" s="515" t="s">
        <v>1496</v>
      </c>
      <c r="D316" s="2621"/>
      <c r="E316" s="2363"/>
      <c r="F316" s="2542"/>
      <c r="G316" s="2586"/>
      <c r="H316" s="1646"/>
      <c r="I316" s="797" t="s">
        <v>1495</v>
      </c>
      <c r="J316" s="717"/>
      <c r="K316" s="1646"/>
      <c r="L316" s="360"/>
      <c r="M316" s="487"/>
      <c r="N316" s="480"/>
      <c r="O316" s="1770"/>
      <c r="P316" s="1770"/>
      <c r="AH316" s="1777">
        <v>0</v>
      </c>
    </row>
    <row s="7235" customFormat="1" customHeight="1" ht="0.75" hidden="1">
      <c r="A317" s="1925"/>
      <c r="B317" s="1925"/>
      <c r="C317" s="515" t="s">
        <v>1503</v>
      </c>
      <c r="D317" s="2621"/>
      <c r="E317" s="2363"/>
      <c r="F317" s="2542"/>
      <c r="G317" s="546"/>
      <c r="H317" s="1646"/>
      <c r="I317" s="797"/>
      <c r="J317" s="717"/>
      <c r="K317" s="1646"/>
      <c r="L317" s="360"/>
      <c r="M317" s="487"/>
      <c r="N317" s="480"/>
      <c r="O317" s="1770"/>
      <c r="P317" s="1770"/>
      <c r="AH317" s="1777">
        <v>0</v>
      </c>
    </row>
    <row s="7235" customFormat="1" customHeight="1" ht="18.75" hidden="1">
      <c r="A318" s="1925" t="s">
        <v>282</v>
      </c>
      <c r="B318" s="1925" t="s">
        <v>283</v>
      </c>
      <c r="C318" s="515"/>
      <c r="D318" s="2621"/>
      <c r="E318" s="2363"/>
      <c r="F318" s="254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86" t="str">
        <f>INDEX(PT_DIFFERENTIATION_NTAR,MATCH(B318,PT_DIFFERENTIATION_NTAR_ID,0))</f>
        <v/>
      </c>
      <c r="H318" s="2005"/>
      <c r="I318" s="1884"/>
      <c r="J318" s="1918"/>
      <c r="K318" s="1923"/>
      <c r="L318" s="2005" t="s">
        <v>328</v>
      </c>
      <c r="M318" s="487"/>
      <c r="N318" s="480"/>
      <c r="O318" s="1770"/>
      <c r="P318" s="1770"/>
      <c r="AH318" s="1777">
        <v>0</v>
      </c>
    </row>
    <row s="7235" customFormat="1" customHeight="1" ht="18.75" hidden="1">
      <c r="A319" s="1925"/>
      <c r="B319" s="1925"/>
      <c r="C319" s="515" t="s">
        <v>1496</v>
      </c>
      <c r="D319" s="2621"/>
      <c r="E319" s="2363"/>
      <c r="F319" s="2542"/>
      <c r="G319" s="2586"/>
      <c r="H319" s="1646"/>
      <c r="I319" s="797" t="s">
        <v>1495</v>
      </c>
      <c r="J319" s="717"/>
      <c r="K319" s="1646"/>
      <c r="L319" s="360"/>
      <c r="M319" s="487"/>
      <c r="N319" s="480"/>
      <c r="O319" s="1770"/>
      <c r="P319" s="1770"/>
      <c r="AH319" s="1777">
        <v>0</v>
      </c>
    </row>
    <row s="7235" customFormat="1" customHeight="1" ht="0.75" hidden="1">
      <c r="A320" s="1925"/>
      <c r="B320" s="1925"/>
      <c r="C320" s="515" t="s">
        <v>1503</v>
      </c>
      <c r="D320" s="2621"/>
      <c r="E320" s="2363"/>
      <c r="F320" s="2542"/>
      <c r="G320" s="546"/>
      <c r="H320" s="1646"/>
      <c r="I320" s="797"/>
      <c r="J320" s="717"/>
      <c r="K320" s="1646"/>
      <c r="L320" s="360"/>
      <c r="M320" s="487"/>
      <c r="N320" s="480"/>
      <c r="O320" s="1770"/>
      <c r="P320" s="1770"/>
      <c r="AH320" s="1777">
        <v>0</v>
      </c>
    </row>
    <row s="7235" customFormat="1" customHeight="1" ht="18.75" hidden="1">
      <c r="A321" s="1925" t="s">
        <v>287</v>
      </c>
      <c r="B321" s="1925" t="s">
        <v>288</v>
      </c>
      <c r="C321" s="515"/>
      <c r="D321" s="2621"/>
      <c r="E321" s="2363"/>
      <c r="F321" s="2542" t="str">
        <f>INDEX(PT_DIFFERENTIATION_VTAR,MATCH(A321,PT_DIFFERENTIATION_VTAR_ID,0))</f>
        <v>Тариф на водоотведение</v>
      </c>
      <c r="G321" s="2586" t="str">
        <f>INDEX(PT_DIFFERENTIATION_NTAR,MATCH(B321,PT_DIFFERENTIATION_NTAR_ID,0))</f>
        <v/>
      </c>
      <c r="H321" s="2005"/>
      <c r="I321" s="1884"/>
      <c r="J321" s="1918"/>
      <c r="K321" s="1923"/>
      <c r="L321" s="2005" t="s">
        <v>328</v>
      </c>
      <c r="M321" s="487"/>
      <c r="N321" s="480"/>
      <c r="O321" s="1770"/>
      <c r="P321" s="1770"/>
      <c r="AH321" s="1777">
        <v>0</v>
      </c>
    </row>
    <row s="7235" customFormat="1" customHeight="1" ht="18.75" hidden="1">
      <c r="A322" s="1925"/>
      <c r="B322" s="1925"/>
      <c r="C322" s="515" t="s">
        <v>1496</v>
      </c>
      <c r="D322" s="2621"/>
      <c r="E322" s="2363"/>
      <c r="F322" s="2542"/>
      <c r="G322" s="2586"/>
      <c r="H322" s="1646"/>
      <c r="I322" s="797" t="s">
        <v>1495</v>
      </c>
      <c r="J322" s="717"/>
      <c r="K322" s="1646"/>
      <c r="L322" s="360"/>
      <c r="M322" s="487"/>
      <c r="N322" s="480"/>
      <c r="O322" s="1770"/>
      <c r="P322" s="1770"/>
      <c r="AH322" s="1777">
        <v>0</v>
      </c>
    </row>
    <row s="7235" customFormat="1" customHeight="1" ht="0.75" hidden="1">
      <c r="A323" s="1925"/>
      <c r="B323" s="1925"/>
      <c r="C323" s="515" t="s">
        <v>1503</v>
      </c>
      <c r="D323" s="2621"/>
      <c r="E323" s="2363"/>
      <c r="F323" s="2542"/>
      <c r="G323" s="546"/>
      <c r="H323" s="1646"/>
      <c r="I323" s="797"/>
      <c r="J323" s="717"/>
      <c r="K323" s="1646"/>
      <c r="L323" s="360"/>
      <c r="M323" s="487"/>
      <c r="N323" s="480"/>
      <c r="O323" s="1770"/>
      <c r="P323" s="1770"/>
      <c r="AH323" s="1777">
        <v>0</v>
      </c>
    </row>
    <row s="7235" customFormat="1" customHeight="1" ht="18.75" hidden="1">
      <c r="A324" s="1925" t="s">
        <v>292</v>
      </c>
      <c r="B324" s="1925" t="s">
        <v>293</v>
      </c>
      <c r="C324" s="515"/>
      <c r="D324" s="2621"/>
      <c r="E324" s="2363"/>
      <c r="F324" s="2542" t="str">
        <f>INDEX(PT_DIFFERENTIATION_VTAR,MATCH(A324,PT_DIFFERENTIATION_VTAR_ID,0))</f>
        <v>Тариф на транспортировку сточных вод</v>
      </c>
      <c r="G324" s="2586" t="str">
        <f>INDEX(PT_DIFFERENTIATION_NTAR,MATCH(B324,PT_DIFFERENTIATION_NTAR_ID,0))</f>
        <v/>
      </c>
      <c r="H324" s="2005"/>
      <c r="I324" s="1884"/>
      <c r="J324" s="1918"/>
      <c r="K324" s="1923"/>
      <c r="L324" s="2005" t="s">
        <v>328</v>
      </c>
      <c r="M324" s="487"/>
      <c r="N324" s="480"/>
      <c r="O324" s="1770"/>
      <c r="P324" s="1770"/>
      <c r="AH324" s="1777">
        <v>0</v>
      </c>
    </row>
    <row s="7235" customFormat="1" customHeight="1" ht="18.75" hidden="1">
      <c r="A325" s="1925"/>
      <c r="B325" s="1925"/>
      <c r="C325" s="515" t="s">
        <v>1496</v>
      </c>
      <c r="D325" s="2621"/>
      <c r="E325" s="2363"/>
      <c r="F325" s="2542"/>
      <c r="G325" s="2586"/>
      <c r="H325" s="1646"/>
      <c r="I325" s="797" t="s">
        <v>1495</v>
      </c>
      <c r="J325" s="717"/>
      <c r="K325" s="1646"/>
      <c r="L325" s="360"/>
      <c r="M325" s="487"/>
      <c r="N325" s="480"/>
      <c r="O325" s="1770"/>
      <c r="P325" s="1770"/>
      <c r="AH325" s="1777">
        <v>0</v>
      </c>
    </row>
    <row s="7235" customFormat="1" customHeight="1" ht="0.75" hidden="1">
      <c r="A326" s="1925"/>
      <c r="B326" s="1925"/>
      <c r="C326" s="515" t="s">
        <v>1503</v>
      </c>
      <c r="D326" s="2621"/>
      <c r="E326" s="2363"/>
      <c r="F326" s="2542"/>
      <c r="G326" s="546"/>
      <c r="H326" s="1646"/>
      <c r="I326" s="797"/>
      <c r="J326" s="717"/>
      <c r="K326" s="1646"/>
      <c r="L326" s="360"/>
      <c r="M326" s="487"/>
      <c r="N326" s="480"/>
      <c r="O326" s="1770"/>
      <c r="P326" s="1770"/>
      <c r="AH326" s="1777">
        <v>0</v>
      </c>
    </row>
    <row s="7235" customFormat="1" customHeight="1" ht="18.75" hidden="1">
      <c r="A327" s="1925" t="s">
        <v>297</v>
      </c>
      <c r="B327" s="1925" t="s">
        <v>298</v>
      </c>
      <c r="C327" s="515"/>
      <c r="D327" s="2621"/>
      <c r="E327" s="2363"/>
      <c r="F327" s="2542" t="str">
        <f>INDEX(PT_DIFFERENTIATION_VTAR,MATCH(A327,PT_DIFFERENTIATION_VTAR_ID,0))</f>
        <v>Тариф на подключение (технологическое присоединение) к централизованной системе водоотведения</v>
      </c>
      <c r="G327" s="2586" t="str">
        <f>INDEX(PT_DIFFERENTIATION_NTAR,MATCH(B327,PT_DIFFERENTIATION_NTAR_ID,0))</f>
        <v/>
      </c>
      <c r="H327" s="2005"/>
      <c r="I327" s="1884"/>
      <c r="J327" s="1918"/>
      <c r="K327" s="1923"/>
      <c r="L327" s="2005" t="s">
        <v>328</v>
      </c>
      <c r="M327" s="487"/>
      <c r="N327" s="480"/>
      <c r="O327" s="1770"/>
      <c r="P327" s="1770"/>
      <c r="AH327" s="1777">
        <v>0</v>
      </c>
    </row>
    <row s="7235" customFormat="1" customHeight="1" ht="18.75" hidden="1">
      <c r="A328" s="1925"/>
      <c r="B328" s="1925"/>
      <c r="C328" s="515" t="s">
        <v>1496</v>
      </c>
      <c r="D328" s="2621"/>
      <c r="E328" s="2363"/>
      <c r="F328" s="2542"/>
      <c r="G328" s="2586"/>
      <c r="H328" s="1646"/>
      <c r="I328" s="797" t="s">
        <v>1495</v>
      </c>
      <c r="J328" s="717"/>
      <c r="K328" s="1646"/>
      <c r="L328" s="360"/>
      <c r="M328" s="487"/>
      <c r="N328" s="480"/>
      <c r="O328" s="1770"/>
      <c r="P328" s="1770"/>
      <c r="AH328" s="1777">
        <v>0</v>
      </c>
    </row>
    <row s="7235" customFormat="1" customHeight="1" ht="1.05">
      <c r="A329" s="1925"/>
      <c r="B329" s="1925"/>
      <c r="C329" s="515" t="s">
        <v>1503</v>
      </c>
      <c r="D329" s="2621"/>
      <c r="E329" s="2363"/>
      <c r="F329" s="2542"/>
      <c r="G329" s="546"/>
      <c r="H329" s="1646"/>
      <c r="I329" s="797"/>
      <c r="J329" s="717"/>
      <c r="K329" s="1646"/>
      <c r="L329" s="360"/>
      <c r="M329" s="487"/>
      <c r="N329" s="480"/>
      <c r="O329" s="1770"/>
      <c r="P329" s="1770"/>
      <c r="AH329" s="1777">
        <v>1</v>
      </c>
    </row>
    <row s="7711" customFormat="1" customHeight="1" ht="3">
      <c r="A330" s="1925"/>
      <c r="B330" s="1925"/>
      <c r="C330" s="1926"/>
      <c r="E330" s="548"/>
      <c r="F330" s="548"/>
      <c r="G330" s="548"/>
      <c r="H330" s="548"/>
      <c r="I330" s="548"/>
      <c r="J330" s="548"/>
      <c r="K330" s="548"/>
      <c r="L330" s="548"/>
      <c r="M330" s="548"/>
      <c r="O330" s="342"/>
      <c r="P330" s="342"/>
      <c r="AH330" s="286">
        <v>3</v>
      </c>
    </row>
    <row customHeight="1" ht="26.25">
      <c r="E331" s="348"/>
      <c r="F331" s="2444"/>
      <c r="G331" s="2444"/>
      <c r="H331" s="2444"/>
      <c r="I331" s="2444"/>
      <c r="J331" s="2444"/>
      <c r="K331" s="2444"/>
      <c r="L331" s="2444"/>
      <c r="M331" s="2444"/>
      <c r="AH331" s="520">
        <v>25</v>
      </c>
    </row>
    <row customHeight="1" ht="14.25" hidden="1">
      <c r="A332" s="1924" t="s">
        <v>83</v>
      </c>
      <c r="B332" s="1924">
        <v>0</v>
      </c>
      <c r="C332" s="515">
        <v>0</v>
      </c>
      <c r="D332" s="490">
        <v>3</v>
      </c>
      <c r="E332" s="520">
        <v>6</v>
      </c>
      <c r="F332" s="520">
        <v>46</v>
      </c>
      <c r="G332" s="520">
        <v>35</v>
      </c>
      <c r="H332" s="520">
        <v>3</v>
      </c>
      <c r="I332" s="520">
        <v>11</v>
      </c>
      <c r="J332" s="520">
        <v>11</v>
      </c>
      <c r="K332" s="520">
        <v>35</v>
      </c>
      <c r="L332" s="520">
        <v>35</v>
      </c>
      <c r="M332" s="520">
        <v>84</v>
      </c>
      <c r="N332" s="520">
        <v>10</v>
      </c>
      <c r="O332" s="496">
        <v>10</v>
      </c>
      <c r="P332" s="496">
        <v>10</v>
      </c>
      <c r="Q332" s="520">
        <v>10</v>
      </c>
      <c r="R332" s="520">
        <v>10</v>
      </c>
      <c r="S332" s="520">
        <v>10</v>
      </c>
      <c r="T332" s="520">
        <v>10</v>
      </c>
      <c r="U332" s="520">
        <v>10</v>
      </c>
      <c r="V332" s="520">
        <v>10</v>
      </c>
      <c r="W332" s="520">
        <v>10</v>
      </c>
      <c r="X332" s="520">
        <v>10</v>
      </c>
      <c r="Y332" s="520">
        <v>10</v>
      </c>
      <c r="Z332" s="520">
        <v>10</v>
      </c>
      <c r="AA332" s="520">
        <v>10</v>
      </c>
      <c r="AB332" s="520">
        <v>10</v>
      </c>
      <c r="AC332" s="520">
        <v>10</v>
      </c>
      <c r="AD332" s="520">
        <v>10</v>
      </c>
      <c r="AE332" s="520">
        <v>10</v>
      </c>
      <c r="AF332" s="520">
        <v>10</v>
      </c>
      <c r="AG332" s="520">
        <v>10</v>
      </c>
      <c r="AH332" s="520">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D8E0A9-2201-93A2-D737-0.9784DAF4}"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7938" width="9.140625" hidden="1" customWidth="1"/>
    <col min="2" max="2" style="7180" width="9.140625" hidden="1" customWidth="1"/>
    <col min="3" max="3" style="7205" width="3.00390625" customWidth="1"/>
    <col min="4" max="4" style="7235" width="6.00390625" customWidth="1"/>
    <col min="5" max="5" style="7235" width="53.00390625" customWidth="1"/>
    <col min="6" max="7" style="7235" width="35.00390625" customWidth="1"/>
    <col min="8" max="8" style="7235" width="89.00390625" customWidth="1"/>
    <col min="9" max="9" style="7235" width="10.00390625" customWidth="1"/>
    <col min="10" max="11" style="7183" width="10.00390625" customWidth="1"/>
    <col min="12" max="17" style="7235" width="10.00390625" customWidth="1"/>
    <col min="18" max="18" style="7235" width="10.57421875" hidden="1"/>
  </cols>
  <sheetData>
    <row customHeight="1" ht="22.5" hidden="1">
      <c r="N1" s="401"/>
      <c r="O1" s="401"/>
      <c r="Q1" s="401"/>
      <c r="R1" s="520" t="s">
        <v>14</v>
      </c>
    </row>
    <row s="7235" customFormat="1" customHeight="1" ht="18.75" hidden="1">
      <c r="A2" s="248"/>
      <c r="B2" s="1306"/>
      <c r="C2" s="1875" t="s">
        <v>106</v>
      </c>
      <c r="D2" s="1818"/>
      <c r="E2" s="1827"/>
      <c r="F2" s="403"/>
      <c r="G2" s="1307"/>
      <c r="H2" s="520"/>
      <c r="I2" s="1770"/>
      <c r="J2" s="1770"/>
      <c r="R2" s="1777">
        <v>0</v>
      </c>
    </row>
    <row customHeight="1" ht="14.25" hidden="1">
      <c r="R3" s="520">
        <v>0</v>
      </c>
    </row>
    <row customHeight="1" ht="6.3">
      <c r="C4" s="522"/>
      <c r="D4" s="509"/>
      <c r="E4" s="509"/>
      <c r="F4" s="509"/>
      <c r="G4" s="231"/>
      <c r="H4" s="231"/>
      <c r="R4" s="520">
        <v>6</v>
      </c>
    </row>
    <row customHeight="1" ht="34.5">
      <c r="C5" s="522"/>
      <c r="D5" s="261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14"/>
      <c r="F5" s="2614"/>
      <c r="G5" s="2615"/>
      <c r="H5" s="412"/>
      <c r="R5" s="520">
        <v>33</v>
      </c>
    </row>
    <row s="7235" customFormat="1" customHeight="1" ht="18">
      <c r="A6" s="1814"/>
      <c r="B6" s="1306"/>
      <c r="C6" s="522"/>
      <c r="D6" s="2616" t="str">
        <f>IF(org=0,"Не определено",org)</f>
        <v>ПАО "ТГК-14"</v>
      </c>
      <c r="E6" s="2617"/>
      <c r="F6" s="2617"/>
      <c r="G6" s="2618"/>
      <c r="H6" s="412"/>
      <c r="J6" s="1770"/>
      <c r="K6" s="1770"/>
      <c r="R6" s="1777">
        <v>17</v>
      </c>
    </row>
    <row customHeight="1" ht="14.699999999999998">
      <c r="C7" s="522"/>
      <c r="D7" s="509"/>
      <c r="E7" s="535"/>
      <c r="F7" s="535"/>
      <c r="G7" s="898"/>
      <c r="H7" s="339"/>
      <c r="R7" s="520">
        <v>14</v>
      </c>
    </row>
    <row customHeight="1" ht="14.699999999999998">
      <c r="C8" s="522"/>
      <c r="D8" s="2368" t="s">
        <v>322</v>
      </c>
      <c r="E8" s="2368"/>
      <c r="F8" s="2368"/>
      <c r="G8" s="2368"/>
      <c r="H8" s="2548" t="s">
        <v>323</v>
      </c>
      <c r="R8" s="520">
        <v>14</v>
      </c>
    </row>
    <row customHeight="1" ht="24">
      <c r="C9" s="522"/>
      <c r="D9" s="532" t="s">
        <v>89</v>
      </c>
      <c r="E9" s="254" t="s">
        <v>324</v>
      </c>
      <c r="F9" s="254" t="s">
        <v>325</v>
      </c>
      <c r="G9" s="254" t="s">
        <v>412</v>
      </c>
      <c r="H9" s="2548"/>
      <c r="R9" s="520">
        <v>23</v>
      </c>
    </row>
    <row customHeight="1" ht="14.699999999999998">
      <c r="A10" s="489"/>
      <c r="C10" s="522"/>
      <c r="D10" s="293" t="s">
        <v>121</v>
      </c>
      <c r="E10" s="202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403"/>
      <c r="G10" s="359"/>
      <c r="H10" s="2328" t="s">
        <v>1504</v>
      </c>
      <c r="R10" s="520">
        <v>14</v>
      </c>
    </row>
    <row customHeight="1" ht="14.699999999999998">
      <c r="A11" s="489"/>
      <c r="C11" s="522"/>
      <c r="D11" s="293" t="s">
        <v>105</v>
      </c>
      <c r="E11" s="202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403"/>
      <c r="G11" s="359"/>
      <c r="H11" s="2329"/>
      <c r="R11" s="520">
        <v>14</v>
      </c>
    </row>
    <row customHeight="1" ht="14.699999999999998">
      <c r="A12" s="248"/>
      <c r="C12" s="533"/>
      <c r="D12" s="293" t="s">
        <v>91</v>
      </c>
      <c r="E12" s="534" t="str">
        <f>"Сведения о планировании закупочных процедур"&amp;IF(TEMPLATE_SPHERE="TKO"," &lt;1&gt;","")</f>
        <v>Сведения о планировании закупочных процедур</v>
      </c>
      <c r="F12" s="403"/>
      <c r="G12" s="359"/>
      <c r="H12" s="232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496"/>
      <c r="K12" s="520"/>
      <c r="R12" s="520">
        <v>14</v>
      </c>
    </row>
    <row customHeight="1" ht="14.699999999999998">
      <c r="A13" s="248"/>
      <c r="C13" s="533"/>
      <c r="D13" s="293" t="s">
        <v>92</v>
      </c>
      <c r="E13" s="534" t="str">
        <f>"Сведения о результатах проведения закупочных процедур"&amp;IF(TEMPLATE_SPHERE="TKO"," &lt;1&gt;","")</f>
        <v>Сведения о результатах проведения закупочных процедур</v>
      </c>
      <c r="F13" s="403"/>
      <c r="G13" s="359"/>
      <c r="H13" s="2329"/>
      <c r="I13" s="496"/>
      <c r="K13" s="520"/>
      <c r="R13" s="520">
        <v>14</v>
      </c>
    </row>
    <row customHeight="1" ht="14.699999999999998">
      <c r="A14" s="489"/>
      <c r="C14" s="522"/>
      <c r="D14" s="493"/>
      <c r="E14" s="541" t="s">
        <v>344</v>
      </c>
      <c r="F14" s="495"/>
      <c r="G14" s="347"/>
      <c r="H14" s="2330"/>
      <c r="R14" s="520">
        <v>14</v>
      </c>
    </row>
    <row s="7235" customFormat="1" customHeight="1" ht="14.699999999999998">
      <c r="A15" s="489"/>
      <c r="B15" s="1306"/>
      <c r="C15" s="522"/>
      <c r="D15" s="542"/>
      <c r="E15" s="1822"/>
      <c r="F15" s="1823"/>
      <c r="G15" s="1824"/>
      <c r="H15" s="1825"/>
      <c r="J15" s="1770"/>
      <c r="K15" s="1770"/>
      <c r="R15" s="1777">
        <v>14</v>
      </c>
    </row>
    <row customHeight="1" ht="14.699999999999998">
      <c r="D16" s="1826"/>
      <c r="E16" s="2544"/>
      <c r="F16" s="2544"/>
      <c r="G16" s="2544"/>
      <c r="H16" s="2544"/>
      <c r="R16" s="520">
        <v>14</v>
      </c>
    </row>
    <row customHeight="1" ht="22.5" hidden="1">
      <c r="A17" s="510" t="s">
        <v>83</v>
      </c>
      <c r="B17" s="292">
        <v>0</v>
      </c>
      <c r="C17" s="490">
        <v>3</v>
      </c>
      <c r="D17" s="520">
        <v>6</v>
      </c>
      <c r="E17" s="520">
        <v>53</v>
      </c>
      <c r="F17" s="520">
        <v>35</v>
      </c>
      <c r="G17" s="520">
        <v>35</v>
      </c>
      <c r="H17" s="520">
        <v>89</v>
      </c>
      <c r="I17" s="520">
        <v>10</v>
      </c>
      <c r="J17" s="496">
        <v>10</v>
      </c>
      <c r="K17" s="496">
        <v>10</v>
      </c>
      <c r="L17" s="520">
        <v>10</v>
      </c>
      <c r="M17" s="520">
        <v>10</v>
      </c>
      <c r="N17" s="520">
        <v>10</v>
      </c>
      <c r="O17" s="520">
        <v>10</v>
      </c>
      <c r="P17" s="520">
        <v>10</v>
      </c>
      <c r="Q17" s="520">
        <v>10</v>
      </c>
      <c r="R17" s="520">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026063-8AF6-2BAF-6AC6-0.A501BD33}"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7183" width="3.7109375" hidden="1" customWidth="1"/>
    <col min="3" max="3" style="7809" width="3.00390625" customWidth="1"/>
    <col min="4" max="4" style="7809" width="6.00390625" customWidth="1"/>
    <col min="5" max="5" style="7809" width="42.00390625" customWidth="1"/>
    <col min="6" max="6" style="7809" width="15.00390625" customWidth="1"/>
    <col min="7" max="7" style="7809" width="42.00390625" customWidth="1"/>
    <col min="8" max="8" style="7809" width="3.00390625" customWidth="1"/>
    <col min="9" max="9" style="7809" width="5.00390625" customWidth="1"/>
    <col min="10" max="10" style="7809" width="47.00390625" customWidth="1"/>
    <col min="11" max="12" style="7809" width="3.00390625" customWidth="1"/>
    <col min="13" max="13" style="7809" width="5.00390625" customWidth="1"/>
    <col min="14" max="14" style="7809" width="28.00390625" customWidth="1"/>
    <col min="15" max="16" style="7809" width="3.00390625" customWidth="1"/>
    <col min="17" max="17" style="7809" width="5.00390625" customWidth="1"/>
    <col min="18" max="18" style="7809" width="34.00390625" customWidth="1"/>
    <col min="19" max="20" style="7809" width="3.7109375" customWidth="1"/>
    <col min="21" max="21" style="7809" width="5.7109375" customWidth="1"/>
    <col min="22" max="22" style="7809" width="34.421875" customWidth="1"/>
    <col min="23" max="23" style="7809" width="30.00390625" customWidth="1"/>
    <col min="24" max="24" style="7809" width="3.00390625" customWidth="1"/>
    <col min="25" max="28" style="7315" width="9.8515625" hidden="1" customWidth="1"/>
    <col min="29" max="29" style="7315" width="27.00390625" hidden="1" customWidth="1"/>
    <col min="30" max="30" style="7315" width="10.57421875" hidden="1" customWidth="1"/>
    <col min="31" max="31" style="7315" width="10.7109375" hidden="1" customWidth="1"/>
    <col min="32" max="32" style="7315" width="10.00390625" hidden="1" customWidth="1"/>
    <col min="33" max="33" style="7315" width="12.8515625" hidden="1" customWidth="1"/>
    <col min="34" max="34" style="7315" width="24.421875" hidden="1" customWidth="1"/>
    <col min="35" max="35" style="7315" width="15.8515625" hidden="1" customWidth="1"/>
    <col min="36" max="36" style="7315" width="19.421875" hidden="1" customWidth="1"/>
    <col min="37" max="37" style="7315" width="11.00390625" hidden="1" customWidth="1"/>
    <col min="38" max="38" style="7315" width="23.57421875" hidden="1" customWidth="1"/>
    <col min="39" max="39" style="7315" width="23.8515625" hidden="1" customWidth="1"/>
    <col min="40" max="40" style="7315" width="25.28125" hidden="1" customWidth="1"/>
    <col min="41" max="41" style="7315" width="16.8515625" hidden="1" customWidth="1"/>
    <col min="42" max="42" style="7315" width="29.57421875" hidden="1" customWidth="1"/>
    <col min="43" max="43" style="7315" width="29.8515625" hidden="1" customWidth="1"/>
    <col min="44" max="44" style="7809" width="9.140625" hidden="1"/>
  </cols>
  <sheetData>
    <row customHeight="1" ht="11.25" hidden="1">
      <c r="A1" s="302"/>
      <c r="AR1" s="250" t="s">
        <v>14</v>
      </c>
    </row>
    <row customHeight="1" ht="11.25" hidden="1">
      <c r="AR2" s="250">
        <v>0</v>
      </c>
    </row>
    <row customHeight="1" ht="11.25" hidden="1">
      <c r="AR3" s="250">
        <v>0</v>
      </c>
    </row>
    <row customHeight="1" ht="3">
      <c r="AR4" s="250">
        <v>3</v>
      </c>
    </row>
    <row s="5715" customFormat="1" customHeight="1" ht="30.45">
      <c r="A5" s="300"/>
      <c r="B5" s="300"/>
      <c r="D5" s="231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17"/>
      <c r="F5" s="2317"/>
      <c r="G5" s="2317"/>
      <c r="H5" s="2317"/>
      <c r="I5" s="2317"/>
      <c r="J5" s="2318"/>
      <c r="K5" s="411"/>
      <c r="L5" s="288"/>
      <c r="M5" s="288"/>
      <c r="N5" s="288"/>
      <c r="O5" s="288"/>
      <c r="P5" s="288"/>
      <c r="Q5" s="288"/>
      <c r="R5" s="288"/>
      <c r="S5" s="436"/>
      <c r="T5" s="436"/>
      <c r="U5" s="436"/>
      <c r="V5" s="436"/>
      <c r="W5" s="288"/>
      <c r="Y5" s="1406"/>
      <c r="Z5" s="1406"/>
      <c r="AA5" s="1406"/>
      <c r="AB5" s="1406"/>
      <c r="AC5" s="1406"/>
      <c r="AD5" s="1406"/>
      <c r="AE5" s="1406"/>
      <c r="AF5" s="1406"/>
      <c r="AG5" s="1406"/>
      <c r="AH5" s="1406"/>
      <c r="AI5" s="1406"/>
      <c r="AJ5" s="1406"/>
      <c r="AK5" s="1406"/>
      <c r="AL5" s="1406"/>
      <c r="AM5" s="1406"/>
      <c r="AN5" s="1406"/>
      <c r="AO5" s="1406"/>
      <c r="AP5" s="1406"/>
      <c r="AQ5" s="1406"/>
      <c r="AR5" s="257">
        <v>29</v>
      </c>
    </row>
    <row s="5715" customFormat="1" customHeight="1" ht="14.699999999999998">
      <c r="A6" s="731"/>
      <c r="B6" s="731"/>
      <c r="C6" s="731"/>
      <c r="D6" s="2322" t="str">
        <f>IF(org=0,"Не определено",org)</f>
        <v>ПАО "ТГК-14"</v>
      </c>
      <c r="E6" s="2322"/>
      <c r="F6" s="2322"/>
      <c r="G6" s="2322"/>
      <c r="H6" s="2322"/>
      <c r="I6" s="2322"/>
      <c r="J6" s="2322"/>
      <c r="K6" s="732"/>
      <c r="L6" s="732"/>
      <c r="M6" s="732"/>
      <c r="N6" s="732"/>
      <c r="O6" s="1016"/>
      <c r="P6" s="1016"/>
      <c r="Q6" s="1016"/>
      <c r="R6" s="1016"/>
      <c r="S6" s="1016"/>
      <c r="T6" s="1016"/>
      <c r="U6" s="1016"/>
      <c r="V6" s="1016"/>
      <c r="W6" s="1016"/>
      <c r="X6" s="732"/>
      <c r="Y6" s="1407"/>
      <c r="Z6" s="1407"/>
      <c r="AA6" s="1407"/>
      <c r="AB6" s="1407"/>
      <c r="AC6" s="1407"/>
      <c r="AD6" s="1407"/>
      <c r="AE6" s="1407"/>
      <c r="AF6" s="1407"/>
      <c r="AG6" s="1407"/>
      <c r="AH6" s="1407"/>
      <c r="AI6" s="1407"/>
      <c r="AJ6" s="1407"/>
      <c r="AK6" s="1407"/>
      <c r="AL6" s="1407"/>
      <c r="AM6" s="1407"/>
      <c r="AN6" s="1407"/>
      <c r="AO6" s="1407"/>
      <c r="AP6" s="1407"/>
      <c r="AQ6" s="1407"/>
      <c r="AR6" s="733">
        <v>14</v>
      </c>
    </row>
    <row s="5713" customFormat="1" customHeight="1" ht="11.549999999999999">
      <c r="A7" s="357"/>
      <c r="B7" s="357"/>
      <c r="D7" s="2319"/>
      <c r="E7" s="2320"/>
      <c r="F7" s="2320"/>
      <c r="G7" s="2320"/>
      <c r="H7" s="2320"/>
      <c r="I7" s="2320"/>
      <c r="J7" s="2321"/>
      <c r="S7" s="445"/>
      <c r="T7" s="445"/>
      <c r="U7" s="445"/>
      <c r="V7" s="445"/>
      <c r="Y7" s="1408"/>
      <c r="Z7" s="1408"/>
      <c r="AA7" s="1408"/>
      <c r="AB7" s="1408"/>
      <c r="AC7" s="1408"/>
      <c r="AD7" s="1408"/>
      <c r="AE7" s="1408"/>
      <c r="AF7" s="1408"/>
      <c r="AG7" s="1408"/>
      <c r="AH7" s="1408"/>
      <c r="AI7" s="1408"/>
      <c r="AJ7" s="1408"/>
      <c r="AK7" s="1408"/>
      <c r="AL7" s="1408"/>
      <c r="AM7" s="1408"/>
      <c r="AN7" s="1408"/>
      <c r="AO7" s="1408"/>
      <c r="AP7" s="1408"/>
      <c r="AQ7" s="1408"/>
      <c r="AR7" s="422">
        <v>11</v>
      </c>
    </row>
    <row s="5715" customFormat="1" customHeight="1" ht="1.05">
      <c r="A8" s="300"/>
      <c r="B8" s="300"/>
      <c r="D8" s="358"/>
      <c r="E8" s="358"/>
      <c r="F8" s="358"/>
      <c r="G8" s="358"/>
      <c r="H8" s="358"/>
      <c r="I8" s="358"/>
      <c r="J8" s="358"/>
      <c r="K8" s="358"/>
      <c r="L8" s="358"/>
      <c r="M8" s="358"/>
      <c r="N8" s="358"/>
      <c r="O8" s="358"/>
      <c r="P8" s="358"/>
      <c r="Q8" s="358"/>
      <c r="R8" s="358"/>
      <c r="S8" s="358"/>
      <c r="T8" s="358"/>
      <c r="U8" s="358"/>
      <c r="V8" s="358"/>
      <c r="W8" s="358"/>
      <c r="X8" s="278"/>
      <c r="Y8" s="1406"/>
      <c r="Z8" s="1406"/>
      <c r="AA8" s="1406"/>
      <c r="AB8" s="1406"/>
      <c r="AC8" s="1406"/>
      <c r="AD8" s="1406"/>
      <c r="AE8" s="1406"/>
      <c r="AF8" s="1406"/>
      <c r="AG8" s="1406"/>
      <c r="AH8" s="1406"/>
      <c r="AI8" s="1406"/>
      <c r="AJ8" s="1406"/>
      <c r="AK8" s="1406"/>
      <c r="AL8" s="1406"/>
      <c r="AM8" s="1406"/>
      <c r="AN8" s="1406"/>
      <c r="AO8" s="1406"/>
      <c r="AP8" s="1406"/>
      <c r="AQ8" s="1406"/>
      <c r="AR8" s="257">
        <v>1</v>
      </c>
    </row>
    <row customHeight="1" ht="28.5">
      <c r="D9" s="2286" t="s">
        <v>89</v>
      </c>
      <c r="E9" s="2260" t="s">
        <v>146</v>
      </c>
      <c r="F9" s="2262"/>
      <c r="G9" s="2286" t="s">
        <v>117</v>
      </c>
      <c r="H9" s="2286" t="s">
        <v>89</v>
      </c>
      <c r="I9" s="2286"/>
      <c r="J9" s="2286" t="s">
        <v>147</v>
      </c>
      <c r="K9" s="2314" t="s">
        <v>148</v>
      </c>
      <c r="L9" s="2314"/>
      <c r="M9" s="2314"/>
      <c r="N9" s="2314"/>
      <c r="O9" s="2314" t="s">
        <v>149</v>
      </c>
      <c r="P9" s="2314"/>
      <c r="Q9" s="2314"/>
      <c r="R9" s="2314"/>
      <c r="S9" s="2314" t="s">
        <v>150</v>
      </c>
      <c r="T9" s="2314"/>
      <c r="U9" s="2314"/>
      <c r="V9" s="2314"/>
      <c r="W9" s="2286" t="s">
        <v>151</v>
      </c>
      <c r="AR9" s="250">
        <v>27</v>
      </c>
    </row>
    <row customHeight="1" ht="31.5">
      <c r="D10" s="2286"/>
      <c r="E10" s="1430" t="s">
        <v>90</v>
      </c>
      <c r="F10" s="1430" t="s">
        <v>152</v>
      </c>
      <c r="G10" s="2286"/>
      <c r="H10" s="2286"/>
      <c r="I10" s="2286"/>
      <c r="J10" s="2286"/>
      <c r="K10" s="256" t="s">
        <v>120</v>
      </c>
      <c r="L10" s="2286" t="s">
        <v>89</v>
      </c>
      <c r="M10" s="2286"/>
      <c r="N10" s="256" t="s">
        <v>153</v>
      </c>
      <c r="O10" s="256" t="s">
        <v>120</v>
      </c>
      <c r="P10" s="2286" t="s">
        <v>89</v>
      </c>
      <c r="Q10" s="2286"/>
      <c r="R10" s="256" t="s">
        <v>153</v>
      </c>
      <c r="S10" s="429" t="s">
        <v>120</v>
      </c>
      <c r="T10" s="2286" t="s">
        <v>89</v>
      </c>
      <c r="U10" s="2286"/>
      <c r="V10" s="429" t="s">
        <v>90</v>
      </c>
      <c r="W10" s="2286"/>
      <c r="Z10" s="1405" t="s">
        <v>154</v>
      </c>
      <c r="AA10" s="1405" t="s">
        <v>155</v>
      </c>
      <c r="AB10" s="1405" t="s">
        <v>156</v>
      </c>
      <c r="AC10" s="1405" t="s">
        <v>157</v>
      </c>
      <c r="AD10" s="1405" t="s">
        <v>158</v>
      </c>
      <c r="AE10" s="1405" t="s">
        <v>159</v>
      </c>
      <c r="AF10" s="1405" t="s">
        <v>160</v>
      </c>
      <c r="AG10" s="1405" t="s">
        <v>161</v>
      </c>
      <c r="AH10" s="1405" t="s">
        <v>162</v>
      </c>
      <c r="AI10" s="1405" t="s">
        <v>163</v>
      </c>
      <c r="AJ10" s="1405" t="s">
        <v>164</v>
      </c>
      <c r="AK10" s="1405" t="s">
        <v>165</v>
      </c>
      <c r="AL10" s="1405" t="s">
        <v>166</v>
      </c>
      <c r="AM10" s="1405" t="s">
        <v>167</v>
      </c>
      <c r="AN10" s="1405" t="s">
        <v>168</v>
      </c>
      <c r="AO10" s="1405" t="s">
        <v>169</v>
      </c>
      <c r="AP10" s="1405" t="s">
        <v>170</v>
      </c>
      <c r="AQ10" s="1405" t="s">
        <v>171</v>
      </c>
      <c r="AR10" s="250">
        <v>30</v>
      </c>
    </row>
    <row s="7183" customFormat="1" customHeight="1" ht="12" hidden="1">
      <c r="D11" s="1395" t="s">
        <v>121</v>
      </c>
      <c r="E11" s="1395" t="s">
        <v>105</v>
      </c>
      <c r="F11" s="1395"/>
      <c r="G11" s="1395" t="s">
        <v>91</v>
      </c>
      <c r="H11" s="2315" t="s">
        <v>122</v>
      </c>
      <c r="I11" s="2315"/>
      <c r="J11" s="1395" t="s">
        <v>93</v>
      </c>
      <c r="K11" s="1395" t="s">
        <v>94</v>
      </c>
      <c r="L11" s="2315" t="s">
        <v>123</v>
      </c>
      <c r="M11" s="2315"/>
      <c r="N11" s="1395" t="s">
        <v>172</v>
      </c>
      <c r="O11" s="1395" t="s">
        <v>173</v>
      </c>
      <c r="P11" s="2315" t="s">
        <v>174</v>
      </c>
      <c r="Q11" s="2315"/>
      <c r="R11" s="1395" t="s">
        <v>175</v>
      </c>
      <c r="S11" s="1395" t="s">
        <v>174</v>
      </c>
      <c r="T11" s="2315" t="s">
        <v>175</v>
      </c>
      <c r="U11" s="2315"/>
      <c r="V11" s="1395" t="s">
        <v>176</v>
      </c>
      <c r="W11" s="1395" t="s">
        <v>177</v>
      </c>
      <c r="Y11" s="1405"/>
      <c r="Z11" s="1405"/>
      <c r="AA11" s="1405"/>
      <c r="AB11" s="1405"/>
      <c r="AC11" s="1405"/>
      <c r="AD11" s="1405"/>
      <c r="AE11" s="1405"/>
      <c r="AF11" s="1405"/>
      <c r="AG11" s="1405"/>
      <c r="AH11" s="1405"/>
      <c r="AI11" s="1405"/>
      <c r="AJ11" s="1405"/>
      <c r="AK11" s="1405"/>
      <c r="AL11" s="1405"/>
      <c r="AM11" s="1405"/>
      <c r="AN11" s="1405"/>
      <c r="AO11" s="1405"/>
      <c r="AP11" s="1405"/>
      <c r="AQ11" s="1405"/>
      <c r="AR11" s="423">
        <v>0</v>
      </c>
    </row>
    <row customHeight="1" ht="14.25" hidden="1">
      <c r="C12" s="355"/>
      <c r="D12" s="1428">
        <v>0</v>
      </c>
      <c r="E12" s="396"/>
      <c r="F12" s="396"/>
      <c r="G12" s="396"/>
      <c r="H12" s="397"/>
      <c r="I12" s="397"/>
      <c r="J12" s="304"/>
      <c r="K12" s="258"/>
      <c r="L12" s="304"/>
      <c r="M12" s="304"/>
      <c r="N12" s="398"/>
      <c r="O12" s="258"/>
      <c r="P12" s="304"/>
      <c r="Q12" s="304"/>
      <c r="R12" s="399"/>
      <c r="S12" s="430"/>
      <c r="T12" s="438"/>
      <c r="U12" s="438"/>
      <c r="V12" s="442"/>
      <c r="W12" s="258"/>
      <c r="X12" s="287"/>
      <c r="AR12" s="250">
        <v>0</v>
      </c>
    </row>
    <row s="7809" customFormat="1" customHeight="1" ht="17.25" hidden="1">
      <c r="A13" s="467"/>
      <c r="C13" s="355"/>
      <c r="D13" s="2294">
        <v>1</v>
      </c>
      <c r="E13" s="2302" t="s">
        <v>178</v>
      </c>
      <c r="F13" s="2304" t="s">
        <v>19</v>
      </c>
      <c r="G13" s="2302"/>
      <c r="H13" s="2307"/>
      <c r="I13" s="2309"/>
      <c r="J13" s="2311"/>
      <c r="K13" s="2296"/>
      <c r="L13" s="2296"/>
      <c r="M13" s="2296"/>
      <c r="N13" s="2298"/>
      <c r="O13" s="2296"/>
      <c r="P13" s="2296"/>
      <c r="Q13" s="2296"/>
      <c r="R13" s="2301"/>
      <c r="S13" s="2296"/>
      <c r="T13" s="1566"/>
      <c r="U13" s="1566"/>
      <c r="V13" s="1565"/>
      <c r="W13" s="1442"/>
      <c r="Y13" s="1413"/>
      <c r="Z13" s="1413"/>
      <c r="AA13" s="1413"/>
      <c r="AB13" s="1413"/>
      <c r="AC13" s="1413" t="s">
        <v>179</v>
      </c>
      <c r="AD13" s="1413" t="s">
        <v>180</v>
      </c>
      <c r="AE13" s="1413" t="s">
        <v>181</v>
      </c>
      <c r="AF13" s="1413" t="s">
        <v>182</v>
      </c>
      <c r="AG13" s="1413" t="s">
        <v>183</v>
      </c>
      <c r="AH13" s="141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13" t="str">
        <f>IF($G$13=0,"",$G$13)</f>
        <v/>
      </c>
      <c r="AJ13" s="1413" t="str">
        <f>IF($J$13=0,"",$J$13)</f>
        <v/>
      </c>
      <c r="AK13" s="1413" t="str">
        <f>IF($K$13="нет","без дифференциации",IF($N$13=0,"",$N$13))</f>
        <v/>
      </c>
      <c r="AL13" s="1413" t="str">
        <f>IF($O$13="нет","без дифференциации",IF($R$13=0,"",$R$13))</f>
        <v/>
      </c>
      <c r="AM13" s="1413" t="str">
        <f>IF($S$13="нет","без дифференциации",IF($V$13=0,"",$V$13))</f>
        <v/>
      </c>
      <c r="AN13" s="1413">
        <f>$I$13</f>
        <v>0</v>
      </c>
      <c r="AO13" s="1413" t="str">
        <f>$I$13&amp;"."&amp;$M$13</f>
        <v>.</v>
      </c>
      <c r="AP13" s="1413" t="str">
        <f>$I$13&amp;"."&amp;$M$13&amp;"."&amp;$Q$13</f>
        <v>..</v>
      </c>
      <c r="AQ13" s="1413" t="str">
        <f>$I$13&amp;"."&amp;$M$13&amp;"."&amp;$Q$13&amp;"."&amp;$U$13</f>
        <v>...</v>
      </c>
      <c r="AR13" s="896">
        <v>0</v>
      </c>
    </row>
    <row s="7809" customFormat="1" customHeight="1" ht="17.25" hidden="1">
      <c r="A14" s="467"/>
      <c r="C14" s="466"/>
      <c r="D14" s="2294"/>
      <c r="E14" s="2302"/>
      <c r="F14" s="2305"/>
      <c r="G14" s="2302"/>
      <c r="H14" s="2308"/>
      <c r="I14" s="2310"/>
      <c r="J14" s="2312"/>
      <c r="K14" s="2297"/>
      <c r="L14" s="2297"/>
      <c r="M14" s="2297"/>
      <c r="N14" s="2299"/>
      <c r="O14" s="2297"/>
      <c r="P14" s="2297"/>
      <c r="Q14" s="2297"/>
      <c r="R14" s="2300"/>
      <c r="S14" s="2297"/>
      <c r="T14" s="1443"/>
      <c r="U14" s="1443"/>
      <c r="V14" s="1443"/>
      <c r="W14" s="1444"/>
      <c r="Y14" s="1405"/>
      <c r="Z14" s="1405"/>
      <c r="AA14" s="1405"/>
      <c r="AB14" s="1405"/>
      <c r="AC14" s="1405"/>
      <c r="AD14" s="1405"/>
      <c r="AE14" s="1405"/>
      <c r="AF14" s="1405"/>
      <c r="AG14" s="1405"/>
      <c r="AH14" s="1405"/>
      <c r="AI14" s="1405"/>
      <c r="AJ14" s="1405"/>
      <c r="AK14" s="1405"/>
      <c r="AL14" s="1405"/>
      <c r="AM14" s="1405"/>
      <c r="AN14" s="1405"/>
      <c r="AO14" s="1405"/>
      <c r="AP14" s="1405"/>
      <c r="AQ14" s="1405"/>
      <c r="AR14" s="896">
        <v>0</v>
      </c>
    </row>
    <row s="7809" customFormat="1" customHeight="1" ht="17.25" hidden="1">
      <c r="A15" s="467"/>
      <c r="C15" s="355"/>
      <c r="D15" s="2294"/>
      <c r="E15" s="2302"/>
      <c r="F15" s="2305"/>
      <c r="G15" s="2302"/>
      <c r="H15" s="2308"/>
      <c r="I15" s="2310"/>
      <c r="J15" s="2313"/>
      <c r="K15" s="2297"/>
      <c r="L15" s="2297"/>
      <c r="M15" s="2297"/>
      <c r="N15" s="2300"/>
      <c r="O15" s="2297"/>
      <c r="P15" s="1564"/>
      <c r="Q15" s="1443"/>
      <c r="R15" s="1443"/>
      <c r="S15" s="475"/>
      <c r="T15" s="475"/>
      <c r="U15" s="475"/>
      <c r="V15" s="475"/>
      <c r="W15" s="1444"/>
      <c r="Y15" s="1413"/>
      <c r="Z15" s="1413"/>
      <c r="AA15" s="1413"/>
      <c r="AB15" s="1413"/>
      <c r="AC15" s="1413"/>
      <c r="AD15" s="1413"/>
      <c r="AE15" s="1413"/>
      <c r="AF15" s="1413"/>
      <c r="AG15" s="1413"/>
      <c r="AH15" s="1413"/>
      <c r="AI15" s="1413"/>
      <c r="AJ15" s="1413"/>
      <c r="AK15" s="1413"/>
      <c r="AL15" s="1413"/>
      <c r="AM15" s="1413"/>
      <c r="AN15" s="1413"/>
      <c r="AO15" s="1413"/>
      <c r="AP15" s="1413"/>
      <c r="AQ15" s="1413"/>
      <c r="AR15" s="1563">
        <v>0</v>
      </c>
    </row>
    <row s="7809" customFormat="1" customHeight="1" ht="17.25" hidden="1">
      <c r="A16" s="467"/>
      <c r="C16" s="466"/>
      <c r="D16" s="2294"/>
      <c r="E16" s="2302"/>
      <c r="F16" s="2305"/>
      <c r="G16" s="2302"/>
      <c r="H16" s="2308"/>
      <c r="I16" s="2310"/>
      <c r="J16" s="2313"/>
      <c r="K16" s="2297"/>
      <c r="L16" s="1443"/>
      <c r="M16" s="1443"/>
      <c r="N16" s="1443"/>
      <c r="O16" s="1443"/>
      <c r="P16" s="1443"/>
      <c r="Q16" s="1443"/>
      <c r="R16" s="1443"/>
      <c r="S16" s="475"/>
      <c r="T16" s="475"/>
      <c r="U16" s="475"/>
      <c r="V16" s="475"/>
      <c r="W16" s="1444"/>
      <c r="Y16" s="1405"/>
      <c r="Z16" s="1405"/>
      <c r="AA16" s="1405"/>
      <c r="AB16" s="1405"/>
      <c r="AC16" s="1405"/>
      <c r="AD16" s="1405"/>
      <c r="AE16" s="1405"/>
      <c r="AF16" s="1405"/>
      <c r="AG16" s="1405"/>
      <c r="AH16" s="1405"/>
      <c r="AI16" s="1405"/>
      <c r="AJ16" s="1405"/>
      <c r="AK16" s="1405"/>
      <c r="AL16" s="1405"/>
      <c r="AM16" s="1405"/>
      <c r="AN16" s="1405"/>
      <c r="AO16" s="1405"/>
      <c r="AP16" s="1405"/>
      <c r="AQ16" s="1405"/>
      <c r="AR16" s="1563">
        <v>0</v>
      </c>
    </row>
    <row s="7809" customFormat="1" customHeight="1" ht="17.25" hidden="1">
      <c r="A17" s="467"/>
      <c r="C17" s="466"/>
      <c r="D17" s="2295"/>
      <c r="E17" s="2303"/>
      <c r="F17" s="2306"/>
      <c r="G17" s="2303"/>
      <c r="H17" s="1445"/>
      <c r="I17" s="1446"/>
      <c r="J17" s="1446"/>
      <c r="K17" s="1446"/>
      <c r="L17" s="1446"/>
      <c r="M17" s="1446"/>
      <c r="N17" s="1446"/>
      <c r="O17" s="1446"/>
      <c r="P17" s="1446"/>
      <c r="Q17" s="1446"/>
      <c r="R17" s="1446"/>
      <c r="S17" s="1447"/>
      <c r="T17" s="1447"/>
      <c r="U17" s="1447"/>
      <c r="V17" s="1447"/>
      <c r="W17" s="1448"/>
      <c r="Y17" s="1405"/>
      <c r="Z17" s="1405"/>
      <c r="AA17" s="1405"/>
      <c r="AB17" s="1405"/>
      <c r="AC17" s="1405"/>
      <c r="AD17" s="1405"/>
      <c r="AE17" s="1405"/>
      <c r="AF17" s="1405"/>
      <c r="AG17" s="1405"/>
      <c r="AH17" s="1405"/>
      <c r="AI17" s="1405"/>
      <c r="AJ17" s="1405"/>
      <c r="AK17" s="1405"/>
      <c r="AL17" s="1405"/>
      <c r="AM17" s="1405"/>
      <c r="AN17" s="1405"/>
      <c r="AO17" s="1405"/>
      <c r="AP17" s="1405"/>
      <c r="AQ17" s="1405"/>
      <c r="AR17" s="896">
        <v>0</v>
      </c>
    </row>
    <row s="7809" customFormat="1" customHeight="1" ht="17.25" hidden="1">
      <c r="A18" s="467"/>
      <c r="C18" s="355"/>
      <c r="D18" s="2294">
        <v>2</v>
      </c>
      <c r="E18" s="2323"/>
      <c r="F18" s="2304" t="s">
        <v>19</v>
      </c>
      <c r="G18" s="2302"/>
      <c r="H18" s="2307"/>
      <c r="I18" s="2309"/>
      <c r="J18" s="2311"/>
      <c r="K18" s="2296"/>
      <c r="L18" s="2296"/>
      <c r="M18" s="2296"/>
      <c r="N18" s="2298"/>
      <c r="O18" s="2296"/>
      <c r="P18" s="2296"/>
      <c r="Q18" s="2296"/>
      <c r="R18" s="2301"/>
      <c r="S18" s="2296"/>
      <c r="T18" s="1566"/>
      <c r="U18" s="1566"/>
      <c r="V18" s="1565"/>
      <c r="W18" s="1442"/>
      <c r="X18" s="1413"/>
      <c r="Y18" s="1413"/>
      <c r="Z18" s="1413"/>
      <c r="AA18" s="1413"/>
      <c r="AB18" s="1413"/>
      <c r="AC18" s="1413" t="s">
        <v>184</v>
      </c>
      <c r="AD18" s="1413" t="s">
        <v>185</v>
      </c>
      <c r="AE18" s="1413" t="s">
        <v>186</v>
      </c>
      <c r="AF18" s="1413" t="s">
        <v>187</v>
      </c>
      <c r="AG18" s="1413" t="s">
        <v>188</v>
      </c>
      <c r="AH18" s="1413" t="str">
        <f>IF($E$18=0,"",$E$18)</f>
        <v/>
      </c>
      <c r="AI18" s="1413" t="str">
        <f>IF($G$18=0,"",$G$18)</f>
        <v/>
      </c>
      <c r="AJ18" s="1413" t="str">
        <f>IF($J$18=0,"",$J$18)</f>
        <v/>
      </c>
      <c r="AK18" s="1413" t="str">
        <f>IF($K$18="нет","без дифференциации",IF($N$18=0,"",$N$18))</f>
        <v/>
      </c>
      <c r="AL18" s="1413" t="str">
        <f>IF($O$18="нет","без дифференциации",IF($R$18=0,"",$R$18))</f>
        <v/>
      </c>
      <c r="AM18" s="1413" t="str">
        <f>IF($S$18="нет","без дифференциации",IF($V$18=0,"",$V$18))</f>
        <v/>
      </c>
      <c r="AN18" s="1917">
        <f>$I$18</f>
        <v>0</v>
      </c>
      <c r="AO18" s="1413" t="str">
        <f>$I$18&amp;"."&amp;$M$18</f>
        <v>.</v>
      </c>
      <c r="AP18" s="1405" t="str">
        <f>$I$18&amp;"."&amp;$M$18&amp;"."&amp;$Q$18</f>
        <v>..</v>
      </c>
      <c r="AQ18" s="1405" t="str">
        <f>$I$18&amp;"."&amp;$M$18&amp;"."&amp;$Q$18&amp;"."&amp;$U$18</f>
        <v>...</v>
      </c>
      <c r="AR18" s="1429">
        <v>0</v>
      </c>
    </row>
    <row s="7809" customFormat="1" customHeight="1" ht="17.25" hidden="1">
      <c r="A19" s="467"/>
      <c r="C19" s="466"/>
      <c r="D19" s="2294"/>
      <c r="E19" s="2323"/>
      <c r="F19" s="2305"/>
      <c r="G19" s="2302"/>
      <c r="H19" s="2308"/>
      <c r="I19" s="2310"/>
      <c r="J19" s="2312"/>
      <c r="K19" s="2297"/>
      <c r="L19" s="2297"/>
      <c r="M19" s="2297"/>
      <c r="N19" s="2299"/>
      <c r="O19" s="2297"/>
      <c r="P19" s="2297"/>
      <c r="Q19" s="2297"/>
      <c r="R19" s="2300"/>
      <c r="S19" s="2297"/>
      <c r="T19" s="1443"/>
      <c r="U19" s="1443"/>
      <c r="V19" s="1443"/>
      <c r="W19" s="1444"/>
      <c r="X19" s="1405"/>
      <c r="Y19" s="1405"/>
      <c r="Z19" s="1405"/>
      <c r="AA19" s="1405"/>
      <c r="AB19" s="1405"/>
      <c r="AC19" s="1405"/>
      <c r="AD19" s="1405"/>
      <c r="AE19" s="1405"/>
      <c r="AF19" s="1405"/>
      <c r="AG19" s="1405"/>
      <c r="AH19" s="1405"/>
      <c r="AI19" s="1405"/>
      <c r="AJ19" s="1405"/>
      <c r="AK19" s="1405"/>
      <c r="AL19" s="1405"/>
      <c r="AM19" s="1405"/>
      <c r="AN19" s="1405"/>
      <c r="AO19" s="1405"/>
      <c r="AP19" s="1405"/>
      <c r="AQ19" s="1405"/>
      <c r="AR19" s="1429">
        <v>0</v>
      </c>
    </row>
    <row s="7809" customFormat="1" customHeight="1" ht="17.25" hidden="1">
      <c r="A20" s="467"/>
      <c r="C20" s="466"/>
      <c r="D20" s="2295"/>
      <c r="E20" s="2324"/>
      <c r="F20" s="2305"/>
      <c r="G20" s="2303"/>
      <c r="H20" s="2308"/>
      <c r="I20" s="2310"/>
      <c r="J20" s="2313"/>
      <c r="K20" s="2297"/>
      <c r="L20" s="2297"/>
      <c r="M20" s="2297"/>
      <c r="N20" s="2300"/>
      <c r="O20" s="2297"/>
      <c r="P20" s="1564"/>
      <c r="Q20" s="1443"/>
      <c r="R20" s="1443"/>
      <c r="S20" s="475"/>
      <c r="T20" s="475"/>
      <c r="U20" s="475"/>
      <c r="V20" s="475"/>
      <c r="W20" s="1444"/>
      <c r="X20" s="1405"/>
      <c r="Y20" s="1405"/>
      <c r="Z20" s="1405"/>
      <c r="AA20" s="1405"/>
      <c r="AB20" s="1405"/>
      <c r="AC20" s="1405"/>
      <c r="AD20" s="1405"/>
      <c r="AE20" s="1405"/>
      <c r="AF20" s="1405"/>
      <c r="AG20" s="1405"/>
      <c r="AH20" s="1405"/>
      <c r="AI20" s="1405"/>
      <c r="AJ20" s="1405"/>
      <c r="AK20" s="1405"/>
      <c r="AL20" s="1405"/>
      <c r="AM20" s="1405"/>
      <c r="AN20" s="1405"/>
      <c r="AO20" s="1405"/>
      <c r="AP20" s="1405"/>
      <c r="AQ20" s="1405"/>
      <c r="AR20" s="1429">
        <v>0</v>
      </c>
    </row>
    <row s="7809" customFormat="1" customHeight="1" ht="17.25" hidden="1">
      <c r="A21" s="467"/>
      <c r="C21" s="466"/>
      <c r="D21" s="2295"/>
      <c r="E21" s="2324"/>
      <c r="F21" s="2305"/>
      <c r="G21" s="2303"/>
      <c r="H21" s="2308"/>
      <c r="I21" s="2310"/>
      <c r="J21" s="2313"/>
      <c r="K21" s="2297"/>
      <c r="L21" s="1443"/>
      <c r="M21" s="1443"/>
      <c r="N21" s="1443"/>
      <c r="O21" s="1443"/>
      <c r="P21" s="1443"/>
      <c r="Q21" s="1443"/>
      <c r="R21" s="1443"/>
      <c r="S21" s="475"/>
      <c r="T21" s="475"/>
      <c r="U21" s="475"/>
      <c r="V21" s="475"/>
      <c r="W21" s="1444"/>
      <c r="X21" s="1405"/>
      <c r="Y21" s="1405"/>
      <c r="Z21" s="1405"/>
      <c r="AA21" s="1405"/>
      <c r="AB21" s="1405"/>
      <c r="AC21" s="1405"/>
      <c r="AD21" s="1405"/>
      <c r="AE21" s="1405"/>
      <c r="AF21" s="1405"/>
      <c r="AG21" s="1405"/>
      <c r="AH21" s="1405"/>
      <c r="AI21" s="1405"/>
      <c r="AJ21" s="1405"/>
      <c r="AK21" s="1405"/>
      <c r="AL21" s="1405"/>
      <c r="AM21" s="1405"/>
      <c r="AN21" s="1405"/>
      <c r="AO21" s="1405"/>
      <c r="AP21" s="1405"/>
      <c r="AQ21" s="1405"/>
      <c r="AR21" s="1429">
        <v>0</v>
      </c>
    </row>
    <row s="7809" customFormat="1" customHeight="1" ht="17.25" hidden="1">
      <c r="A22" s="467"/>
      <c r="C22" s="466"/>
      <c r="D22" s="2295"/>
      <c r="E22" s="2324"/>
      <c r="F22" s="2306"/>
      <c r="G22" s="2303"/>
      <c r="H22" s="1445"/>
      <c r="I22" s="1446"/>
      <c r="J22" s="1446"/>
      <c r="K22" s="1446"/>
      <c r="L22" s="1446"/>
      <c r="M22" s="1446"/>
      <c r="N22" s="1446"/>
      <c r="O22" s="1446"/>
      <c r="P22" s="1446"/>
      <c r="Q22" s="1446"/>
      <c r="R22" s="1446"/>
      <c r="S22" s="1447"/>
      <c r="T22" s="1447"/>
      <c r="U22" s="1447"/>
      <c r="V22" s="1447"/>
      <c r="W22" s="1448"/>
      <c r="X22" s="1405"/>
      <c r="Y22" s="1405"/>
      <c r="Z22" s="1405"/>
      <c r="AA22" s="1405"/>
      <c r="AB22" s="1405"/>
      <c r="AC22" s="1405"/>
      <c r="AD22" s="1405"/>
      <c r="AE22" s="1405"/>
      <c r="AF22" s="1405"/>
      <c r="AG22" s="1405"/>
      <c r="AH22" s="1405"/>
      <c r="AI22" s="1405"/>
      <c r="AJ22" s="1405"/>
      <c r="AK22" s="1405"/>
      <c r="AL22" s="1405"/>
      <c r="AM22" s="1405"/>
      <c r="AN22" s="1405"/>
      <c r="AO22" s="1405"/>
      <c r="AP22" s="1405"/>
      <c r="AQ22" s="1405"/>
      <c r="AR22" s="1429">
        <v>0</v>
      </c>
    </row>
    <row s="7809" customFormat="1" customHeight="1" ht="17.25" hidden="1">
      <c r="A23" s="467"/>
      <c r="C23" s="355"/>
      <c r="D23" s="2294">
        <v>2</v>
      </c>
      <c r="E23" s="2302" t="s">
        <v>189</v>
      </c>
      <c r="F23" s="2304" t="s">
        <v>19</v>
      </c>
      <c r="G23" s="2302"/>
      <c r="H23" s="2307"/>
      <c r="I23" s="2309"/>
      <c r="J23" s="2311"/>
      <c r="K23" s="2296"/>
      <c r="L23" s="2296"/>
      <c r="M23" s="2296"/>
      <c r="N23" s="2298"/>
      <c r="O23" s="2296"/>
      <c r="P23" s="2296"/>
      <c r="Q23" s="2296"/>
      <c r="R23" s="2301"/>
      <c r="S23" s="2296"/>
      <c r="T23" s="2141"/>
      <c r="U23" s="2141"/>
      <c r="V23" s="2143"/>
      <c r="W23" s="1442"/>
      <c r="X23" s="1413"/>
      <c r="Y23" s="1413"/>
      <c r="Z23" s="1413"/>
      <c r="AA23" s="1413"/>
      <c r="AB23" s="1413"/>
      <c r="AC23" s="1413" t="s">
        <v>184</v>
      </c>
      <c r="AD23" s="1413" t="s">
        <v>185</v>
      </c>
      <c r="AE23" s="1413" t="s">
        <v>186</v>
      </c>
      <c r="AF23" s="1413" t="s">
        <v>187</v>
      </c>
      <c r="AG23" s="1413" t="s">
        <v>188</v>
      </c>
      <c r="AH23" s="1413" t="str">
        <f>IF($E$23=0,"",$E$23)</f>
        <v>Тарифы на тепловую энергию (мощность), поставляемую теплоснабжающими организациями потребителям, другим теплоснабжающим организациям</v>
      </c>
      <c r="AI23" s="1413" t="str">
        <f>IF($G$23=0,"",$G$23)</f>
        <v/>
      </c>
      <c r="AJ23" s="1413" t="str">
        <f>IF($J$23=0,"",$J$23)</f>
        <v/>
      </c>
      <c r="AK23" s="1413" t="str">
        <f>IF($K$23="нет","без дифференциации",IF($N$23=0,"",$N$23))</f>
        <v/>
      </c>
      <c r="AL23" s="1413" t="str">
        <f>IF($O$23="нет","без дифференциации",IF($R$23=0,"",$R$23))</f>
        <v/>
      </c>
      <c r="AM23" s="1413" t="str">
        <f>IF($S$23="нет","без дифференциации",IF($V$23=0,"",$V$23))</f>
        <v/>
      </c>
      <c r="AN23" s="1917">
        <f>$I$23</f>
        <v>0</v>
      </c>
      <c r="AO23" s="1413" t="str">
        <f>$I$23&amp;"."&amp;$M$23</f>
        <v>.</v>
      </c>
      <c r="AP23" s="1412" t="str">
        <f>$I$23&amp;"."&amp;$M$23&amp;"."&amp;$Q$23</f>
        <v>..</v>
      </c>
      <c r="AQ23" s="1412" t="str">
        <f>$I$23&amp;"."&amp;$M$23&amp;"."&amp;$Q$23&amp;"."&amp;$U$23</f>
        <v>...</v>
      </c>
      <c r="AR23" s="1613">
        <v>0</v>
      </c>
    </row>
    <row s="7809" customFormat="1" customHeight="1" ht="17.25" hidden="1">
      <c r="A24" s="467"/>
      <c r="C24" s="466"/>
      <c r="D24" s="2294"/>
      <c r="E24" s="2302"/>
      <c r="F24" s="2305"/>
      <c r="G24" s="2302"/>
      <c r="H24" s="2308"/>
      <c r="I24" s="2310"/>
      <c r="J24" s="2312"/>
      <c r="K24" s="2297"/>
      <c r="L24" s="2297"/>
      <c r="M24" s="2297"/>
      <c r="N24" s="2299"/>
      <c r="O24" s="2297"/>
      <c r="P24" s="2297"/>
      <c r="Q24" s="2297"/>
      <c r="R24" s="2300"/>
      <c r="S24" s="2297"/>
      <c r="T24" s="2146"/>
      <c r="U24" s="2146"/>
      <c r="V24" s="2146"/>
      <c r="W24" s="2147"/>
      <c r="X24" s="1412"/>
      <c r="Y24" s="1412"/>
      <c r="Z24" s="1412"/>
      <c r="AA24" s="1412"/>
      <c r="AB24" s="1412"/>
      <c r="AC24" s="1412"/>
      <c r="AD24" s="1412"/>
      <c r="AE24" s="1412"/>
      <c r="AF24" s="1412"/>
      <c r="AG24" s="1412"/>
      <c r="AH24" s="1412"/>
      <c r="AI24" s="1412"/>
      <c r="AJ24" s="1412"/>
      <c r="AK24" s="1412"/>
      <c r="AL24" s="1412"/>
      <c r="AM24" s="1412"/>
      <c r="AN24" s="1412"/>
      <c r="AO24" s="1412"/>
      <c r="AP24" s="1412"/>
      <c r="AQ24" s="1412"/>
      <c r="AR24" s="1613">
        <v>0</v>
      </c>
    </row>
    <row s="7809" customFormat="1" customHeight="1" ht="17.25" hidden="1">
      <c r="A25" s="467"/>
      <c r="C25" s="466"/>
      <c r="D25" s="2295"/>
      <c r="E25" s="2303"/>
      <c r="F25" s="2305"/>
      <c r="G25" s="2303"/>
      <c r="H25" s="2308"/>
      <c r="I25" s="2310"/>
      <c r="J25" s="2313"/>
      <c r="K25" s="2297"/>
      <c r="L25" s="2297"/>
      <c r="M25" s="2297"/>
      <c r="N25" s="2300"/>
      <c r="O25" s="2297"/>
      <c r="P25" s="2142"/>
      <c r="Q25" s="2146"/>
      <c r="R25" s="2146"/>
      <c r="S25" s="475"/>
      <c r="T25" s="475"/>
      <c r="U25" s="475"/>
      <c r="V25" s="475"/>
      <c r="W25" s="2147"/>
      <c r="X25" s="1412"/>
      <c r="Y25" s="1412"/>
      <c r="Z25" s="1412"/>
      <c r="AA25" s="1412"/>
      <c r="AB25" s="1412"/>
      <c r="AC25" s="1412"/>
      <c r="AD25" s="1412"/>
      <c r="AE25" s="1412"/>
      <c r="AF25" s="1412"/>
      <c r="AG25" s="1412"/>
      <c r="AH25" s="1412"/>
      <c r="AI25" s="1412"/>
      <c r="AJ25" s="1412"/>
      <c r="AK25" s="1412"/>
      <c r="AL25" s="1412"/>
      <c r="AM25" s="1412"/>
      <c r="AN25" s="1412"/>
      <c r="AO25" s="1412"/>
      <c r="AP25" s="1412"/>
      <c r="AQ25" s="1412"/>
      <c r="AR25" s="1613">
        <v>0</v>
      </c>
    </row>
    <row s="7809" customFormat="1" customHeight="1" ht="17.25" hidden="1">
      <c r="A26" s="467"/>
      <c r="C26" s="466"/>
      <c r="D26" s="2295"/>
      <c r="E26" s="2303"/>
      <c r="F26" s="2305"/>
      <c r="G26" s="2303"/>
      <c r="H26" s="2308"/>
      <c r="I26" s="2310"/>
      <c r="J26" s="2313"/>
      <c r="K26" s="2297"/>
      <c r="L26" s="2146"/>
      <c r="M26" s="2146"/>
      <c r="N26" s="2146"/>
      <c r="O26" s="2146"/>
      <c r="P26" s="2146"/>
      <c r="Q26" s="2146"/>
      <c r="R26" s="2146"/>
      <c r="S26" s="475"/>
      <c r="T26" s="475"/>
      <c r="U26" s="475"/>
      <c r="V26" s="475"/>
      <c r="W26" s="2147"/>
      <c r="X26" s="1412"/>
      <c r="Y26" s="1412"/>
      <c r="Z26" s="1412"/>
      <c r="AA26" s="1412"/>
      <c r="AB26" s="1412"/>
      <c r="AC26" s="1412"/>
      <c r="AD26" s="1412"/>
      <c r="AE26" s="1412"/>
      <c r="AF26" s="1412"/>
      <c r="AG26" s="1412"/>
      <c r="AH26" s="1412"/>
      <c r="AI26" s="1412"/>
      <c r="AJ26" s="1412"/>
      <c r="AK26" s="1412"/>
      <c r="AL26" s="1412"/>
      <c r="AM26" s="1412"/>
      <c r="AN26" s="1412"/>
      <c r="AO26" s="1412"/>
      <c r="AP26" s="1412"/>
      <c r="AQ26" s="1412"/>
      <c r="AR26" s="1613">
        <v>0</v>
      </c>
    </row>
    <row s="7809" customFormat="1" customHeight="1" ht="17.25" hidden="1">
      <c r="A27" s="467"/>
      <c r="C27" s="466"/>
      <c r="D27" s="2295"/>
      <c r="E27" s="2303"/>
      <c r="F27" s="2306"/>
      <c r="G27" s="2303"/>
      <c r="H27" s="1445"/>
      <c r="I27" s="2144"/>
      <c r="J27" s="2144"/>
      <c r="K27" s="2144"/>
      <c r="L27" s="2144"/>
      <c r="M27" s="2144"/>
      <c r="N27" s="2144"/>
      <c r="O27" s="2144"/>
      <c r="P27" s="2144"/>
      <c r="Q27" s="2144"/>
      <c r="R27" s="2144"/>
      <c r="S27" s="1447"/>
      <c r="T27" s="1447"/>
      <c r="U27" s="1447"/>
      <c r="V27" s="1447"/>
      <c r="W27" s="2145"/>
      <c r="X27" s="1412"/>
      <c r="Y27" s="1412"/>
      <c r="Z27" s="1412"/>
      <c r="AA27" s="1412"/>
      <c r="AB27" s="1412"/>
      <c r="AC27" s="1412"/>
      <c r="AD27" s="1412"/>
      <c r="AE27" s="1412"/>
      <c r="AF27" s="1412"/>
      <c r="AG27" s="1412"/>
      <c r="AH27" s="1412"/>
      <c r="AI27" s="1412"/>
      <c r="AJ27" s="1412"/>
      <c r="AK27" s="1412"/>
      <c r="AL27" s="1412"/>
      <c r="AM27" s="1412"/>
      <c r="AN27" s="1412"/>
      <c r="AO27" s="1412"/>
      <c r="AP27" s="1412"/>
      <c r="AQ27" s="1412"/>
      <c r="AR27" s="1613">
        <v>0</v>
      </c>
    </row>
    <row s="7809" customFormat="1" customHeight="1" ht="17.25" hidden="1">
      <c r="A28" s="467"/>
      <c r="C28" s="355"/>
      <c r="D28" s="2294">
        <v>3</v>
      </c>
      <c r="E28" s="2302" t="s">
        <v>190</v>
      </c>
      <c r="F28" s="2304" t="s">
        <v>19</v>
      </c>
      <c r="G28" s="2302"/>
      <c r="H28" s="2307"/>
      <c r="I28" s="2309"/>
      <c r="J28" s="2311"/>
      <c r="K28" s="2296"/>
      <c r="L28" s="2296"/>
      <c r="M28" s="2296"/>
      <c r="N28" s="2298"/>
      <c r="O28" s="2296"/>
      <c r="P28" s="2296"/>
      <c r="Q28" s="2296"/>
      <c r="R28" s="2301"/>
      <c r="S28" s="2296"/>
      <c r="T28" s="1566"/>
      <c r="U28" s="1566"/>
      <c r="V28" s="1565"/>
      <c r="W28" s="1442"/>
      <c r="X28" s="1413"/>
      <c r="Y28" s="1413"/>
      <c r="Z28" s="1413"/>
      <c r="AA28" s="1413"/>
      <c r="AB28" s="1413"/>
      <c r="AC28" s="1413" t="s">
        <v>191</v>
      </c>
      <c r="AD28" s="1413" t="s">
        <v>192</v>
      </c>
      <c r="AE28" s="1413" t="s">
        <v>193</v>
      </c>
      <c r="AF28" s="1413" t="s">
        <v>194</v>
      </c>
      <c r="AG28" s="1413" t="s">
        <v>195</v>
      </c>
      <c r="AH28" s="1413" t="str">
        <f>IF($E$28=0,"",$E$28)</f>
        <v>Тарифы на теплоноситель, поставляемый теплоснабжающими организациями потребителям, другим теплоснабжающим организациям</v>
      </c>
      <c r="AI28" s="1413" t="str">
        <f>IF($G$28=0,"",$G$28)</f>
        <v/>
      </c>
      <c r="AJ28" s="1413" t="str">
        <f>IF($J$28=0,"",$J$28)</f>
        <v/>
      </c>
      <c r="AK28" s="1413" t="str">
        <f>IF($K$28="нет","без дифференциации",IF($N$28=0,"",$N$28))</f>
        <v/>
      </c>
      <c r="AL28" s="1413" t="str">
        <f>IF($O$28="нет","без дифференциации",IF($R$28=0,"",$R$28))</f>
        <v/>
      </c>
      <c r="AM28" s="1413" t="str">
        <f>IF($S$28="нет","без дифференциации",IF($V$28=0,"",$V$28))</f>
        <v/>
      </c>
      <c r="AN28" s="1917">
        <f>$I$28</f>
        <v>0</v>
      </c>
      <c r="AO28" s="1413" t="str">
        <f>$I$28&amp;"."&amp;$M$28</f>
        <v>.</v>
      </c>
      <c r="AP28" s="1405" t="str">
        <f>$I$28&amp;"."&amp;$M$28&amp;"."&amp;$Q$28</f>
        <v>..</v>
      </c>
      <c r="AQ28" s="1405" t="str">
        <f>$I$28&amp;"."&amp;$M$28&amp;"."&amp;$Q$28&amp;"."&amp;$U$28</f>
        <v>...</v>
      </c>
      <c r="AR28" s="1429">
        <v>0</v>
      </c>
    </row>
    <row s="7809" customFormat="1" customHeight="1" ht="17.25" hidden="1">
      <c r="A29" s="467"/>
      <c r="C29" s="466"/>
      <c r="D29" s="2294"/>
      <c r="E29" s="2302"/>
      <c r="F29" s="2305"/>
      <c r="G29" s="2302"/>
      <c r="H29" s="2308"/>
      <c r="I29" s="2310"/>
      <c r="J29" s="2312"/>
      <c r="K29" s="2297"/>
      <c r="L29" s="2297"/>
      <c r="M29" s="2297"/>
      <c r="N29" s="2299"/>
      <c r="O29" s="2297"/>
      <c r="P29" s="2297"/>
      <c r="Q29" s="2297"/>
      <c r="R29" s="2300"/>
      <c r="S29" s="2297"/>
      <c r="T29" s="1443"/>
      <c r="U29" s="1443"/>
      <c r="V29" s="1443"/>
      <c r="W29" s="1444"/>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29">
        <v>0</v>
      </c>
    </row>
    <row s="7809" customFormat="1" customHeight="1" ht="17.25" hidden="1">
      <c r="A30" s="467"/>
      <c r="C30" s="466"/>
      <c r="D30" s="2295"/>
      <c r="E30" s="2303"/>
      <c r="F30" s="2305"/>
      <c r="G30" s="2303"/>
      <c r="H30" s="2308"/>
      <c r="I30" s="2310"/>
      <c r="J30" s="2313"/>
      <c r="K30" s="2297"/>
      <c r="L30" s="2297"/>
      <c r="M30" s="2297"/>
      <c r="N30" s="2300"/>
      <c r="O30" s="2297"/>
      <c r="P30" s="1564"/>
      <c r="Q30" s="1443"/>
      <c r="R30" s="1443"/>
      <c r="S30" s="475"/>
      <c r="T30" s="475"/>
      <c r="U30" s="475"/>
      <c r="V30" s="475"/>
      <c r="W30" s="1444"/>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29">
        <v>0</v>
      </c>
    </row>
    <row s="7809" customFormat="1" customHeight="1" ht="17.25" hidden="1">
      <c r="A31" s="467"/>
      <c r="C31" s="466"/>
      <c r="D31" s="2295"/>
      <c r="E31" s="2303"/>
      <c r="F31" s="2305"/>
      <c r="G31" s="2303"/>
      <c r="H31" s="2308"/>
      <c r="I31" s="2310"/>
      <c r="J31" s="2313"/>
      <c r="K31" s="2297"/>
      <c r="L31" s="1443"/>
      <c r="M31" s="1443"/>
      <c r="N31" s="1443"/>
      <c r="O31" s="1443"/>
      <c r="P31" s="1443"/>
      <c r="Q31" s="1443"/>
      <c r="R31" s="1443"/>
      <c r="S31" s="475"/>
      <c r="T31" s="475"/>
      <c r="U31" s="475"/>
      <c r="V31" s="475"/>
      <c r="W31" s="1444"/>
      <c r="X31" s="1405"/>
      <c r="Y31" s="1405"/>
      <c r="Z31" s="1405"/>
      <c r="AA31" s="1405"/>
      <c r="AB31" s="1405"/>
      <c r="AC31" s="1405"/>
      <c r="AD31" s="1405"/>
      <c r="AE31" s="1405"/>
      <c r="AF31" s="1405"/>
      <c r="AG31" s="1405"/>
      <c r="AH31" s="1405"/>
      <c r="AI31" s="1405"/>
      <c r="AJ31" s="1405"/>
      <c r="AK31" s="1405"/>
      <c r="AL31" s="1405"/>
      <c r="AM31" s="1405"/>
      <c r="AN31" s="1405"/>
      <c r="AO31" s="1405"/>
      <c r="AP31" s="1405"/>
      <c r="AQ31" s="1405"/>
      <c r="AR31" s="1429">
        <v>0</v>
      </c>
    </row>
    <row s="7809" customFormat="1" customHeight="1" ht="17.25" hidden="1">
      <c r="A32" s="467"/>
      <c r="C32" s="466"/>
      <c r="D32" s="2295"/>
      <c r="E32" s="2303"/>
      <c r="F32" s="2306"/>
      <c r="G32" s="2303"/>
      <c r="H32" s="1445"/>
      <c r="I32" s="1446"/>
      <c r="J32" s="1446"/>
      <c r="K32" s="1446"/>
      <c r="L32" s="1446"/>
      <c r="M32" s="1446"/>
      <c r="N32" s="1446"/>
      <c r="O32" s="1446"/>
      <c r="P32" s="1446"/>
      <c r="Q32" s="1446"/>
      <c r="R32" s="1446"/>
      <c r="S32" s="1447"/>
      <c r="T32" s="1447"/>
      <c r="U32" s="1447"/>
      <c r="V32" s="1447"/>
      <c r="W32" s="1448"/>
      <c r="X32" s="1405"/>
      <c r="Y32" s="1405"/>
      <c r="Z32" s="1405"/>
      <c r="AA32" s="1405"/>
      <c r="AB32" s="1405"/>
      <c r="AC32" s="1405"/>
      <c r="AD32" s="1405"/>
      <c r="AE32" s="1405"/>
      <c r="AF32" s="1405"/>
      <c r="AG32" s="1405"/>
      <c r="AH32" s="1405"/>
      <c r="AI32" s="1405"/>
      <c r="AJ32" s="1405"/>
      <c r="AK32" s="1405"/>
      <c r="AL32" s="1405"/>
      <c r="AM32" s="1405"/>
      <c r="AN32" s="1405"/>
      <c r="AO32" s="1405"/>
      <c r="AP32" s="1405"/>
      <c r="AQ32" s="1405"/>
      <c r="AR32" s="1429">
        <v>0</v>
      </c>
    </row>
    <row s="7809" customFormat="1" customHeight="1" ht="17.25" hidden="1">
      <c r="A33" s="467"/>
      <c r="C33" s="355"/>
      <c r="D33" s="2294">
        <v>4</v>
      </c>
      <c r="E33" s="2302" t="s">
        <v>196</v>
      </c>
      <c r="F33" s="2304" t="s">
        <v>19</v>
      </c>
      <c r="G33" s="2302"/>
      <c r="H33" s="2307"/>
      <c r="I33" s="2309"/>
      <c r="J33" s="2311"/>
      <c r="K33" s="2296"/>
      <c r="L33" s="2296"/>
      <c r="M33" s="2296"/>
      <c r="N33" s="2298"/>
      <c r="O33" s="2296"/>
      <c r="P33" s="2296"/>
      <c r="Q33" s="2296"/>
      <c r="R33" s="2301"/>
      <c r="S33" s="2296"/>
      <c r="T33" s="1566"/>
      <c r="U33" s="1566"/>
      <c r="V33" s="1565"/>
      <c r="W33" s="1442"/>
      <c r="X33" s="1413"/>
      <c r="Y33" s="1413"/>
      <c r="Z33" s="1413"/>
      <c r="AA33" s="1413"/>
      <c r="AB33" s="1413"/>
      <c r="AC33" s="1413" t="s">
        <v>197</v>
      </c>
      <c r="AD33" s="1413" t="s">
        <v>198</v>
      </c>
      <c r="AE33" s="1413" t="s">
        <v>199</v>
      </c>
      <c r="AF33" s="1413" t="s">
        <v>200</v>
      </c>
      <c r="AG33" s="1413" t="s">
        <v>201</v>
      </c>
      <c r="AH33" s="141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413" t="str">
        <f>IF($G$33=0,"",$G$33)</f>
        <v/>
      </c>
      <c r="AJ33" s="1413" t="str">
        <f>IF($J$33=0,"",$J$33)</f>
        <v/>
      </c>
      <c r="AK33" s="1413" t="str">
        <f>IF($K$33="нет","без дифференциации",IF($N$33=0,"",$N$33))</f>
        <v/>
      </c>
      <c r="AL33" s="1413" t="str">
        <f>IF($O$33="нет","без дифференциации",IF($R$33=0,"",$R$33))</f>
        <v/>
      </c>
      <c r="AM33" s="1413" t="str">
        <f>IF($S$33="нет","без дифференциации",IF($V$33=0,"",$V$33))</f>
        <v/>
      </c>
      <c r="AN33" s="1917">
        <f>$I$33</f>
        <v>0</v>
      </c>
      <c r="AO33" s="1413" t="str">
        <f>$I$33&amp;"."&amp;$M$33</f>
        <v>.</v>
      </c>
      <c r="AP33" s="1405" t="str">
        <f>$I$33&amp;"."&amp;$M$33&amp;"."&amp;$Q$33</f>
        <v>..</v>
      </c>
      <c r="AQ33" s="1405" t="str">
        <f>$I$33&amp;"."&amp;$M$33&amp;"."&amp;$Q$33&amp;"."&amp;$U$33</f>
        <v>...</v>
      </c>
      <c r="AR33" s="1429">
        <v>0</v>
      </c>
    </row>
    <row s="7809" customFormat="1" customHeight="1" ht="17.25" hidden="1">
      <c r="A34" s="467"/>
      <c r="C34" s="466"/>
      <c r="D34" s="2294"/>
      <c r="E34" s="2302"/>
      <c r="F34" s="2305"/>
      <c r="G34" s="2302"/>
      <c r="H34" s="2308"/>
      <c r="I34" s="2310"/>
      <c r="J34" s="2312"/>
      <c r="K34" s="2297"/>
      <c r="L34" s="2297"/>
      <c r="M34" s="2297"/>
      <c r="N34" s="2299"/>
      <c r="O34" s="2297"/>
      <c r="P34" s="2297"/>
      <c r="Q34" s="2297"/>
      <c r="R34" s="2300"/>
      <c r="S34" s="2297"/>
      <c r="T34" s="1443"/>
      <c r="U34" s="1443"/>
      <c r="V34" s="1443"/>
      <c r="W34" s="1444"/>
      <c r="X34" s="1405"/>
      <c r="Y34" s="1405"/>
      <c r="Z34" s="1405"/>
      <c r="AA34" s="1405"/>
      <c r="AB34" s="1405"/>
      <c r="AC34" s="1405"/>
      <c r="AD34" s="1405"/>
      <c r="AE34" s="1405"/>
      <c r="AF34" s="1405"/>
      <c r="AG34" s="1405"/>
      <c r="AH34" s="1405"/>
      <c r="AI34" s="1405"/>
      <c r="AJ34" s="1405"/>
      <c r="AK34" s="1405"/>
      <c r="AL34" s="1405"/>
      <c r="AM34" s="1405"/>
      <c r="AN34" s="1405"/>
      <c r="AO34" s="1405"/>
      <c r="AP34" s="1405"/>
      <c r="AQ34" s="1405"/>
      <c r="AR34" s="1429">
        <v>0</v>
      </c>
    </row>
    <row s="7809" customFormat="1" customHeight="1" ht="17.25" hidden="1">
      <c r="A35" s="467"/>
      <c r="C35" s="466"/>
      <c r="D35" s="2295"/>
      <c r="E35" s="2303"/>
      <c r="F35" s="2305"/>
      <c r="G35" s="2303"/>
      <c r="H35" s="2308"/>
      <c r="I35" s="2310"/>
      <c r="J35" s="2313"/>
      <c r="K35" s="2297"/>
      <c r="L35" s="2297"/>
      <c r="M35" s="2297"/>
      <c r="N35" s="2300"/>
      <c r="O35" s="2297"/>
      <c r="P35" s="1564"/>
      <c r="Q35" s="1443"/>
      <c r="R35" s="1443"/>
      <c r="S35" s="475"/>
      <c r="T35" s="475"/>
      <c r="U35" s="475"/>
      <c r="V35" s="475"/>
      <c r="W35" s="1444"/>
      <c r="X35" s="1405"/>
      <c r="Y35" s="1405"/>
      <c r="Z35" s="1405"/>
      <c r="AA35" s="1405"/>
      <c r="AB35" s="1405"/>
      <c r="AC35" s="1405"/>
      <c r="AD35" s="1405"/>
      <c r="AE35" s="1405"/>
      <c r="AF35" s="1405"/>
      <c r="AG35" s="1405"/>
      <c r="AH35" s="1405"/>
      <c r="AI35" s="1405"/>
      <c r="AJ35" s="1405"/>
      <c r="AK35" s="1405"/>
      <c r="AL35" s="1405"/>
      <c r="AM35" s="1405"/>
      <c r="AN35" s="1405"/>
      <c r="AO35" s="1405"/>
      <c r="AP35" s="1405"/>
      <c r="AQ35" s="1405"/>
      <c r="AR35" s="1429">
        <v>0</v>
      </c>
    </row>
    <row s="7809" customFormat="1" customHeight="1" ht="17.25" hidden="1">
      <c r="A36" s="467"/>
      <c r="C36" s="466"/>
      <c r="D36" s="2295"/>
      <c r="E36" s="2303"/>
      <c r="F36" s="2305"/>
      <c r="G36" s="2303"/>
      <c r="H36" s="2308"/>
      <c r="I36" s="2310"/>
      <c r="J36" s="2313"/>
      <c r="K36" s="2297"/>
      <c r="L36" s="1443"/>
      <c r="M36" s="1443"/>
      <c r="N36" s="1443"/>
      <c r="O36" s="1443"/>
      <c r="P36" s="1443"/>
      <c r="Q36" s="1443"/>
      <c r="R36" s="1443"/>
      <c r="S36" s="475"/>
      <c r="T36" s="475"/>
      <c r="U36" s="475"/>
      <c r="V36" s="475"/>
      <c r="W36" s="1444"/>
      <c r="X36" s="1405"/>
      <c r="Y36" s="1405"/>
      <c r="Z36" s="1405"/>
      <c r="AA36" s="1405"/>
      <c r="AB36" s="1405"/>
      <c r="AC36" s="1405"/>
      <c r="AD36" s="1405"/>
      <c r="AE36" s="1405"/>
      <c r="AF36" s="1405"/>
      <c r="AG36" s="1405"/>
      <c r="AH36" s="1405"/>
      <c r="AI36" s="1405"/>
      <c r="AJ36" s="1405"/>
      <c r="AK36" s="1405"/>
      <c r="AL36" s="1405"/>
      <c r="AM36" s="1405"/>
      <c r="AN36" s="1405"/>
      <c r="AO36" s="1405"/>
      <c r="AP36" s="1405"/>
      <c r="AQ36" s="1405"/>
      <c r="AR36" s="1429">
        <v>0</v>
      </c>
    </row>
    <row s="7809" customFormat="1" customHeight="1" ht="17.25" hidden="1">
      <c r="A37" s="467"/>
      <c r="C37" s="466"/>
      <c r="D37" s="2295"/>
      <c r="E37" s="2303"/>
      <c r="F37" s="2306"/>
      <c r="G37" s="2303"/>
      <c r="H37" s="1445"/>
      <c r="I37" s="1446"/>
      <c r="J37" s="1446"/>
      <c r="K37" s="1446"/>
      <c r="L37" s="1446"/>
      <c r="M37" s="1446"/>
      <c r="N37" s="1446"/>
      <c r="O37" s="1446"/>
      <c r="P37" s="1446"/>
      <c r="Q37" s="1446"/>
      <c r="R37" s="1446"/>
      <c r="S37" s="1447"/>
      <c r="T37" s="1447"/>
      <c r="U37" s="1447"/>
      <c r="V37" s="1447"/>
      <c r="W37" s="1448"/>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29">
        <v>0</v>
      </c>
    </row>
    <row s="7809" customFormat="1" customHeight="1" ht="17.25" hidden="1">
      <c r="A38" s="467"/>
      <c r="C38" s="355"/>
      <c r="D38" s="2294">
        <v>5</v>
      </c>
      <c r="E38" s="2302" t="s">
        <v>202</v>
      </c>
      <c r="F38" s="2304" t="s">
        <v>19</v>
      </c>
      <c r="G38" s="2302"/>
      <c r="H38" s="2307"/>
      <c r="I38" s="2309"/>
      <c r="J38" s="2311"/>
      <c r="K38" s="2296"/>
      <c r="L38" s="2296"/>
      <c r="M38" s="2296"/>
      <c r="N38" s="2298"/>
      <c r="O38" s="2296"/>
      <c r="P38" s="2296"/>
      <c r="Q38" s="2296"/>
      <c r="R38" s="2301"/>
      <c r="S38" s="2296"/>
      <c r="T38" s="1566"/>
      <c r="U38" s="1566"/>
      <c r="V38" s="1565"/>
      <c r="W38" s="1442"/>
      <c r="X38" s="1413"/>
      <c r="Y38" s="1413"/>
      <c r="Z38" s="1413"/>
      <c r="AA38" s="1413"/>
      <c r="AB38" s="1413"/>
      <c r="AC38" s="1413" t="s">
        <v>203</v>
      </c>
      <c r="AD38" s="1413" t="s">
        <v>204</v>
      </c>
      <c r="AE38" s="1413" t="s">
        <v>205</v>
      </c>
      <c r="AF38" s="1413" t="s">
        <v>206</v>
      </c>
      <c r="AG38" s="1413" t="s">
        <v>207</v>
      </c>
      <c r="AH38" s="1413" t="str">
        <f>IF($E$38=0,"",$E$38)</f>
        <v>Тарифы на услуги по передаче тепловой энергии</v>
      </c>
      <c r="AI38" s="1413" t="str">
        <f>IF($G$38=0,"",$G$38)</f>
        <v/>
      </c>
      <c r="AJ38" s="1413" t="str">
        <f>IF($J$38=0,"",$J$38)</f>
        <v/>
      </c>
      <c r="AK38" s="1413" t="str">
        <f>IF($K$38="нет","без дифференциации",IF($N$38=0,"",$N$38))</f>
        <v/>
      </c>
      <c r="AL38" s="1413" t="str">
        <f>IF($O$38="нет","без дифференциации",IF($R$38=0,"",$R$38))</f>
        <v/>
      </c>
      <c r="AM38" s="1413" t="str">
        <f>IF($S$38="нет","без дифференциации",IF($V$38=0,"",$V$38))</f>
        <v/>
      </c>
      <c r="AN38" s="1917">
        <f>$I$38</f>
        <v>0</v>
      </c>
      <c r="AO38" s="1413" t="str">
        <f>$I$38&amp;"."&amp;$M$38</f>
        <v>.</v>
      </c>
      <c r="AP38" s="1405" t="str">
        <f>$I$38&amp;"."&amp;$M$38&amp;"."&amp;$Q$38</f>
        <v>..</v>
      </c>
      <c r="AQ38" s="1405" t="str">
        <f>$I$38&amp;"."&amp;$M$38&amp;"."&amp;$Q$38&amp;"."&amp;$U$38</f>
        <v>...</v>
      </c>
      <c r="AR38" s="1429">
        <v>0</v>
      </c>
    </row>
    <row s="7809" customFormat="1" customHeight="1" ht="17.25" hidden="1">
      <c r="A39" s="467"/>
      <c r="C39" s="466"/>
      <c r="D39" s="2294"/>
      <c r="E39" s="2302"/>
      <c r="F39" s="2305"/>
      <c r="G39" s="2302"/>
      <c r="H39" s="2308"/>
      <c r="I39" s="2310"/>
      <c r="J39" s="2312"/>
      <c r="K39" s="2297"/>
      <c r="L39" s="2297"/>
      <c r="M39" s="2297"/>
      <c r="N39" s="2299"/>
      <c r="O39" s="2297"/>
      <c r="P39" s="2297"/>
      <c r="Q39" s="2297"/>
      <c r="R39" s="2300"/>
      <c r="S39" s="2297"/>
      <c r="T39" s="1443"/>
      <c r="U39" s="1443"/>
      <c r="V39" s="1443"/>
      <c r="W39" s="1444"/>
      <c r="X39" s="1405"/>
      <c r="Y39" s="1405"/>
      <c r="Z39" s="1405"/>
      <c r="AA39" s="1405"/>
      <c r="AB39" s="1405"/>
      <c r="AC39" s="1405"/>
      <c r="AD39" s="1405"/>
      <c r="AE39" s="1405"/>
      <c r="AF39" s="1405"/>
      <c r="AG39" s="1405"/>
      <c r="AH39" s="1405"/>
      <c r="AI39" s="1405"/>
      <c r="AJ39" s="1405"/>
      <c r="AK39" s="1405"/>
      <c r="AL39" s="1405"/>
      <c r="AM39" s="1405"/>
      <c r="AN39" s="1405"/>
      <c r="AO39" s="1405"/>
      <c r="AP39" s="1405"/>
      <c r="AQ39" s="1405"/>
      <c r="AR39" s="1429">
        <v>0</v>
      </c>
    </row>
    <row s="7809" customFormat="1" customHeight="1" ht="17.25" hidden="1">
      <c r="A40" s="467"/>
      <c r="C40" s="466"/>
      <c r="D40" s="2295"/>
      <c r="E40" s="2303"/>
      <c r="F40" s="2305"/>
      <c r="G40" s="2303"/>
      <c r="H40" s="2308"/>
      <c r="I40" s="2310"/>
      <c r="J40" s="2313"/>
      <c r="K40" s="2297"/>
      <c r="L40" s="2297"/>
      <c r="M40" s="2297"/>
      <c r="N40" s="2300"/>
      <c r="O40" s="2297"/>
      <c r="P40" s="1564"/>
      <c r="Q40" s="1443"/>
      <c r="R40" s="1443"/>
      <c r="S40" s="475"/>
      <c r="T40" s="475"/>
      <c r="U40" s="475"/>
      <c r="V40" s="475"/>
      <c r="W40" s="1444"/>
      <c r="X40" s="1405"/>
      <c r="Y40" s="1405"/>
      <c r="Z40" s="1405"/>
      <c r="AA40" s="1405"/>
      <c r="AB40" s="1405"/>
      <c r="AC40" s="1405"/>
      <c r="AD40" s="1405"/>
      <c r="AE40" s="1405"/>
      <c r="AF40" s="1405"/>
      <c r="AG40" s="1405"/>
      <c r="AH40" s="1405"/>
      <c r="AI40" s="1405"/>
      <c r="AJ40" s="1405"/>
      <c r="AK40" s="1405"/>
      <c r="AL40" s="1405"/>
      <c r="AM40" s="1405"/>
      <c r="AN40" s="1405"/>
      <c r="AO40" s="1405"/>
      <c r="AP40" s="1405"/>
      <c r="AQ40" s="1405"/>
      <c r="AR40" s="1429">
        <v>0</v>
      </c>
    </row>
    <row s="7809" customFormat="1" customHeight="1" ht="17.25" hidden="1">
      <c r="A41" s="467"/>
      <c r="C41" s="466"/>
      <c r="D41" s="2295"/>
      <c r="E41" s="2303"/>
      <c r="F41" s="2305"/>
      <c r="G41" s="2303"/>
      <c r="H41" s="2308"/>
      <c r="I41" s="2310"/>
      <c r="J41" s="2313"/>
      <c r="K41" s="2297"/>
      <c r="L41" s="1443"/>
      <c r="M41" s="1443"/>
      <c r="N41" s="1443"/>
      <c r="O41" s="1443"/>
      <c r="P41" s="1443"/>
      <c r="Q41" s="1443"/>
      <c r="R41" s="1443"/>
      <c r="S41" s="475"/>
      <c r="T41" s="475"/>
      <c r="U41" s="475"/>
      <c r="V41" s="475"/>
      <c r="W41" s="1444"/>
      <c r="X41" s="1405"/>
      <c r="Y41" s="1405"/>
      <c r="Z41" s="1405"/>
      <c r="AA41" s="1405"/>
      <c r="AB41" s="1405"/>
      <c r="AC41" s="1405"/>
      <c r="AD41" s="1405"/>
      <c r="AE41" s="1405"/>
      <c r="AF41" s="1405"/>
      <c r="AG41" s="1405"/>
      <c r="AH41" s="1405"/>
      <c r="AI41" s="1405"/>
      <c r="AJ41" s="1405"/>
      <c r="AK41" s="1405"/>
      <c r="AL41" s="1405"/>
      <c r="AM41" s="1405"/>
      <c r="AN41" s="1405"/>
      <c r="AO41" s="1405"/>
      <c r="AP41" s="1405"/>
      <c r="AQ41" s="1405"/>
      <c r="AR41" s="1429">
        <v>0</v>
      </c>
    </row>
    <row s="7809" customFormat="1" customHeight="1" ht="17.25" hidden="1">
      <c r="A42" s="467"/>
      <c r="C42" s="466"/>
      <c r="D42" s="2295"/>
      <c r="E42" s="2303"/>
      <c r="F42" s="2306"/>
      <c r="G42" s="2303"/>
      <c r="H42" s="1445"/>
      <c r="I42" s="1446"/>
      <c r="J42" s="1446"/>
      <c r="K42" s="1446"/>
      <c r="L42" s="1446"/>
      <c r="M42" s="1446"/>
      <c r="N42" s="1446"/>
      <c r="O42" s="1446"/>
      <c r="P42" s="1446"/>
      <c r="Q42" s="1446"/>
      <c r="R42" s="1446"/>
      <c r="S42" s="1447"/>
      <c r="T42" s="1447"/>
      <c r="U42" s="1447"/>
      <c r="V42" s="1447"/>
      <c r="W42" s="1448"/>
      <c r="X42" s="1405"/>
      <c r="Y42" s="1405"/>
      <c r="Z42" s="1405"/>
      <c r="AA42" s="1405"/>
      <c r="AB42" s="1405"/>
      <c r="AC42" s="1405"/>
      <c r="AD42" s="1405"/>
      <c r="AE42" s="1405"/>
      <c r="AF42" s="1405"/>
      <c r="AG42" s="1405"/>
      <c r="AH42" s="1405"/>
      <c r="AI42" s="1405"/>
      <c r="AJ42" s="1405"/>
      <c r="AK42" s="1405"/>
      <c r="AL42" s="1405"/>
      <c r="AM42" s="1405"/>
      <c r="AN42" s="1405"/>
      <c r="AO42" s="1405"/>
      <c r="AP42" s="1405"/>
      <c r="AQ42" s="1405"/>
      <c r="AR42" s="1429">
        <v>0</v>
      </c>
    </row>
    <row s="7809" customFormat="1" customHeight="1" ht="17.25" hidden="1">
      <c r="A43" s="467"/>
      <c r="C43" s="355"/>
      <c r="D43" s="2294">
        <v>6</v>
      </c>
      <c r="E43" s="2302" t="s">
        <v>208</v>
      </c>
      <c r="F43" s="2304" t="s">
        <v>19</v>
      </c>
      <c r="G43" s="2302"/>
      <c r="H43" s="2307"/>
      <c r="I43" s="2309"/>
      <c r="J43" s="2311"/>
      <c r="K43" s="2296"/>
      <c r="L43" s="2296"/>
      <c r="M43" s="2296"/>
      <c r="N43" s="2298"/>
      <c r="O43" s="2296"/>
      <c r="P43" s="2296"/>
      <c r="Q43" s="2296"/>
      <c r="R43" s="2301"/>
      <c r="S43" s="2296"/>
      <c r="T43" s="1566"/>
      <c r="U43" s="1566"/>
      <c r="V43" s="1565"/>
      <c r="W43" s="1442"/>
      <c r="X43" s="1413"/>
      <c r="Y43" s="1413"/>
      <c r="Z43" s="1413"/>
      <c r="AA43" s="1413"/>
      <c r="AB43" s="1413"/>
      <c r="AC43" s="1413" t="s">
        <v>209</v>
      </c>
      <c r="AD43" s="1413" t="s">
        <v>210</v>
      </c>
      <c r="AE43" s="1413" t="s">
        <v>211</v>
      </c>
      <c r="AF43" s="1413" t="s">
        <v>212</v>
      </c>
      <c r="AG43" s="1413" t="s">
        <v>213</v>
      </c>
      <c r="AH43" s="1413" t="str">
        <f>IF($E$43=0,"",$E$43)</f>
        <v>Тарифы на услуги по передаче теплоносителя</v>
      </c>
      <c r="AI43" s="1413" t="str">
        <f>IF($G$43=0,"",$G$43)</f>
        <v/>
      </c>
      <c r="AJ43" s="1413" t="str">
        <f>IF($J$43=0,"",$J$43)</f>
        <v/>
      </c>
      <c r="AK43" s="1413" t="str">
        <f>IF($K$43="нет","без дифференциации",IF($N$43=0,"",$N$43))</f>
        <v/>
      </c>
      <c r="AL43" s="1413" t="str">
        <f>IF($O$43="нет","без дифференциации",IF($R$43=0,"",$R$43))</f>
        <v/>
      </c>
      <c r="AM43" s="1413" t="str">
        <f>IF($S$43="нет","без дифференциации",IF($V$43=0,"",$V$43))</f>
        <v/>
      </c>
      <c r="AN43" s="1917">
        <f>$I$43</f>
        <v>0</v>
      </c>
      <c r="AO43" s="1413" t="str">
        <f>$I$43&amp;"."&amp;$M$43</f>
        <v>.</v>
      </c>
      <c r="AP43" s="1405" t="str">
        <f>$I$43&amp;"."&amp;$M$43&amp;"."&amp;$Q$43</f>
        <v>..</v>
      </c>
      <c r="AQ43" s="1405" t="str">
        <f>$I$43&amp;"."&amp;$M$43&amp;"."&amp;$Q$43&amp;"."&amp;$U$43</f>
        <v>...</v>
      </c>
      <c r="AR43" s="1429">
        <v>0</v>
      </c>
    </row>
    <row s="7809" customFormat="1" customHeight="1" ht="17.25" hidden="1">
      <c r="A44" s="467"/>
      <c r="C44" s="466"/>
      <c r="D44" s="2294"/>
      <c r="E44" s="2302"/>
      <c r="F44" s="2305"/>
      <c r="G44" s="2302"/>
      <c r="H44" s="2308"/>
      <c r="I44" s="2310"/>
      <c r="J44" s="2312"/>
      <c r="K44" s="2297"/>
      <c r="L44" s="2297"/>
      <c r="M44" s="2297"/>
      <c r="N44" s="2299"/>
      <c r="O44" s="2297"/>
      <c r="P44" s="2297"/>
      <c r="Q44" s="2297"/>
      <c r="R44" s="2300"/>
      <c r="S44" s="2297"/>
      <c r="T44" s="1443"/>
      <c r="U44" s="1443"/>
      <c r="V44" s="1443"/>
      <c r="W44" s="1444"/>
      <c r="X44" s="1405"/>
      <c r="Y44" s="1405"/>
      <c r="Z44" s="1405"/>
      <c r="AA44" s="1405"/>
      <c r="AB44" s="1405"/>
      <c r="AC44" s="1405"/>
      <c r="AD44" s="1405"/>
      <c r="AE44" s="1405"/>
      <c r="AF44" s="1405"/>
      <c r="AG44" s="1405"/>
      <c r="AH44" s="1405"/>
      <c r="AI44" s="1405"/>
      <c r="AJ44" s="1405"/>
      <c r="AK44" s="1405"/>
      <c r="AL44" s="1405"/>
      <c r="AM44" s="1405"/>
      <c r="AN44" s="1405"/>
      <c r="AO44" s="1405"/>
      <c r="AP44" s="1405"/>
      <c r="AQ44" s="1405"/>
      <c r="AR44" s="1429">
        <v>0</v>
      </c>
    </row>
    <row s="7809" customFormat="1" customHeight="1" ht="17.25" hidden="1">
      <c r="A45" s="467"/>
      <c r="C45" s="466"/>
      <c r="D45" s="2295"/>
      <c r="E45" s="2303"/>
      <c r="F45" s="2305"/>
      <c r="G45" s="2303"/>
      <c r="H45" s="2308"/>
      <c r="I45" s="2310"/>
      <c r="J45" s="2313"/>
      <c r="K45" s="2297"/>
      <c r="L45" s="2297"/>
      <c r="M45" s="2297"/>
      <c r="N45" s="2300"/>
      <c r="O45" s="2297"/>
      <c r="P45" s="1564"/>
      <c r="Q45" s="1443"/>
      <c r="R45" s="1443"/>
      <c r="S45" s="475"/>
      <c r="T45" s="475"/>
      <c r="U45" s="475"/>
      <c r="V45" s="475"/>
      <c r="W45" s="1444"/>
      <c r="X45" s="1405"/>
      <c r="Y45" s="1405"/>
      <c r="Z45" s="1405"/>
      <c r="AA45" s="1405"/>
      <c r="AB45" s="1405"/>
      <c r="AC45" s="1405"/>
      <c r="AD45" s="1405"/>
      <c r="AE45" s="1405"/>
      <c r="AF45" s="1405"/>
      <c r="AG45" s="1405"/>
      <c r="AH45" s="1405"/>
      <c r="AI45" s="1405"/>
      <c r="AJ45" s="1405"/>
      <c r="AK45" s="1405"/>
      <c r="AL45" s="1405"/>
      <c r="AM45" s="1405"/>
      <c r="AN45" s="1405"/>
      <c r="AO45" s="1405"/>
      <c r="AP45" s="1405"/>
      <c r="AQ45" s="1405"/>
      <c r="AR45" s="1429">
        <v>0</v>
      </c>
    </row>
    <row s="7809" customFormat="1" customHeight="1" ht="17.25" hidden="1">
      <c r="A46" s="467"/>
      <c r="C46" s="355"/>
      <c r="D46" s="2295"/>
      <c r="E46" s="2303"/>
      <c r="F46" s="2305"/>
      <c r="G46" s="2303"/>
      <c r="H46" s="2308"/>
      <c r="I46" s="2310"/>
      <c r="J46" s="2313"/>
      <c r="K46" s="2297"/>
      <c r="L46" s="1443"/>
      <c r="M46" s="1443"/>
      <c r="N46" s="1443"/>
      <c r="O46" s="1443"/>
      <c r="P46" s="1443"/>
      <c r="Q46" s="1443"/>
      <c r="R46" s="1443"/>
      <c r="S46" s="475"/>
      <c r="T46" s="475"/>
      <c r="U46" s="475"/>
      <c r="V46" s="475"/>
      <c r="W46" s="1444"/>
      <c r="Y46" s="1413"/>
      <c r="Z46" s="1413"/>
      <c r="AA46" s="1413"/>
      <c r="AB46" s="1413"/>
      <c r="AC46" s="1413"/>
      <c r="AD46" s="1413"/>
      <c r="AE46" s="1413"/>
      <c r="AF46" s="1413"/>
      <c r="AG46" s="1413"/>
      <c r="AH46" s="1413"/>
      <c r="AI46" s="1413"/>
      <c r="AJ46" s="1413"/>
      <c r="AK46" s="1413"/>
      <c r="AL46" s="1413"/>
      <c r="AM46" s="1413"/>
      <c r="AN46" s="1413"/>
      <c r="AO46" s="1413"/>
      <c r="AP46" s="1413"/>
      <c r="AQ46" s="1413"/>
      <c r="AR46" s="1472">
        <v>0</v>
      </c>
    </row>
    <row s="7809" customFormat="1" customHeight="1" ht="17.25" hidden="1">
      <c r="A47" s="467"/>
      <c r="C47" s="466"/>
      <c r="D47" s="2295"/>
      <c r="E47" s="2303"/>
      <c r="F47" s="2306"/>
      <c r="G47" s="2303"/>
      <c r="H47" s="1445"/>
      <c r="I47" s="1446"/>
      <c r="J47" s="1446"/>
      <c r="K47" s="1446"/>
      <c r="L47" s="1446"/>
      <c r="M47" s="1446"/>
      <c r="N47" s="1446"/>
      <c r="O47" s="1446"/>
      <c r="P47" s="1446"/>
      <c r="Q47" s="1446"/>
      <c r="R47" s="1446"/>
      <c r="S47" s="1447"/>
      <c r="T47" s="1447"/>
      <c r="U47" s="1447"/>
      <c r="V47" s="1447"/>
      <c r="W47" s="1448"/>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29">
        <v>0</v>
      </c>
    </row>
    <row s="7809" customFormat="1" customHeight="1" ht="17.25" hidden="1">
      <c r="A48" s="467"/>
      <c r="C48" s="355"/>
      <c r="D48" s="2325">
        <v>7</v>
      </c>
      <c r="E48" s="2328" t="s">
        <v>214</v>
      </c>
      <c r="F48" s="2304" t="s">
        <v>19</v>
      </c>
      <c r="G48" s="2328"/>
      <c r="H48" s="2307"/>
      <c r="I48" s="2309"/>
      <c r="J48" s="2311"/>
      <c r="K48" s="2296"/>
      <c r="L48" s="2296"/>
      <c r="M48" s="2296"/>
      <c r="N48" s="2298"/>
      <c r="O48" s="2296"/>
      <c r="P48" s="2296"/>
      <c r="Q48" s="2296"/>
      <c r="R48" s="2301"/>
      <c r="S48" s="2296"/>
      <c r="T48" s="1566"/>
      <c r="U48" s="1566"/>
      <c r="V48" s="1565"/>
      <c r="W48" s="1442"/>
      <c r="X48" s="1413"/>
      <c r="Y48" s="1413"/>
      <c r="Z48" s="1413"/>
      <c r="AA48" s="1413"/>
      <c r="AB48" s="1413"/>
      <c r="AC48" s="1413" t="s">
        <v>215</v>
      </c>
      <c r="AD48" s="1413" t="s">
        <v>216</v>
      </c>
      <c r="AE48" s="1413" t="s">
        <v>217</v>
      </c>
      <c r="AF48" s="1413" t="s">
        <v>218</v>
      </c>
      <c r="AG48" s="1413" t="s">
        <v>219</v>
      </c>
      <c r="AH48" s="1413" t="str">
        <f>IF($E$48=0,"",$E$48)</f>
        <v>Плата за услуги по поддержанию резервной тепловой мощности при отсутствии потребления тепловой энергии</v>
      </c>
      <c r="AI48" s="1413" t="str">
        <f>IF($G$48=0,"",$G$48)</f>
        <v/>
      </c>
      <c r="AJ48" s="1413" t="str">
        <f>IF($J$48=0,"",$J$48)</f>
        <v/>
      </c>
      <c r="AK48" s="1413" t="str">
        <f>IF($K$48="нет","без дифференциации",IF($N$48=0,"",$N$48))</f>
        <v/>
      </c>
      <c r="AL48" s="1413" t="str">
        <f>IF($O$48="нет","без дифференциации",IF($R$48=0,"",$R$48))</f>
        <v/>
      </c>
      <c r="AM48" s="1413" t="str">
        <f>IF($S$48="нет","без дифференциации",IF($V$48=0,"",$V$48))</f>
        <v/>
      </c>
      <c r="AN48" s="1917">
        <f>$I$48</f>
        <v>0</v>
      </c>
      <c r="AO48" s="1413" t="str">
        <f>$I$48&amp;"."&amp;$M$48</f>
        <v>.</v>
      </c>
      <c r="AP48" s="1405" t="str">
        <f>$I$48&amp;"."&amp;$M$48&amp;"."&amp;$Q$48</f>
        <v>..</v>
      </c>
      <c r="AQ48" s="1405" t="str">
        <f>$I$48&amp;"."&amp;$M$48&amp;"."&amp;$Q$48&amp;"."&amp;$U$48</f>
        <v>...</v>
      </c>
      <c r="AR48" s="1454">
        <v>0</v>
      </c>
    </row>
    <row s="7809" customFormat="1" customHeight="1" ht="17.25" hidden="1">
      <c r="A49" s="467"/>
      <c r="C49" s="466"/>
      <c r="D49" s="2326"/>
      <c r="E49" s="2329"/>
      <c r="F49" s="2305"/>
      <c r="G49" s="2329"/>
      <c r="H49" s="2308"/>
      <c r="I49" s="2310"/>
      <c r="J49" s="2312"/>
      <c r="K49" s="2297"/>
      <c r="L49" s="2297"/>
      <c r="M49" s="2297"/>
      <c r="N49" s="2299"/>
      <c r="O49" s="2297"/>
      <c r="P49" s="2297"/>
      <c r="Q49" s="2297"/>
      <c r="R49" s="2300"/>
      <c r="S49" s="2297"/>
      <c r="T49" s="1443"/>
      <c r="U49" s="1443"/>
      <c r="V49" s="1443"/>
      <c r="W49" s="1444"/>
      <c r="X49" s="1405"/>
      <c r="Y49" s="1405"/>
      <c r="Z49" s="1405"/>
      <c r="AA49" s="1405"/>
      <c r="AB49" s="1405"/>
      <c r="AC49" s="1405"/>
      <c r="AD49" s="1405"/>
      <c r="AE49" s="1405"/>
      <c r="AF49" s="1405"/>
      <c r="AG49" s="1405"/>
      <c r="AH49" s="1405"/>
      <c r="AI49" s="1405"/>
      <c r="AJ49" s="1405"/>
      <c r="AK49" s="1405"/>
      <c r="AL49" s="1405"/>
      <c r="AM49" s="1405"/>
      <c r="AN49" s="1405"/>
      <c r="AO49" s="1405"/>
      <c r="AP49" s="1405"/>
      <c r="AQ49" s="1405"/>
      <c r="AR49" s="1454">
        <v>0</v>
      </c>
    </row>
    <row s="7809" customFormat="1" customHeight="1" ht="17.25" hidden="1">
      <c r="A50" s="467"/>
      <c r="C50" s="466"/>
      <c r="D50" s="2326"/>
      <c r="E50" s="2329"/>
      <c r="F50" s="2305"/>
      <c r="G50" s="2329"/>
      <c r="H50" s="2308"/>
      <c r="I50" s="2310"/>
      <c r="J50" s="2313"/>
      <c r="K50" s="2297"/>
      <c r="L50" s="2297"/>
      <c r="M50" s="2297"/>
      <c r="N50" s="2300"/>
      <c r="O50" s="2297"/>
      <c r="P50" s="1564"/>
      <c r="Q50" s="1443"/>
      <c r="R50" s="1443"/>
      <c r="S50" s="475"/>
      <c r="T50" s="475"/>
      <c r="U50" s="475"/>
      <c r="V50" s="475"/>
      <c r="W50" s="1444"/>
      <c r="X50" s="1405"/>
      <c r="Y50" s="1405"/>
      <c r="Z50" s="1405"/>
      <c r="AA50" s="1405"/>
      <c r="AB50" s="1405"/>
      <c r="AC50" s="1405"/>
      <c r="AD50" s="1405"/>
      <c r="AE50" s="1405"/>
      <c r="AF50" s="1405"/>
      <c r="AG50" s="1405"/>
      <c r="AH50" s="1405"/>
      <c r="AI50" s="1405"/>
      <c r="AJ50" s="1405"/>
      <c r="AK50" s="1405"/>
      <c r="AL50" s="1405"/>
      <c r="AM50" s="1405"/>
      <c r="AN50" s="1405"/>
      <c r="AO50" s="1405"/>
      <c r="AP50" s="1405"/>
      <c r="AQ50" s="1405"/>
      <c r="AR50" s="1454">
        <v>0</v>
      </c>
    </row>
    <row s="7809" customFormat="1" customHeight="1" ht="17.25" hidden="1">
      <c r="A51" s="467"/>
      <c r="C51" s="355"/>
      <c r="D51" s="2326"/>
      <c r="E51" s="2329"/>
      <c r="F51" s="2305"/>
      <c r="G51" s="2329"/>
      <c r="H51" s="2308"/>
      <c r="I51" s="2310"/>
      <c r="J51" s="2313"/>
      <c r="K51" s="2297"/>
      <c r="L51" s="1443"/>
      <c r="M51" s="1443"/>
      <c r="N51" s="1443"/>
      <c r="O51" s="1443"/>
      <c r="P51" s="1443"/>
      <c r="Q51" s="1443"/>
      <c r="R51" s="1443"/>
      <c r="S51" s="475"/>
      <c r="T51" s="475"/>
      <c r="U51" s="475"/>
      <c r="V51" s="475"/>
      <c r="W51" s="1444"/>
      <c r="Y51" s="1413"/>
      <c r="Z51" s="1413"/>
      <c r="AA51" s="1413"/>
      <c r="AB51" s="1413"/>
      <c r="AC51" s="1413"/>
      <c r="AD51" s="1413"/>
      <c r="AE51" s="1413"/>
      <c r="AF51" s="1413"/>
      <c r="AG51" s="1413"/>
      <c r="AH51" s="1413"/>
      <c r="AI51" s="1413"/>
      <c r="AJ51" s="1413"/>
      <c r="AK51" s="1413"/>
      <c r="AL51" s="1413"/>
      <c r="AM51" s="1413"/>
      <c r="AN51" s="1413"/>
      <c r="AO51" s="1413"/>
      <c r="AP51" s="1413"/>
      <c r="AQ51" s="1413"/>
      <c r="AR51" s="1472">
        <v>0</v>
      </c>
    </row>
    <row s="7809" customFormat="1" customHeight="1" ht="17.25" hidden="1">
      <c r="A52" s="467"/>
      <c r="C52" s="466"/>
      <c r="D52" s="2327"/>
      <c r="E52" s="2330"/>
      <c r="F52" s="2306"/>
      <c r="G52" s="2330"/>
      <c r="H52" s="1445"/>
      <c r="I52" s="1446"/>
      <c r="J52" s="1446"/>
      <c r="K52" s="1446"/>
      <c r="L52" s="1446"/>
      <c r="M52" s="1446"/>
      <c r="N52" s="1446"/>
      <c r="O52" s="1446"/>
      <c r="P52" s="1446"/>
      <c r="Q52" s="1446"/>
      <c r="R52" s="1446"/>
      <c r="S52" s="1447"/>
      <c r="T52" s="1447"/>
      <c r="U52" s="1447"/>
      <c r="V52" s="1447"/>
      <c r="W52" s="1448"/>
      <c r="X52" s="1405"/>
      <c r="Y52" s="1405"/>
      <c r="Z52" s="1405"/>
      <c r="AA52" s="1405"/>
      <c r="AB52" s="1405"/>
      <c r="AC52" s="1405"/>
      <c r="AD52" s="1405"/>
      <c r="AE52" s="1405"/>
      <c r="AF52" s="1405"/>
      <c r="AG52" s="1405"/>
      <c r="AH52" s="1405"/>
      <c r="AI52" s="1405"/>
      <c r="AJ52" s="1405"/>
      <c r="AK52" s="1405"/>
      <c r="AL52" s="1405"/>
      <c r="AM52" s="1405"/>
      <c r="AN52" s="1405"/>
      <c r="AO52" s="1405"/>
      <c r="AP52" s="1405"/>
      <c r="AQ52" s="1405"/>
      <c r="AR52" s="1454">
        <v>0</v>
      </c>
    </row>
    <row s="7809" customFormat="1" customHeight="1" ht="17.25" hidden="1">
      <c r="A53" s="467"/>
      <c r="C53" s="355"/>
      <c r="D53" s="2294">
        <v>8</v>
      </c>
      <c r="E53" s="2302" t="s">
        <v>220</v>
      </c>
      <c r="F53" s="2304" t="s">
        <v>19</v>
      </c>
      <c r="G53" s="2302"/>
      <c r="H53" s="2307"/>
      <c r="I53" s="2309"/>
      <c r="J53" s="2311"/>
      <c r="K53" s="2296"/>
      <c r="L53" s="2296"/>
      <c r="M53" s="2296"/>
      <c r="N53" s="2298"/>
      <c r="O53" s="2296"/>
      <c r="P53" s="2296"/>
      <c r="Q53" s="2296"/>
      <c r="R53" s="2301"/>
      <c r="S53" s="2296"/>
      <c r="T53" s="1616"/>
      <c r="U53" s="1616"/>
      <c r="V53" s="1618"/>
      <c r="W53" s="1442"/>
      <c r="X53" s="1413"/>
      <c r="Y53" s="1413"/>
      <c r="Z53" s="1413"/>
      <c r="AA53" s="1413"/>
      <c r="AB53" s="1413"/>
      <c r="AC53" s="1413" t="s">
        <v>221</v>
      </c>
      <c r="AD53" s="1413" t="s">
        <v>222</v>
      </c>
      <c r="AE53" s="1413" t="s">
        <v>223</v>
      </c>
      <c r="AF53" s="1413" t="s">
        <v>224</v>
      </c>
      <c r="AG53" s="1413" t="s">
        <v>225</v>
      </c>
      <c r="AH53" s="1413" t="str">
        <f>IF($E$53=0,"",$E$53)</f>
        <v>Плата за подключение (технологическое присоединение) к системе теплоснабжения</v>
      </c>
      <c r="AI53" s="1413" t="str">
        <f>IF($G$53=0,"",$G$53)</f>
        <v/>
      </c>
      <c r="AJ53" s="1413" t="str">
        <f>IF($J$53=0,"",$J$53)</f>
        <v/>
      </c>
      <c r="AK53" s="1413" t="str">
        <f>IF($K$53="нет","без дифференциации",IF($N$53=0,"",$N$53))</f>
        <v/>
      </c>
      <c r="AL53" s="1413" t="str">
        <f>IF($O$53="нет","без дифференциации",IF($R$53=0,"",$R$53))</f>
        <v/>
      </c>
      <c r="AM53" s="1413" t="str">
        <f>IF($S$53="нет","без дифференциации",IF($V$53=0,"",$V$53))</f>
        <v/>
      </c>
      <c r="AN53" s="1917">
        <f>$I$53</f>
        <v>0</v>
      </c>
      <c r="AO53" s="1413" t="str">
        <f>$I$53&amp;"."&amp;$M$53</f>
        <v>.</v>
      </c>
      <c r="AP53" s="1405" t="str">
        <f>$I$53&amp;"."&amp;$M$53&amp;"."&amp;$Q$53</f>
        <v>..</v>
      </c>
      <c r="AQ53" s="1405" t="str">
        <f>$I$53&amp;"."&amp;$M$53&amp;"."&amp;$Q$53&amp;"."&amp;$U$53</f>
        <v>...</v>
      </c>
      <c r="AR53" s="1454">
        <v>0</v>
      </c>
    </row>
    <row s="7809" customFormat="1" customHeight="1" ht="17.25" hidden="1">
      <c r="A54" s="467"/>
      <c r="C54" s="466"/>
      <c r="D54" s="2294"/>
      <c r="E54" s="2302"/>
      <c r="F54" s="2305"/>
      <c r="G54" s="2302"/>
      <c r="H54" s="2308"/>
      <c r="I54" s="2310"/>
      <c r="J54" s="2312"/>
      <c r="K54" s="2297"/>
      <c r="L54" s="2297"/>
      <c r="M54" s="2297"/>
      <c r="N54" s="2299"/>
      <c r="O54" s="2297"/>
      <c r="P54" s="2297"/>
      <c r="Q54" s="2297"/>
      <c r="R54" s="2300"/>
      <c r="S54" s="2297"/>
      <c r="T54" s="1443"/>
      <c r="U54" s="1443"/>
      <c r="V54" s="1443"/>
      <c r="W54" s="1444"/>
      <c r="X54" s="1405"/>
      <c r="Y54" s="1405"/>
      <c r="Z54" s="1405"/>
      <c r="AA54" s="1405"/>
      <c r="AB54" s="1405"/>
      <c r="AC54" s="1405"/>
      <c r="AD54" s="1405"/>
      <c r="AE54" s="1405"/>
      <c r="AF54" s="1405"/>
      <c r="AG54" s="1405"/>
      <c r="AH54" s="1405"/>
      <c r="AI54" s="1405"/>
      <c r="AJ54" s="1405"/>
      <c r="AK54" s="1405"/>
      <c r="AL54" s="1405"/>
      <c r="AM54" s="1405"/>
      <c r="AN54" s="1405"/>
      <c r="AO54" s="1405"/>
      <c r="AP54" s="1405"/>
      <c r="AQ54" s="1405"/>
      <c r="AR54" s="1454">
        <v>0</v>
      </c>
    </row>
    <row s="7809" customFormat="1" customHeight="1" ht="17.25" hidden="1">
      <c r="A55" s="467"/>
      <c r="C55" s="466"/>
      <c r="D55" s="2295"/>
      <c r="E55" s="2303"/>
      <c r="F55" s="2305"/>
      <c r="G55" s="2303"/>
      <c r="H55" s="2308"/>
      <c r="I55" s="2310"/>
      <c r="J55" s="2313"/>
      <c r="K55" s="2297"/>
      <c r="L55" s="2297"/>
      <c r="M55" s="2297"/>
      <c r="N55" s="2300"/>
      <c r="O55" s="2297"/>
      <c r="P55" s="1617"/>
      <c r="Q55" s="1443"/>
      <c r="R55" s="1443"/>
      <c r="S55" s="475"/>
      <c r="T55" s="475"/>
      <c r="U55" s="475"/>
      <c r="V55" s="475"/>
      <c r="W55" s="1444"/>
      <c r="X55" s="1405"/>
      <c r="Y55" s="1405"/>
      <c r="Z55" s="1405"/>
      <c r="AA55" s="1405"/>
      <c r="AB55" s="1405"/>
      <c r="AC55" s="1405"/>
      <c r="AD55" s="1405"/>
      <c r="AE55" s="1405"/>
      <c r="AF55" s="1405"/>
      <c r="AG55" s="1405"/>
      <c r="AH55" s="1405"/>
      <c r="AI55" s="1405"/>
      <c r="AJ55" s="1405"/>
      <c r="AK55" s="1405"/>
      <c r="AL55" s="1405"/>
      <c r="AM55" s="1405"/>
      <c r="AN55" s="1405"/>
      <c r="AO55" s="1405"/>
      <c r="AP55" s="1405"/>
      <c r="AQ55" s="1405"/>
      <c r="AR55" s="1454">
        <v>0</v>
      </c>
    </row>
    <row s="7809" customFormat="1" customHeight="1" ht="17.25" hidden="1">
      <c r="A56" s="467"/>
      <c r="C56" s="355"/>
      <c r="D56" s="2295"/>
      <c r="E56" s="2303"/>
      <c r="F56" s="2305"/>
      <c r="G56" s="2303"/>
      <c r="H56" s="2308"/>
      <c r="I56" s="2310"/>
      <c r="J56" s="2313"/>
      <c r="K56" s="2297"/>
      <c r="L56" s="1443"/>
      <c r="M56" s="1443"/>
      <c r="N56" s="1443"/>
      <c r="O56" s="1443"/>
      <c r="P56" s="1443"/>
      <c r="Q56" s="1443"/>
      <c r="R56" s="1443"/>
      <c r="S56" s="475"/>
      <c r="T56" s="475"/>
      <c r="U56" s="475"/>
      <c r="V56" s="475"/>
      <c r="W56" s="1444"/>
      <c r="Y56" s="1413"/>
      <c r="Z56" s="1413"/>
      <c r="AA56" s="1413"/>
      <c r="AB56" s="1413"/>
      <c r="AC56" s="1413"/>
      <c r="AD56" s="1413"/>
      <c r="AE56" s="1413"/>
      <c r="AF56" s="1413"/>
      <c r="AG56" s="1413"/>
      <c r="AH56" s="1413"/>
      <c r="AI56" s="1413"/>
      <c r="AJ56" s="1413"/>
      <c r="AK56" s="1413"/>
      <c r="AL56" s="1413"/>
      <c r="AM56" s="1413"/>
      <c r="AN56" s="1413"/>
      <c r="AO56" s="1413"/>
      <c r="AP56" s="1413"/>
      <c r="AQ56" s="1413"/>
      <c r="AR56" s="1472">
        <v>0</v>
      </c>
    </row>
    <row s="7809" customFormat="1" customHeight="1" ht="17.25" hidden="1">
      <c r="A57" s="467"/>
      <c r="C57" s="466"/>
      <c r="D57" s="2295"/>
      <c r="E57" s="2303"/>
      <c r="F57" s="2306"/>
      <c r="G57" s="2303"/>
      <c r="H57" s="1445"/>
      <c r="I57" s="1446"/>
      <c r="J57" s="1446"/>
      <c r="K57" s="1446"/>
      <c r="L57" s="1446"/>
      <c r="M57" s="1446"/>
      <c r="N57" s="1446"/>
      <c r="O57" s="1446"/>
      <c r="P57" s="1446"/>
      <c r="Q57" s="1446"/>
      <c r="R57" s="1446"/>
      <c r="S57" s="1447"/>
      <c r="T57" s="1447"/>
      <c r="U57" s="1447"/>
      <c r="V57" s="1447"/>
      <c r="W57" s="1448"/>
      <c r="X57" s="1405"/>
      <c r="Y57" s="1405"/>
      <c r="Z57" s="1405"/>
      <c r="AA57" s="1405"/>
      <c r="AB57" s="1405"/>
      <c r="AC57" s="1405"/>
      <c r="AD57" s="1405"/>
      <c r="AE57" s="1405"/>
      <c r="AF57" s="1405"/>
      <c r="AG57" s="1405"/>
      <c r="AH57" s="1405"/>
      <c r="AI57" s="1405"/>
      <c r="AJ57" s="1405"/>
      <c r="AK57" s="1405"/>
      <c r="AL57" s="1405"/>
      <c r="AM57" s="1405"/>
      <c r="AN57" s="1405"/>
      <c r="AO57" s="1405"/>
      <c r="AP57" s="1405"/>
      <c r="AQ57" s="1405"/>
      <c r="AR57" s="1454">
        <v>0</v>
      </c>
    </row>
    <row s="7809" customFormat="1" customHeight="1" ht="17.25" hidden="1">
      <c r="A58" s="467"/>
      <c r="C58" s="355"/>
      <c r="D58" s="2294">
        <v>9</v>
      </c>
      <c r="E58" s="2302" t="s">
        <v>226</v>
      </c>
      <c r="F58" s="2304" t="s">
        <v>19</v>
      </c>
      <c r="G58" s="2302"/>
      <c r="H58" s="2307"/>
      <c r="I58" s="2309"/>
      <c r="J58" s="2311"/>
      <c r="K58" s="2296"/>
      <c r="L58" s="2296"/>
      <c r="M58" s="2296"/>
      <c r="N58" s="2298"/>
      <c r="O58" s="2296"/>
      <c r="P58" s="2296"/>
      <c r="Q58" s="2296"/>
      <c r="R58" s="2301"/>
      <c r="S58" s="2296"/>
      <c r="T58" s="2074"/>
      <c r="U58" s="2074"/>
      <c r="V58" s="2076"/>
      <c r="W58" s="1442"/>
      <c r="X58" s="1413"/>
      <c r="Y58" s="1413"/>
      <c r="Z58" s="1413"/>
      <c r="AA58" s="1413"/>
      <c r="AB58" s="1413"/>
      <c r="AC58" s="1413" t="s">
        <v>227</v>
      </c>
      <c r="AD58" s="1413" t="s">
        <v>228</v>
      </c>
      <c r="AE58" s="1413" t="s">
        <v>229</v>
      </c>
      <c r="AF58" s="1413" t="s">
        <v>230</v>
      </c>
      <c r="AG58" s="1413" t="s">
        <v>231</v>
      </c>
      <c r="AH58" s="1413" t="str">
        <f>IF($E$58=0,"",$E$58)</f>
        <v>Плата за подключение (технологическое присоединение) к системе теплоснабжения (индивидуальная)</v>
      </c>
      <c r="AI58" s="1413" t="str">
        <f>IF($G$58=0,"",$G$58)</f>
        <v/>
      </c>
      <c r="AJ58" s="1413" t="str">
        <f>IF($J$58=0,"",$J$58)</f>
        <v/>
      </c>
      <c r="AK58" s="1413" t="str">
        <f>IF($K$58="нет","без дифференциации",IF($N$58=0,"",$N$58))</f>
        <v/>
      </c>
      <c r="AL58" s="1413" t="str">
        <f>IF($O$58="нет","без дифференциации",IF($R$58=0,"",$R$58))</f>
        <v/>
      </c>
      <c r="AM58" s="1413" t="str">
        <f>IF($S$58="нет","без дифференциации",IF($V$58=0,"",$V$58))</f>
        <v/>
      </c>
      <c r="AN58" s="1917">
        <f>$I$58</f>
        <v>0</v>
      </c>
      <c r="AO58" s="1413" t="str">
        <f>$I$58&amp;"."&amp;$M$58</f>
        <v>.</v>
      </c>
      <c r="AP58" s="1412" t="str">
        <f>$I$58&amp;"."&amp;$M$58&amp;"."&amp;$Q$58</f>
        <v>..</v>
      </c>
      <c r="AQ58" s="1412" t="str">
        <f>$I$58&amp;"."&amp;$M$58&amp;"."&amp;$Q$58&amp;"."&amp;$U$58</f>
        <v>...</v>
      </c>
      <c r="AR58" s="1613">
        <v>0</v>
      </c>
    </row>
    <row s="7809" customFormat="1" customHeight="1" ht="17.25" hidden="1">
      <c r="A59" s="467"/>
      <c r="C59" s="466"/>
      <c r="D59" s="2294"/>
      <c r="E59" s="2302"/>
      <c r="F59" s="2305"/>
      <c r="G59" s="2302"/>
      <c r="H59" s="2308"/>
      <c r="I59" s="2310"/>
      <c r="J59" s="2312"/>
      <c r="K59" s="2297"/>
      <c r="L59" s="2297"/>
      <c r="M59" s="2297"/>
      <c r="N59" s="2299"/>
      <c r="O59" s="2297"/>
      <c r="P59" s="2297"/>
      <c r="Q59" s="2297"/>
      <c r="R59" s="2300"/>
      <c r="S59" s="2297"/>
      <c r="T59" s="2077"/>
      <c r="U59" s="2077"/>
      <c r="V59" s="2077"/>
      <c r="W59" s="2078"/>
      <c r="X59" s="1412"/>
      <c r="Y59" s="1412"/>
      <c r="Z59" s="1412"/>
      <c r="AA59" s="1412"/>
      <c r="AB59" s="1412"/>
      <c r="AC59" s="1412"/>
      <c r="AD59" s="1412"/>
      <c r="AE59" s="1412"/>
      <c r="AF59" s="1412"/>
      <c r="AG59" s="1412"/>
      <c r="AH59" s="1412"/>
      <c r="AI59" s="1412"/>
      <c r="AJ59" s="1412"/>
      <c r="AK59" s="1412"/>
      <c r="AL59" s="1412"/>
      <c r="AM59" s="1412"/>
      <c r="AN59" s="1412"/>
      <c r="AO59" s="1412"/>
      <c r="AP59" s="1412"/>
      <c r="AQ59" s="1412"/>
      <c r="AR59" s="1613">
        <v>0</v>
      </c>
    </row>
    <row s="7809" customFormat="1" customHeight="1" ht="17.25" hidden="1">
      <c r="A60" s="467"/>
      <c r="C60" s="466"/>
      <c r="D60" s="2295"/>
      <c r="E60" s="2303"/>
      <c r="F60" s="2305"/>
      <c r="G60" s="2303"/>
      <c r="H60" s="2308"/>
      <c r="I60" s="2310"/>
      <c r="J60" s="2313"/>
      <c r="K60" s="2297"/>
      <c r="L60" s="2297"/>
      <c r="M60" s="2297"/>
      <c r="N60" s="2300"/>
      <c r="O60" s="2297"/>
      <c r="P60" s="2075"/>
      <c r="Q60" s="2077"/>
      <c r="R60" s="2077"/>
      <c r="S60" s="475"/>
      <c r="T60" s="475"/>
      <c r="U60" s="475"/>
      <c r="V60" s="475"/>
      <c r="W60" s="2078"/>
      <c r="X60" s="1412"/>
      <c r="Y60" s="1412"/>
      <c r="Z60" s="1412"/>
      <c r="AA60" s="1412"/>
      <c r="AB60" s="1412"/>
      <c r="AC60" s="1412"/>
      <c r="AD60" s="1412"/>
      <c r="AE60" s="1412"/>
      <c r="AF60" s="1412"/>
      <c r="AG60" s="1412"/>
      <c r="AH60" s="1412"/>
      <c r="AI60" s="1412"/>
      <c r="AJ60" s="1412"/>
      <c r="AK60" s="1412"/>
      <c r="AL60" s="1412"/>
      <c r="AM60" s="1412"/>
      <c r="AN60" s="1412"/>
      <c r="AO60" s="1412"/>
      <c r="AP60" s="1412"/>
      <c r="AQ60" s="1412"/>
      <c r="AR60" s="1613">
        <v>0</v>
      </c>
    </row>
    <row s="7809" customFormat="1" customHeight="1" ht="17.25" hidden="1">
      <c r="A61" s="467"/>
      <c r="C61" s="355"/>
      <c r="D61" s="2295"/>
      <c r="E61" s="2303"/>
      <c r="F61" s="2305"/>
      <c r="G61" s="2303"/>
      <c r="H61" s="2308"/>
      <c r="I61" s="2310"/>
      <c r="J61" s="2313"/>
      <c r="K61" s="2297"/>
      <c r="L61" s="2077"/>
      <c r="M61" s="2077"/>
      <c r="N61" s="2077"/>
      <c r="O61" s="2077"/>
      <c r="P61" s="2077"/>
      <c r="Q61" s="2077"/>
      <c r="R61" s="2077"/>
      <c r="S61" s="475"/>
      <c r="T61" s="475"/>
      <c r="U61" s="475"/>
      <c r="V61" s="475"/>
      <c r="W61" s="2078"/>
      <c r="Y61" s="1413"/>
      <c r="Z61" s="1413"/>
      <c r="AA61" s="1413"/>
      <c r="AB61" s="1413"/>
      <c r="AC61" s="1413"/>
      <c r="AD61" s="1413"/>
      <c r="AE61" s="1413"/>
      <c r="AF61" s="1413"/>
      <c r="AG61" s="1413"/>
      <c r="AH61" s="1413"/>
      <c r="AI61" s="1413"/>
      <c r="AJ61" s="1413"/>
      <c r="AK61" s="1413"/>
      <c r="AL61" s="1413"/>
      <c r="AM61" s="1413"/>
      <c r="AN61" s="1413"/>
      <c r="AO61" s="1413"/>
      <c r="AP61" s="1413"/>
      <c r="AQ61" s="1413"/>
      <c r="AR61" s="1613">
        <v>0</v>
      </c>
    </row>
    <row s="7809" customFormat="1" customHeight="1" ht="17.25" hidden="1">
      <c r="A62" s="467"/>
      <c r="C62" s="466"/>
      <c r="D62" s="2295"/>
      <c r="E62" s="2303"/>
      <c r="F62" s="2306"/>
      <c r="G62" s="2303"/>
      <c r="H62" s="1445"/>
      <c r="I62" s="2079"/>
      <c r="J62" s="2079"/>
      <c r="K62" s="2079"/>
      <c r="L62" s="2079"/>
      <c r="M62" s="2079"/>
      <c r="N62" s="2079"/>
      <c r="O62" s="2079"/>
      <c r="P62" s="2079"/>
      <c r="Q62" s="2079"/>
      <c r="R62" s="2079"/>
      <c r="S62" s="1447"/>
      <c r="T62" s="1447"/>
      <c r="U62" s="1447"/>
      <c r="V62" s="1447"/>
      <c r="W62" s="2080"/>
      <c r="X62" s="1412"/>
      <c r="Y62" s="1412"/>
      <c r="Z62" s="1412"/>
      <c r="AA62" s="1412"/>
      <c r="AB62" s="1412"/>
      <c r="AC62" s="1412"/>
      <c r="AD62" s="1412"/>
      <c r="AE62" s="1412"/>
      <c r="AF62" s="1412"/>
      <c r="AG62" s="1412"/>
      <c r="AH62" s="1412"/>
      <c r="AI62" s="1412"/>
      <c r="AJ62" s="1412"/>
      <c r="AK62" s="1412"/>
      <c r="AL62" s="1412"/>
      <c r="AM62" s="1412"/>
      <c r="AN62" s="1412"/>
      <c r="AO62" s="1412"/>
      <c r="AP62" s="1412"/>
      <c r="AQ62" s="1412"/>
      <c r="AR62" s="1613">
        <v>0</v>
      </c>
    </row>
    <row s="7809" customFormat="1" customHeight="1" ht="17.25" hidden="1">
      <c r="A63" s="467"/>
      <c r="C63" s="355"/>
      <c r="D63" s="2294">
        <v>10</v>
      </c>
      <c r="E63" s="2302" t="s">
        <v>232</v>
      </c>
      <c r="F63" s="2304" t="s">
        <v>19</v>
      </c>
      <c r="G63" s="2302"/>
      <c r="H63" s="2307"/>
      <c r="I63" s="2309"/>
      <c r="J63" s="2311"/>
      <c r="K63" s="2296"/>
      <c r="L63" s="2296"/>
      <c r="M63" s="2296"/>
      <c r="N63" s="2298"/>
      <c r="O63" s="2296"/>
      <c r="P63" s="2296"/>
      <c r="Q63" s="2296"/>
      <c r="R63" s="2301"/>
      <c r="S63" s="2296"/>
      <c r="T63" s="2074"/>
      <c r="U63" s="2074"/>
      <c r="V63" s="2076"/>
      <c r="W63" s="1442"/>
      <c r="X63" s="1413"/>
      <c r="Y63" s="1413"/>
      <c r="Z63" s="1413"/>
      <c r="AA63" s="1413"/>
      <c r="AB63" s="1413"/>
      <c r="AC63" s="1413" t="s">
        <v>233</v>
      </c>
      <c r="AD63" s="1413" t="s">
        <v>234</v>
      </c>
      <c r="AE63" s="1413" t="s">
        <v>235</v>
      </c>
      <c r="AF63" s="1413" t="s">
        <v>236</v>
      </c>
      <c r="AG63" s="1413" t="s">
        <v>237</v>
      </c>
      <c r="AH63" s="1413" t="str">
        <f>IF($E$63=0,"",$E$63)</f>
        <v>Предельный уровень цены на тепловую энергию (мощность), поставляемую теплоснабжающими организациями потребителям</v>
      </c>
      <c r="AI63" s="1413" t="str">
        <f>IF($G$63=0,"",$G$63)</f>
        <v/>
      </c>
      <c r="AJ63" s="1413" t="str">
        <f>IF($J$63=0,"",$J$63)</f>
        <v/>
      </c>
      <c r="AK63" s="1413" t="str">
        <f>IF($K$63="нет","без дифференциации",IF($N$63=0,"",$N$63))</f>
        <v/>
      </c>
      <c r="AL63" s="1413" t="str">
        <f>IF($O$63="нет","без дифференциации",IF($R$63=0,"",$R$63))</f>
        <v/>
      </c>
      <c r="AM63" s="1413" t="str">
        <f>IF($S$63="нет","без дифференциации",IF($V$63=0,"",$V$63))</f>
        <v/>
      </c>
      <c r="AN63" s="1917">
        <f>$I$63</f>
        <v>0</v>
      </c>
      <c r="AO63" s="1413" t="str">
        <f>$I$63&amp;"."&amp;$M$63</f>
        <v>.</v>
      </c>
      <c r="AP63" s="1412" t="str">
        <f>$I$63&amp;"."&amp;$M$63&amp;"."&amp;$Q$63</f>
        <v>..</v>
      </c>
      <c r="AQ63" s="1412" t="str">
        <f>$I$63&amp;"."&amp;$M$63&amp;"."&amp;$Q$63&amp;"."&amp;$U$63</f>
        <v>...</v>
      </c>
      <c r="AR63" s="1613">
        <v>0</v>
      </c>
    </row>
    <row s="7809" customFormat="1" customHeight="1" ht="17.25" hidden="1">
      <c r="A64" s="467"/>
      <c r="C64" s="466"/>
      <c r="D64" s="2294"/>
      <c r="E64" s="2302"/>
      <c r="F64" s="2305"/>
      <c r="G64" s="2302"/>
      <c r="H64" s="2308"/>
      <c r="I64" s="2310"/>
      <c r="J64" s="2312"/>
      <c r="K64" s="2297"/>
      <c r="L64" s="2297"/>
      <c r="M64" s="2297"/>
      <c r="N64" s="2299"/>
      <c r="O64" s="2297"/>
      <c r="P64" s="2297"/>
      <c r="Q64" s="2297"/>
      <c r="R64" s="2300"/>
      <c r="S64" s="2297"/>
      <c r="T64" s="2077"/>
      <c r="U64" s="2077"/>
      <c r="V64" s="2077"/>
      <c r="W64" s="2078"/>
      <c r="X64" s="1412"/>
      <c r="Y64" s="1412"/>
      <c r="Z64" s="1412"/>
      <c r="AA64" s="1412"/>
      <c r="AB64" s="1412"/>
      <c r="AC64" s="1412"/>
      <c r="AD64" s="1412"/>
      <c r="AE64" s="1412"/>
      <c r="AF64" s="1412"/>
      <c r="AG64" s="1412"/>
      <c r="AH64" s="1412"/>
      <c r="AI64" s="1412"/>
      <c r="AJ64" s="1412"/>
      <c r="AK64" s="1412"/>
      <c r="AL64" s="1412"/>
      <c r="AM64" s="1412"/>
      <c r="AN64" s="1412"/>
      <c r="AO64" s="1412"/>
      <c r="AP64" s="1412"/>
      <c r="AQ64" s="1412"/>
      <c r="AR64" s="1613">
        <v>0</v>
      </c>
    </row>
    <row s="7809" customFormat="1" customHeight="1" ht="17.25" hidden="1">
      <c r="A65" s="467"/>
      <c r="C65" s="466"/>
      <c r="D65" s="2295"/>
      <c r="E65" s="2303"/>
      <c r="F65" s="2305"/>
      <c r="G65" s="2303"/>
      <c r="H65" s="2308"/>
      <c r="I65" s="2310"/>
      <c r="J65" s="2313"/>
      <c r="K65" s="2297"/>
      <c r="L65" s="2297"/>
      <c r="M65" s="2297"/>
      <c r="N65" s="2300"/>
      <c r="O65" s="2297"/>
      <c r="P65" s="2075"/>
      <c r="Q65" s="2077"/>
      <c r="R65" s="2077"/>
      <c r="S65" s="475"/>
      <c r="T65" s="475"/>
      <c r="U65" s="475"/>
      <c r="V65" s="475"/>
      <c r="W65" s="2078"/>
      <c r="X65" s="1412"/>
      <c r="Y65" s="1412"/>
      <c r="Z65" s="1412"/>
      <c r="AA65" s="1412"/>
      <c r="AB65" s="1412"/>
      <c r="AC65" s="1412"/>
      <c r="AD65" s="1412"/>
      <c r="AE65" s="1412"/>
      <c r="AF65" s="1412"/>
      <c r="AG65" s="1412"/>
      <c r="AH65" s="1412"/>
      <c r="AI65" s="1412"/>
      <c r="AJ65" s="1412"/>
      <c r="AK65" s="1412"/>
      <c r="AL65" s="1412"/>
      <c r="AM65" s="1412"/>
      <c r="AN65" s="1412"/>
      <c r="AO65" s="1412"/>
      <c r="AP65" s="1412"/>
      <c r="AQ65" s="1412"/>
      <c r="AR65" s="1613">
        <v>0</v>
      </c>
    </row>
    <row s="7809" customFormat="1" customHeight="1" ht="17.25" hidden="1">
      <c r="A66" s="467"/>
      <c r="C66" s="355"/>
      <c r="D66" s="2295"/>
      <c r="E66" s="2303"/>
      <c r="F66" s="2305"/>
      <c r="G66" s="2303"/>
      <c r="H66" s="2308"/>
      <c r="I66" s="2310"/>
      <c r="J66" s="2313"/>
      <c r="K66" s="2297"/>
      <c r="L66" s="2077"/>
      <c r="M66" s="2077"/>
      <c r="N66" s="2077"/>
      <c r="O66" s="2077"/>
      <c r="P66" s="2077"/>
      <c r="Q66" s="2077"/>
      <c r="R66" s="2077"/>
      <c r="S66" s="475"/>
      <c r="T66" s="475"/>
      <c r="U66" s="475"/>
      <c r="V66" s="475"/>
      <c r="W66" s="2078"/>
      <c r="Y66" s="1413"/>
      <c r="Z66" s="1413"/>
      <c r="AA66" s="1413"/>
      <c r="AB66" s="1413"/>
      <c r="AC66" s="1413"/>
      <c r="AD66" s="1413"/>
      <c r="AE66" s="1413"/>
      <c r="AF66" s="1413"/>
      <c r="AG66" s="1413"/>
      <c r="AH66" s="1413"/>
      <c r="AI66" s="1413"/>
      <c r="AJ66" s="1413"/>
      <c r="AK66" s="1413"/>
      <c r="AL66" s="1413"/>
      <c r="AM66" s="1413"/>
      <c r="AN66" s="1413"/>
      <c r="AO66" s="1413"/>
      <c r="AP66" s="1413"/>
      <c r="AQ66" s="1413"/>
      <c r="AR66" s="1613">
        <v>0</v>
      </c>
    </row>
    <row s="7809" customFormat="1" customHeight="1" ht="17.25" hidden="1">
      <c r="A67" s="467"/>
      <c r="C67" s="466"/>
      <c r="D67" s="2295"/>
      <c r="E67" s="2303"/>
      <c r="F67" s="2306"/>
      <c r="G67" s="2303"/>
      <c r="H67" s="1445"/>
      <c r="I67" s="2079"/>
      <c r="J67" s="2079"/>
      <c r="K67" s="2079"/>
      <c r="L67" s="2079"/>
      <c r="M67" s="2079"/>
      <c r="N67" s="2079"/>
      <c r="O67" s="2079"/>
      <c r="P67" s="2079"/>
      <c r="Q67" s="2079"/>
      <c r="R67" s="2079"/>
      <c r="S67" s="1447"/>
      <c r="T67" s="1447"/>
      <c r="U67" s="1447"/>
      <c r="V67" s="1447"/>
      <c r="W67" s="2080"/>
      <c r="X67" s="1412"/>
      <c r="Y67" s="1412"/>
      <c r="Z67" s="1412"/>
      <c r="AA67" s="1412"/>
      <c r="AB67" s="1412"/>
      <c r="AC67" s="1412"/>
      <c r="AD67" s="1412"/>
      <c r="AE67" s="1412"/>
      <c r="AF67" s="1412"/>
      <c r="AG67" s="1412"/>
      <c r="AH67" s="1412"/>
      <c r="AI67" s="1412"/>
      <c r="AJ67" s="1412"/>
      <c r="AK67" s="1412"/>
      <c r="AL67" s="1412"/>
      <c r="AM67" s="1412"/>
      <c r="AN67" s="1412"/>
      <c r="AO67" s="1412"/>
      <c r="AP67" s="1412"/>
      <c r="AQ67" s="1412"/>
      <c r="AR67" s="1613">
        <v>0</v>
      </c>
    </row>
    <row customHeight="1" ht="11.25" hidden="1">
      <c r="AR68" s="250">
        <v>0</v>
      </c>
    </row>
    <row customHeight="1" ht="11.25" hidden="1">
      <c r="E69" s="2333" t="s">
        <v>238</v>
      </c>
      <c r="F69" s="2333"/>
      <c r="G69" s="2333"/>
      <c r="H69" s="2333"/>
      <c r="I69" s="2333"/>
      <c r="J69" s="2333"/>
      <c r="K69" s="2333"/>
      <c r="L69" s="2333"/>
      <c r="M69" s="2333"/>
      <c r="N69" s="2333"/>
      <c r="O69" s="2333"/>
      <c r="P69" s="2333"/>
      <c r="Q69" s="2333"/>
      <c r="R69" s="2333"/>
      <c r="S69" s="2333"/>
      <c r="T69" s="2333"/>
      <c r="U69" s="2333"/>
      <c r="V69" s="2333"/>
      <c r="W69" s="2333"/>
      <c r="AR69" s="250">
        <v>0</v>
      </c>
    </row>
    <row customHeight="1" ht="36.75" hidden="1">
      <c r="E70" s="2331" t="s">
        <v>239</v>
      </c>
      <c r="F70" s="2331"/>
      <c r="G70" s="2332"/>
      <c r="H70" s="2332"/>
      <c r="I70" s="2332"/>
      <c r="J70" s="2332"/>
      <c r="K70" s="2332"/>
      <c r="L70" s="2332"/>
      <c r="M70" s="2332"/>
      <c r="N70" s="2332"/>
      <c r="O70" s="2332"/>
      <c r="P70" s="2332"/>
      <c r="Q70" s="2332"/>
      <c r="R70" s="2332"/>
      <c r="S70" s="2332"/>
      <c r="T70" s="2332"/>
      <c r="U70" s="2332"/>
      <c r="V70" s="2332"/>
      <c r="W70" s="2332"/>
      <c r="AR70" s="250">
        <v>0</v>
      </c>
    </row>
    <row customHeight="1" ht="28.5" hidden="1">
      <c r="E71" s="2331" t="s">
        <v>240</v>
      </c>
      <c r="F71" s="2331"/>
      <c r="G71" s="2332"/>
      <c r="H71" s="2332"/>
      <c r="I71" s="2332"/>
      <c r="J71" s="2332"/>
      <c r="K71" s="2332"/>
      <c r="L71" s="2332"/>
      <c r="M71" s="2332"/>
      <c r="N71" s="2332"/>
      <c r="O71" s="2332"/>
      <c r="P71" s="2332"/>
      <c r="Q71" s="2332"/>
      <c r="R71" s="2332"/>
      <c r="S71" s="2332"/>
      <c r="T71" s="2332"/>
      <c r="U71" s="2332"/>
      <c r="V71" s="2332"/>
      <c r="W71" s="2332"/>
      <c r="AR71" s="250">
        <v>0</v>
      </c>
    </row>
    <row customHeight="1" ht="27" hidden="1">
      <c r="E72" s="2331" t="s">
        <v>241</v>
      </c>
      <c r="F72" s="2331"/>
      <c r="G72" s="2332"/>
      <c r="H72" s="2332"/>
      <c r="I72" s="2332"/>
      <c r="J72" s="2332"/>
      <c r="K72" s="2332"/>
      <c r="L72" s="2332"/>
      <c r="M72" s="2332"/>
      <c r="N72" s="2332"/>
      <c r="O72" s="2332"/>
      <c r="P72" s="2332"/>
      <c r="Q72" s="2332"/>
      <c r="R72" s="2332"/>
      <c r="S72" s="2332"/>
      <c r="T72" s="2332"/>
      <c r="U72" s="2332"/>
      <c r="V72" s="2332"/>
      <c r="W72" s="2332"/>
      <c r="AR72" s="250">
        <v>0</v>
      </c>
    </row>
    <row customHeight="1" ht="17.25" hidden="1">
      <c r="E73" s="2331" t="s">
        <v>242</v>
      </c>
      <c r="F73" s="2331"/>
      <c r="G73" s="2332"/>
      <c r="H73" s="2332"/>
      <c r="I73" s="2332"/>
      <c r="J73" s="2332"/>
      <c r="K73" s="2332"/>
      <c r="L73" s="2332"/>
      <c r="M73" s="2332"/>
      <c r="N73" s="2332"/>
      <c r="O73" s="2332"/>
      <c r="P73" s="2332"/>
      <c r="Q73" s="2332"/>
      <c r="R73" s="2332"/>
      <c r="S73" s="2332"/>
      <c r="T73" s="2332"/>
      <c r="U73" s="2332"/>
      <c r="V73" s="2332"/>
      <c r="W73" s="2332"/>
      <c r="AR73" s="250">
        <v>0</v>
      </c>
    </row>
    <row customHeight="1" ht="15" hidden="1">
      <c r="E74" s="486"/>
      <c r="F74" s="1431"/>
      <c r="G74" s="303"/>
      <c r="H74" s="303"/>
      <c r="I74" s="303"/>
      <c r="J74" s="303"/>
      <c r="K74" s="303"/>
      <c r="L74" s="303"/>
      <c r="M74" s="303"/>
      <c r="N74" s="303"/>
      <c r="O74" s="303"/>
      <c r="P74" s="303"/>
      <c r="Q74" s="303"/>
      <c r="R74" s="303"/>
      <c r="S74" s="303"/>
      <c r="T74" s="303"/>
      <c r="U74" s="303"/>
      <c r="V74" s="303"/>
      <c r="W74" s="303"/>
      <c r="AR74" s="250">
        <v>0</v>
      </c>
    </row>
    <row customHeight="1" ht="15" hidden="1">
      <c r="E75" s="2333" t="s">
        <v>243</v>
      </c>
      <c r="F75" s="2333"/>
      <c r="G75" s="2333"/>
      <c r="H75" s="2333"/>
      <c r="I75" s="2333"/>
      <c r="J75" s="2333"/>
      <c r="K75" s="2333"/>
      <c r="L75" s="2333"/>
      <c r="M75" s="2333"/>
      <c r="N75" s="2333"/>
      <c r="O75" s="2333"/>
      <c r="P75" s="2333"/>
      <c r="Q75" s="2333"/>
      <c r="R75" s="2333"/>
      <c r="S75" s="2333"/>
      <c r="T75" s="2333"/>
      <c r="U75" s="2333"/>
      <c r="V75" s="2333"/>
      <c r="W75" s="2333"/>
      <c r="AR75" s="250">
        <v>0</v>
      </c>
    </row>
    <row customHeight="1" ht="17.25" hidden="1">
      <c r="E76" s="2331" t="s">
        <v>244</v>
      </c>
      <c r="F76" s="2331"/>
      <c r="G76" s="2332"/>
      <c r="H76" s="2332"/>
      <c r="I76" s="2332"/>
      <c r="J76" s="2332"/>
      <c r="K76" s="2332"/>
      <c r="L76" s="2332"/>
      <c r="M76" s="2332"/>
      <c r="N76" s="2332"/>
      <c r="O76" s="2332"/>
      <c r="P76" s="2332"/>
      <c r="Q76" s="2332"/>
      <c r="R76" s="2332"/>
      <c r="S76" s="2332"/>
      <c r="T76" s="2332"/>
      <c r="U76" s="2332"/>
      <c r="V76" s="2332"/>
      <c r="W76" s="2332"/>
      <c r="AR76" s="250">
        <v>0</v>
      </c>
    </row>
    <row customHeight="1" ht="17.25" hidden="1">
      <c r="E77" s="2331" t="s">
        <v>245</v>
      </c>
      <c r="F77" s="2331"/>
      <c r="G77" s="2332"/>
      <c r="H77" s="2332"/>
      <c r="I77" s="2332"/>
      <c r="J77" s="2332"/>
      <c r="K77" s="2332"/>
      <c r="L77" s="2332"/>
      <c r="M77" s="2332"/>
      <c r="N77" s="2332"/>
      <c r="O77" s="2332"/>
      <c r="P77" s="2332"/>
      <c r="Q77" s="2332"/>
      <c r="R77" s="2332"/>
      <c r="S77" s="2332"/>
      <c r="T77" s="2332"/>
      <c r="U77" s="2332"/>
      <c r="V77" s="2332"/>
      <c r="W77" s="2332"/>
      <c r="AR77" s="250">
        <v>0</v>
      </c>
    </row>
    <row s="7809" customFormat="1" customHeight="1" ht="11.25" hidden="1">
      <c r="A78" s="423"/>
      <c r="B78" s="423"/>
      <c r="Y78" s="1405"/>
      <c r="Z78" s="1405"/>
      <c r="AA78" s="1405"/>
      <c r="AB78" s="1405"/>
      <c r="AC78" s="1405"/>
      <c r="AD78" s="1405"/>
      <c r="AE78" s="1405"/>
      <c r="AF78" s="1405"/>
      <c r="AG78" s="1405"/>
      <c r="AH78" s="1405"/>
      <c r="AI78" s="1405"/>
      <c r="AJ78" s="1405"/>
      <c r="AK78" s="1405"/>
      <c r="AL78" s="1405"/>
      <c r="AM78" s="1405"/>
      <c r="AN78" s="1405"/>
      <c r="AO78" s="1405"/>
      <c r="AP78" s="1405"/>
      <c r="AQ78" s="1405"/>
      <c r="AR78" s="1496">
        <v>0</v>
      </c>
    </row>
    <row s="7809" customFormat="1" customHeight="1" ht="17.25" hidden="1">
      <c r="A79" s="467"/>
      <c r="C79" s="355"/>
      <c r="D79" s="2294">
        <v>1</v>
      </c>
      <c r="E79" s="2302" t="s">
        <v>246</v>
      </c>
      <c r="F79" s="2304" t="s">
        <v>19</v>
      </c>
      <c r="G79" s="2302"/>
      <c r="H79" s="2307"/>
      <c r="I79" s="2309"/>
      <c r="J79" s="2311"/>
      <c r="K79" s="2296"/>
      <c r="L79" s="2296"/>
      <c r="M79" s="2296"/>
      <c r="N79" s="2298"/>
      <c r="O79" s="2296"/>
      <c r="P79" s="2296"/>
      <c r="Q79" s="2296"/>
      <c r="R79" s="2301"/>
      <c r="S79" s="2296"/>
      <c r="T79" s="1616"/>
      <c r="U79" s="1616"/>
      <c r="V79" s="1618"/>
      <c r="W79" s="1442"/>
      <c r="Y79" s="1413"/>
      <c r="Z79" s="1413"/>
      <c r="AA79" s="1413"/>
      <c r="AB79" s="1413"/>
      <c r="AC79" s="1413" t="s">
        <v>247</v>
      </c>
      <c r="AD79" s="1413" t="s">
        <v>248</v>
      </c>
      <c r="AE79" s="1413" t="s">
        <v>249</v>
      </c>
      <c r="AF79" s="1413" t="s">
        <v>250</v>
      </c>
      <c r="AG79" s="1413"/>
      <c r="AH79" s="1413" t="str">
        <f>IF($E$79=0,"",$E$79)</f>
        <v>Тариф на питьевую воду (питьевое водоснабжение)</v>
      </c>
      <c r="AI79" s="1413" t="str">
        <f>IF($G$79=0,"",$G$79)</f>
        <v/>
      </c>
      <c r="AJ79" s="1413" t="str">
        <f>IF($J$79=0,"",$J$79)</f>
        <v/>
      </c>
      <c r="AK79" s="1413" t="str">
        <f>IF($K$79="нет","без дифференциации",IF($N$79=0,"",$N$79))</f>
        <v/>
      </c>
      <c r="AL79" s="1413" t="str">
        <f>IF($O$79="нет","без дифференциации",IF($R$79=0,"",$R$79))</f>
        <v/>
      </c>
      <c r="AM79" s="1413" t="str">
        <f>IF($S$79="нет","без дифференциации",IF($V$79=0,"",$V$79))</f>
        <v/>
      </c>
      <c r="AN79" s="1413">
        <f>$I$79</f>
        <v>0</v>
      </c>
      <c r="AO79" s="1413" t="str">
        <f>$I$79&amp;"."&amp;$M$79</f>
        <v>.</v>
      </c>
      <c r="AP79" s="1413" t="str">
        <f>$I$79&amp;"."&amp;$M$79&amp;"."&amp;$Q$79</f>
        <v>..</v>
      </c>
      <c r="AQ79" s="1413" t="str">
        <f>$I$79&amp;"."&amp;$M$79&amp;"."&amp;$Q$79&amp;"."&amp;$U$79</f>
        <v>...</v>
      </c>
      <c r="AR79" s="1496">
        <v>0</v>
      </c>
    </row>
    <row s="7809" customFormat="1" customHeight="1" ht="17.25" hidden="1">
      <c r="A80" s="467"/>
      <c r="C80" s="466"/>
      <c r="D80" s="2294"/>
      <c r="E80" s="2302"/>
      <c r="F80" s="2305"/>
      <c r="G80" s="2302"/>
      <c r="H80" s="2308"/>
      <c r="I80" s="2310"/>
      <c r="J80" s="2312"/>
      <c r="K80" s="2297"/>
      <c r="L80" s="2297"/>
      <c r="M80" s="2297"/>
      <c r="N80" s="2299"/>
      <c r="O80" s="2297"/>
      <c r="P80" s="2297"/>
      <c r="Q80" s="2297"/>
      <c r="R80" s="2300"/>
      <c r="S80" s="2297"/>
      <c r="T80" s="1443"/>
      <c r="U80" s="1443"/>
      <c r="V80" s="1443"/>
      <c r="W80" s="1444"/>
      <c r="Y80" s="1405"/>
      <c r="Z80" s="1405"/>
      <c r="AA80" s="1405"/>
      <c r="AB80" s="1405"/>
      <c r="AC80" s="1405"/>
      <c r="AD80" s="1405"/>
      <c r="AE80" s="1405"/>
      <c r="AF80" s="1405"/>
      <c r="AG80" s="1405"/>
      <c r="AH80" s="1405"/>
      <c r="AI80" s="1405"/>
      <c r="AJ80" s="1405"/>
      <c r="AK80" s="1405"/>
      <c r="AL80" s="1405"/>
      <c r="AM80" s="1405"/>
      <c r="AN80" s="1405"/>
      <c r="AO80" s="1405"/>
      <c r="AP80" s="1405"/>
      <c r="AQ80" s="1405"/>
      <c r="AR80" s="1496">
        <v>0</v>
      </c>
    </row>
    <row s="7809" customFormat="1" customHeight="1" ht="17.25" hidden="1">
      <c r="A81" s="467"/>
      <c r="C81" s="355"/>
      <c r="D81" s="2294"/>
      <c r="E81" s="2302"/>
      <c r="F81" s="2305"/>
      <c r="G81" s="2302"/>
      <c r="H81" s="2308"/>
      <c r="I81" s="2310"/>
      <c r="J81" s="2313"/>
      <c r="K81" s="2297"/>
      <c r="L81" s="2297"/>
      <c r="M81" s="2297"/>
      <c r="N81" s="2300"/>
      <c r="O81" s="2297"/>
      <c r="P81" s="1617"/>
      <c r="Q81" s="1443"/>
      <c r="R81" s="1443"/>
      <c r="S81" s="475"/>
      <c r="T81" s="475"/>
      <c r="U81" s="475"/>
      <c r="V81" s="475"/>
      <c r="W81" s="1444"/>
      <c r="Y81" s="1413"/>
      <c r="Z81" s="1413"/>
      <c r="AA81" s="1413"/>
      <c r="AB81" s="1413"/>
      <c r="AC81" s="1413"/>
      <c r="AD81" s="1413"/>
      <c r="AE81" s="1413"/>
      <c r="AF81" s="1413"/>
      <c r="AG81" s="1413"/>
      <c r="AH81" s="1413"/>
      <c r="AI81" s="1413"/>
      <c r="AJ81" s="1413"/>
      <c r="AK81" s="1413"/>
      <c r="AL81" s="1413"/>
      <c r="AM81" s="1413"/>
      <c r="AN81" s="1413"/>
      <c r="AO81" s="1413"/>
      <c r="AP81" s="1413"/>
      <c r="AQ81" s="1413"/>
      <c r="AR81" s="1587">
        <v>0</v>
      </c>
    </row>
    <row s="7809" customFormat="1" customHeight="1" ht="17.25" hidden="1">
      <c r="A82" s="467"/>
      <c r="C82" s="466"/>
      <c r="D82" s="2294"/>
      <c r="E82" s="2302"/>
      <c r="F82" s="2305"/>
      <c r="G82" s="2302"/>
      <c r="H82" s="2308"/>
      <c r="I82" s="2310"/>
      <c r="J82" s="2313"/>
      <c r="K82" s="2297"/>
      <c r="L82" s="1443"/>
      <c r="M82" s="1443"/>
      <c r="N82" s="1443"/>
      <c r="O82" s="1443"/>
      <c r="P82" s="1443"/>
      <c r="Q82" s="1443"/>
      <c r="R82" s="1443"/>
      <c r="S82" s="475"/>
      <c r="T82" s="475"/>
      <c r="U82" s="475"/>
      <c r="V82" s="475"/>
      <c r="W82" s="1444"/>
      <c r="Y82" s="1405"/>
      <c r="Z82" s="1405"/>
      <c r="AA82" s="1405"/>
      <c r="AB82" s="1405"/>
      <c r="AC82" s="1405"/>
      <c r="AD82" s="1405"/>
      <c r="AE82" s="1405"/>
      <c r="AF82" s="1405"/>
      <c r="AG82" s="1405"/>
      <c r="AH82" s="1405"/>
      <c r="AI82" s="1405"/>
      <c r="AJ82" s="1405"/>
      <c r="AK82" s="1405"/>
      <c r="AL82" s="1405"/>
      <c r="AM82" s="1405"/>
      <c r="AN82" s="1405"/>
      <c r="AO82" s="1405"/>
      <c r="AP82" s="1405"/>
      <c r="AQ82" s="1405"/>
      <c r="AR82" s="1587">
        <v>0</v>
      </c>
    </row>
    <row s="7809" customFormat="1" customHeight="1" ht="17.25" hidden="1">
      <c r="A83" s="467"/>
      <c r="C83" s="466"/>
      <c r="D83" s="2295"/>
      <c r="E83" s="2303"/>
      <c r="F83" s="2306"/>
      <c r="G83" s="2303"/>
      <c r="H83" s="1445"/>
      <c r="I83" s="1446"/>
      <c r="J83" s="1446"/>
      <c r="K83" s="1446"/>
      <c r="L83" s="1446"/>
      <c r="M83" s="1446"/>
      <c r="N83" s="1446"/>
      <c r="O83" s="1446"/>
      <c r="P83" s="1446"/>
      <c r="Q83" s="1446"/>
      <c r="R83" s="1446"/>
      <c r="S83" s="1447"/>
      <c r="T83" s="1447"/>
      <c r="U83" s="1447"/>
      <c r="V83" s="1447"/>
      <c r="W83" s="1448"/>
      <c r="Y83" s="1405"/>
      <c r="Z83" s="1405"/>
      <c r="AA83" s="1405"/>
      <c r="AB83" s="1405"/>
      <c r="AC83" s="1405"/>
      <c r="AD83" s="1405"/>
      <c r="AE83" s="1405"/>
      <c r="AF83" s="1405"/>
      <c r="AG83" s="1405"/>
      <c r="AH83" s="1405"/>
      <c r="AI83" s="1405"/>
      <c r="AJ83" s="1405"/>
      <c r="AK83" s="1405"/>
      <c r="AL83" s="1405"/>
      <c r="AM83" s="1405"/>
      <c r="AN83" s="1405"/>
      <c r="AO83" s="1405"/>
      <c r="AP83" s="1405"/>
      <c r="AQ83" s="1405"/>
      <c r="AR83" s="1496">
        <v>0</v>
      </c>
    </row>
    <row s="7809" customFormat="1" customHeight="1" ht="17.25" hidden="1">
      <c r="A84" s="467"/>
      <c r="C84" s="355"/>
      <c r="D84" s="2294">
        <v>2</v>
      </c>
      <c r="E84" s="2302" t="s">
        <v>251</v>
      </c>
      <c r="F84" s="2304" t="s">
        <v>19</v>
      </c>
      <c r="G84" s="2302"/>
      <c r="H84" s="2307"/>
      <c r="I84" s="2309"/>
      <c r="J84" s="2311"/>
      <c r="K84" s="2296"/>
      <c r="L84" s="2296"/>
      <c r="M84" s="2296"/>
      <c r="N84" s="2298"/>
      <c r="O84" s="2296"/>
      <c r="P84" s="2296"/>
      <c r="Q84" s="2296"/>
      <c r="R84" s="2301"/>
      <c r="S84" s="2296"/>
      <c r="T84" s="1589"/>
      <c r="U84" s="1589"/>
      <c r="V84" s="1591"/>
      <c r="W84" s="1442"/>
      <c r="X84" s="1413"/>
      <c r="Y84" s="1413"/>
      <c r="Z84" s="1413"/>
      <c r="AA84" s="1413"/>
      <c r="AB84" s="1413"/>
      <c r="AC84" s="1413" t="s">
        <v>252</v>
      </c>
      <c r="AD84" s="1413" t="s">
        <v>253</v>
      </c>
      <c r="AE84" s="1413" t="s">
        <v>254</v>
      </c>
      <c r="AF84" s="1413" t="s">
        <v>255</v>
      </c>
      <c r="AG84" s="1413"/>
      <c r="AH84" s="1413" t="str">
        <f>IF($E$84=0,"",$E$84)</f>
        <v>Тариф на техническую воду</v>
      </c>
      <c r="AI84" s="1413" t="str">
        <f>IF($G$84=0,"",$G$84)</f>
        <v/>
      </c>
      <c r="AJ84" s="1413" t="str">
        <f>IF($J$84=0,"",$J$84)</f>
        <v/>
      </c>
      <c r="AK84" s="1413" t="str">
        <f>IF($K$84="нет","без дифференциации",IF($N$84=0,"",$N$84))</f>
        <v/>
      </c>
      <c r="AL84" s="1413" t="str">
        <f>IF($O$84="нет","без дифференциации",IF($R$84=0,"",$R$84))</f>
        <v/>
      </c>
      <c r="AM84" s="1413" t="str">
        <f>IF($S$84="нет","без дифференциации",IF($V$84=0,"",$V$84))</f>
        <v/>
      </c>
      <c r="AN84" s="1917">
        <f>$I$84</f>
        <v>0</v>
      </c>
      <c r="AO84" s="1413" t="str">
        <f>$I$84&amp;"."&amp;$M$84</f>
        <v>.</v>
      </c>
      <c r="AP84" s="1405" t="str">
        <f>$I$84&amp;"."&amp;$M$84&amp;"."&amp;$Q$84</f>
        <v>..</v>
      </c>
      <c r="AQ84" s="1405" t="str">
        <f>$I$84&amp;"."&amp;$M$84&amp;"."&amp;$Q$84&amp;"."&amp;$U$84</f>
        <v>...</v>
      </c>
      <c r="AR84" s="1496">
        <v>0</v>
      </c>
    </row>
    <row s="7809" customFormat="1" customHeight="1" ht="17.25" hidden="1">
      <c r="A85" s="467"/>
      <c r="C85" s="466"/>
      <c r="D85" s="2294"/>
      <c r="E85" s="2302"/>
      <c r="F85" s="2305"/>
      <c r="G85" s="2302"/>
      <c r="H85" s="2308"/>
      <c r="I85" s="2310"/>
      <c r="J85" s="2312"/>
      <c r="K85" s="2297"/>
      <c r="L85" s="2297"/>
      <c r="M85" s="2297"/>
      <c r="N85" s="2299"/>
      <c r="O85" s="2297"/>
      <c r="P85" s="2297"/>
      <c r="Q85" s="2297"/>
      <c r="R85" s="2300"/>
      <c r="S85" s="2297"/>
      <c r="T85" s="1443"/>
      <c r="U85" s="1443"/>
      <c r="V85" s="1443"/>
      <c r="W85" s="1444"/>
      <c r="X85" s="1405"/>
      <c r="Y85" s="1405"/>
      <c r="Z85" s="1405"/>
      <c r="AA85" s="1405"/>
      <c r="AB85" s="1405"/>
      <c r="AC85" s="1405"/>
      <c r="AD85" s="1405"/>
      <c r="AE85" s="1405"/>
      <c r="AF85" s="1405"/>
      <c r="AG85" s="1405"/>
      <c r="AH85" s="1405"/>
      <c r="AI85" s="1405"/>
      <c r="AJ85" s="1405"/>
      <c r="AK85" s="1405"/>
      <c r="AL85" s="1405"/>
      <c r="AM85" s="1405"/>
      <c r="AN85" s="1405"/>
      <c r="AO85" s="1405"/>
      <c r="AP85" s="1405"/>
      <c r="AQ85" s="1405"/>
      <c r="AR85" s="1496">
        <v>0</v>
      </c>
    </row>
    <row s="7809" customFormat="1" customHeight="1" ht="17.25" hidden="1">
      <c r="A86" s="467"/>
      <c r="C86" s="466"/>
      <c r="D86" s="2295"/>
      <c r="E86" s="2303"/>
      <c r="F86" s="2305"/>
      <c r="G86" s="2303"/>
      <c r="H86" s="2308"/>
      <c r="I86" s="2310"/>
      <c r="J86" s="2313"/>
      <c r="K86" s="2297"/>
      <c r="L86" s="2297"/>
      <c r="M86" s="2297"/>
      <c r="N86" s="2300"/>
      <c r="O86" s="2297"/>
      <c r="P86" s="1590"/>
      <c r="Q86" s="1443"/>
      <c r="R86" s="1443"/>
      <c r="S86" s="475"/>
      <c r="T86" s="475"/>
      <c r="U86" s="475"/>
      <c r="V86" s="475"/>
      <c r="W86" s="1444"/>
      <c r="X86" s="1405"/>
      <c r="Y86" s="1405"/>
      <c r="Z86" s="1405"/>
      <c r="AA86" s="1405"/>
      <c r="AB86" s="1405"/>
      <c r="AC86" s="1405"/>
      <c r="AD86" s="1405"/>
      <c r="AE86" s="1405"/>
      <c r="AF86" s="1405"/>
      <c r="AG86" s="1405"/>
      <c r="AH86" s="1405"/>
      <c r="AI86" s="1405"/>
      <c r="AJ86" s="1405"/>
      <c r="AK86" s="1405"/>
      <c r="AL86" s="1405"/>
      <c r="AM86" s="1405"/>
      <c r="AN86" s="1405"/>
      <c r="AO86" s="1405"/>
      <c r="AP86" s="1405"/>
      <c r="AQ86" s="1405"/>
      <c r="AR86" s="1496">
        <v>0</v>
      </c>
    </row>
    <row s="7809" customFormat="1" customHeight="1" ht="17.25" hidden="1">
      <c r="A87" s="467"/>
      <c r="C87" s="466"/>
      <c r="D87" s="2295"/>
      <c r="E87" s="2303"/>
      <c r="F87" s="2305"/>
      <c r="G87" s="2303"/>
      <c r="H87" s="2308"/>
      <c r="I87" s="2310"/>
      <c r="J87" s="2313"/>
      <c r="K87" s="2297"/>
      <c r="L87" s="1443"/>
      <c r="M87" s="1443"/>
      <c r="N87" s="1443"/>
      <c r="O87" s="1443"/>
      <c r="P87" s="1443"/>
      <c r="Q87" s="1443"/>
      <c r="R87" s="1443"/>
      <c r="S87" s="475"/>
      <c r="T87" s="475"/>
      <c r="U87" s="475"/>
      <c r="V87" s="475"/>
      <c r="W87" s="1444"/>
      <c r="X87" s="1405"/>
      <c r="Y87" s="1405"/>
      <c r="Z87" s="1405"/>
      <c r="AA87" s="1405"/>
      <c r="AB87" s="1405"/>
      <c r="AC87" s="1405"/>
      <c r="AD87" s="1405"/>
      <c r="AE87" s="1405"/>
      <c r="AF87" s="1405"/>
      <c r="AG87" s="1405"/>
      <c r="AH87" s="1405"/>
      <c r="AI87" s="1405"/>
      <c r="AJ87" s="1405"/>
      <c r="AK87" s="1405"/>
      <c r="AL87" s="1405"/>
      <c r="AM87" s="1405"/>
      <c r="AN87" s="1405"/>
      <c r="AO87" s="1405"/>
      <c r="AP87" s="1405"/>
      <c r="AQ87" s="1405"/>
      <c r="AR87" s="1496">
        <v>0</v>
      </c>
    </row>
    <row s="7809" customFormat="1" customHeight="1" ht="17.25" hidden="1">
      <c r="A88" s="467"/>
      <c r="C88" s="466"/>
      <c r="D88" s="2295"/>
      <c r="E88" s="2303"/>
      <c r="F88" s="2306"/>
      <c r="G88" s="2303"/>
      <c r="H88" s="1445"/>
      <c r="I88" s="1446"/>
      <c r="J88" s="1446"/>
      <c r="K88" s="1446"/>
      <c r="L88" s="1446"/>
      <c r="M88" s="1446"/>
      <c r="N88" s="1446"/>
      <c r="O88" s="1446"/>
      <c r="P88" s="1446"/>
      <c r="Q88" s="1446"/>
      <c r="R88" s="1446"/>
      <c r="S88" s="1447"/>
      <c r="T88" s="1447"/>
      <c r="U88" s="1447"/>
      <c r="V88" s="1447"/>
      <c r="W88" s="1448"/>
      <c r="X88" s="1405"/>
      <c r="Y88" s="1405"/>
      <c r="Z88" s="1405"/>
      <c r="AA88" s="1405"/>
      <c r="AB88" s="1405"/>
      <c r="AC88" s="1405"/>
      <c r="AD88" s="1405"/>
      <c r="AE88" s="1405"/>
      <c r="AF88" s="1405"/>
      <c r="AG88" s="1405"/>
      <c r="AH88" s="1405"/>
      <c r="AI88" s="1405"/>
      <c r="AJ88" s="1405"/>
      <c r="AK88" s="1405"/>
      <c r="AL88" s="1405"/>
      <c r="AM88" s="1405"/>
      <c r="AN88" s="1405"/>
      <c r="AO88" s="1405"/>
      <c r="AP88" s="1405"/>
      <c r="AQ88" s="1405"/>
      <c r="AR88" s="1496">
        <v>0</v>
      </c>
    </row>
    <row s="7809" customFormat="1" customHeight="1" ht="17.25" hidden="1">
      <c r="A89" s="467"/>
      <c r="C89" s="355"/>
      <c r="D89" s="2294">
        <v>3</v>
      </c>
      <c r="E89" s="2302" t="s">
        <v>256</v>
      </c>
      <c r="F89" s="2304" t="s">
        <v>19</v>
      </c>
      <c r="G89" s="2302"/>
      <c r="H89" s="2307"/>
      <c r="I89" s="2309"/>
      <c r="J89" s="2311"/>
      <c r="K89" s="2296"/>
      <c r="L89" s="2296"/>
      <c r="M89" s="2296"/>
      <c r="N89" s="2298"/>
      <c r="O89" s="2296"/>
      <c r="P89" s="2296"/>
      <c r="Q89" s="2296"/>
      <c r="R89" s="2301"/>
      <c r="S89" s="2296"/>
      <c r="T89" s="1589"/>
      <c r="U89" s="1589"/>
      <c r="V89" s="1591"/>
      <c r="W89" s="1442"/>
      <c r="X89" s="1413"/>
      <c r="Y89" s="1413"/>
      <c r="Z89" s="1413"/>
      <c r="AA89" s="1413"/>
      <c r="AB89" s="1413"/>
      <c r="AC89" s="1413" t="s">
        <v>257</v>
      </c>
      <c r="AD89" s="1413" t="s">
        <v>258</v>
      </c>
      <c r="AE89" s="1413" t="s">
        <v>259</v>
      </c>
      <c r="AF89" s="1413" t="s">
        <v>260</v>
      </c>
      <c r="AG89" s="1413"/>
      <c r="AH89" s="1413" t="str">
        <f>IF($E$89=0,"",$E$89)</f>
        <v>Тариф на транспортировку воды</v>
      </c>
      <c r="AI89" s="1413" t="str">
        <f>IF($G$89=0,"",$G$89)</f>
        <v/>
      </c>
      <c r="AJ89" s="1413" t="str">
        <f>IF($J$89=0,"",$J$89)</f>
        <v/>
      </c>
      <c r="AK89" s="1413" t="str">
        <f>IF($K$89="нет","без дифференциации",IF($N$89=0,"",$N$89))</f>
        <v/>
      </c>
      <c r="AL89" s="1413" t="str">
        <f>IF($O$89="нет","без дифференциации",IF($R$89=0,"",$R$89))</f>
        <v/>
      </c>
      <c r="AM89" s="1413" t="str">
        <f>IF($S$89="нет","без дифференциации",IF($V$89=0,"",$V$89))</f>
        <v/>
      </c>
      <c r="AN89" s="1917">
        <f>$I$89</f>
        <v>0</v>
      </c>
      <c r="AO89" s="1413" t="str">
        <f>$I$89&amp;"."&amp;$M$89</f>
        <v>.</v>
      </c>
      <c r="AP89" s="1405" t="str">
        <f>$I$89&amp;"."&amp;$M$89&amp;"."&amp;$Q$89</f>
        <v>..</v>
      </c>
      <c r="AQ89" s="1405" t="str">
        <f>$I$89&amp;"."&amp;$M$89&amp;"."&amp;$Q$89&amp;"."&amp;$U$89</f>
        <v>...</v>
      </c>
      <c r="AR89" s="1496">
        <v>0</v>
      </c>
    </row>
    <row s="7809" customFormat="1" customHeight="1" ht="17.25" hidden="1">
      <c r="A90" s="467"/>
      <c r="C90" s="466"/>
      <c r="D90" s="2294"/>
      <c r="E90" s="2302"/>
      <c r="F90" s="2305"/>
      <c r="G90" s="2302"/>
      <c r="H90" s="2308"/>
      <c r="I90" s="2310"/>
      <c r="J90" s="2312"/>
      <c r="K90" s="2297"/>
      <c r="L90" s="2297"/>
      <c r="M90" s="2297"/>
      <c r="N90" s="2299"/>
      <c r="O90" s="2297"/>
      <c r="P90" s="2297"/>
      <c r="Q90" s="2297"/>
      <c r="R90" s="2300"/>
      <c r="S90" s="2297"/>
      <c r="T90" s="1443"/>
      <c r="U90" s="1443"/>
      <c r="V90" s="1443"/>
      <c r="W90" s="1444"/>
      <c r="X90" s="1405"/>
      <c r="Y90" s="1405"/>
      <c r="Z90" s="1405"/>
      <c r="AA90" s="1405"/>
      <c r="AB90" s="1405"/>
      <c r="AC90" s="1405"/>
      <c r="AD90" s="1405"/>
      <c r="AE90" s="1405"/>
      <c r="AF90" s="1405"/>
      <c r="AG90" s="1405"/>
      <c r="AH90" s="1405"/>
      <c r="AI90" s="1405"/>
      <c r="AJ90" s="1405"/>
      <c r="AK90" s="1405"/>
      <c r="AL90" s="1405"/>
      <c r="AM90" s="1405"/>
      <c r="AN90" s="1405"/>
      <c r="AO90" s="1405"/>
      <c r="AP90" s="1405"/>
      <c r="AQ90" s="1405"/>
      <c r="AR90" s="1496">
        <v>0</v>
      </c>
    </row>
    <row s="7809" customFormat="1" customHeight="1" ht="17.25" hidden="1">
      <c r="A91" s="467"/>
      <c r="C91" s="466"/>
      <c r="D91" s="2295"/>
      <c r="E91" s="2303"/>
      <c r="F91" s="2305"/>
      <c r="G91" s="2303"/>
      <c r="H91" s="2308"/>
      <c r="I91" s="2310"/>
      <c r="J91" s="2313"/>
      <c r="K91" s="2297"/>
      <c r="L91" s="2297"/>
      <c r="M91" s="2297"/>
      <c r="N91" s="2300"/>
      <c r="O91" s="2297"/>
      <c r="P91" s="1590"/>
      <c r="Q91" s="1443"/>
      <c r="R91" s="1443"/>
      <c r="S91" s="475"/>
      <c r="T91" s="475"/>
      <c r="U91" s="475"/>
      <c r="V91" s="475"/>
      <c r="W91" s="1444"/>
      <c r="X91" s="1405"/>
      <c r="Y91" s="1405"/>
      <c r="Z91" s="1405"/>
      <c r="AA91" s="1405"/>
      <c r="AB91" s="1405"/>
      <c r="AC91" s="1405"/>
      <c r="AD91" s="1405"/>
      <c r="AE91" s="1405"/>
      <c r="AF91" s="1405"/>
      <c r="AG91" s="1405"/>
      <c r="AH91" s="1405"/>
      <c r="AI91" s="1405"/>
      <c r="AJ91" s="1405"/>
      <c r="AK91" s="1405"/>
      <c r="AL91" s="1405"/>
      <c r="AM91" s="1405"/>
      <c r="AN91" s="1405"/>
      <c r="AO91" s="1405"/>
      <c r="AP91" s="1405"/>
      <c r="AQ91" s="1405"/>
      <c r="AR91" s="1496">
        <v>0</v>
      </c>
    </row>
    <row s="7809" customFormat="1" customHeight="1" ht="17.25" hidden="1">
      <c r="A92" s="467"/>
      <c r="C92" s="466"/>
      <c r="D92" s="2295"/>
      <c r="E92" s="2303"/>
      <c r="F92" s="2305"/>
      <c r="G92" s="2303"/>
      <c r="H92" s="2308"/>
      <c r="I92" s="2310"/>
      <c r="J92" s="2313"/>
      <c r="K92" s="2297"/>
      <c r="L92" s="1443"/>
      <c r="M92" s="1443"/>
      <c r="N92" s="1443"/>
      <c r="O92" s="1443"/>
      <c r="P92" s="1443"/>
      <c r="Q92" s="1443"/>
      <c r="R92" s="1443"/>
      <c r="S92" s="475"/>
      <c r="T92" s="475"/>
      <c r="U92" s="475"/>
      <c r="V92" s="475"/>
      <c r="W92" s="1444"/>
      <c r="X92" s="1405"/>
      <c r="Y92" s="1405"/>
      <c r="Z92" s="1405"/>
      <c r="AA92" s="1405"/>
      <c r="AB92" s="1405"/>
      <c r="AC92" s="1405"/>
      <c r="AD92" s="1405"/>
      <c r="AE92" s="1405"/>
      <c r="AF92" s="1405"/>
      <c r="AG92" s="1405"/>
      <c r="AH92" s="1405"/>
      <c r="AI92" s="1405"/>
      <c r="AJ92" s="1405"/>
      <c r="AK92" s="1405"/>
      <c r="AL92" s="1405"/>
      <c r="AM92" s="1405"/>
      <c r="AN92" s="1405"/>
      <c r="AO92" s="1405"/>
      <c r="AP92" s="1405"/>
      <c r="AQ92" s="1405"/>
      <c r="AR92" s="1496">
        <v>0</v>
      </c>
    </row>
    <row s="7809" customFormat="1" customHeight="1" ht="17.25" hidden="1">
      <c r="A93" s="467"/>
      <c r="C93" s="466"/>
      <c r="D93" s="2295"/>
      <c r="E93" s="2303"/>
      <c r="F93" s="2306"/>
      <c r="G93" s="2303"/>
      <c r="H93" s="1445"/>
      <c r="I93" s="1446"/>
      <c r="J93" s="1446"/>
      <c r="K93" s="1446"/>
      <c r="L93" s="1446"/>
      <c r="M93" s="1446"/>
      <c r="N93" s="1446"/>
      <c r="O93" s="1446"/>
      <c r="P93" s="1446"/>
      <c r="Q93" s="1446"/>
      <c r="R93" s="1446"/>
      <c r="S93" s="1447"/>
      <c r="T93" s="1447"/>
      <c r="U93" s="1447"/>
      <c r="V93" s="1447"/>
      <c r="W93" s="1448"/>
      <c r="X93" s="1405"/>
      <c r="Y93" s="1405"/>
      <c r="Z93" s="1405"/>
      <c r="AA93" s="1405"/>
      <c r="AB93" s="1405"/>
      <c r="AC93" s="1405"/>
      <c r="AD93" s="1405"/>
      <c r="AE93" s="1405"/>
      <c r="AF93" s="1405"/>
      <c r="AG93" s="1405"/>
      <c r="AH93" s="1405"/>
      <c r="AI93" s="1405"/>
      <c r="AJ93" s="1405"/>
      <c r="AK93" s="1405"/>
      <c r="AL93" s="1405"/>
      <c r="AM93" s="1405"/>
      <c r="AN93" s="1405"/>
      <c r="AO93" s="1405"/>
      <c r="AP93" s="1405"/>
      <c r="AQ93" s="1405"/>
      <c r="AR93" s="1496">
        <v>0</v>
      </c>
    </row>
    <row s="7809" customFormat="1" customHeight="1" ht="17.25" hidden="1">
      <c r="A94" s="467"/>
      <c r="C94" s="355"/>
      <c r="D94" s="2294">
        <v>4</v>
      </c>
      <c r="E94" s="2302" t="s">
        <v>261</v>
      </c>
      <c r="F94" s="2304" t="s">
        <v>19</v>
      </c>
      <c r="G94" s="2302"/>
      <c r="H94" s="2307"/>
      <c r="I94" s="2309"/>
      <c r="J94" s="2311"/>
      <c r="K94" s="2296"/>
      <c r="L94" s="2296"/>
      <c r="M94" s="2296"/>
      <c r="N94" s="2298"/>
      <c r="O94" s="2296"/>
      <c r="P94" s="2296"/>
      <c r="Q94" s="2296"/>
      <c r="R94" s="2301"/>
      <c r="S94" s="2296"/>
      <c r="T94" s="1589"/>
      <c r="U94" s="1589"/>
      <c r="V94" s="1591"/>
      <c r="W94" s="1442"/>
      <c r="X94" s="1413"/>
      <c r="Y94" s="1413"/>
      <c r="Z94" s="1413"/>
      <c r="AA94" s="1413"/>
      <c r="AB94" s="1413"/>
      <c r="AC94" s="1413" t="s">
        <v>262</v>
      </c>
      <c r="AD94" s="1413" t="s">
        <v>263</v>
      </c>
      <c r="AE94" s="1413" t="s">
        <v>264</v>
      </c>
      <c r="AF94" s="1413" t="s">
        <v>265</v>
      </c>
      <c r="AG94" s="1413"/>
      <c r="AH94" s="1413" t="str">
        <f>IF($E$94=0,"",$E$94)</f>
        <v>Тариф на подвоз воды</v>
      </c>
      <c r="AI94" s="1413" t="str">
        <f>IF($G$94=0,"",$G$94)</f>
        <v/>
      </c>
      <c r="AJ94" s="1413" t="str">
        <f>IF($J$94=0,"",$J$94)</f>
        <v/>
      </c>
      <c r="AK94" s="1413" t="str">
        <f>IF($K$94="нет","без дифференциации",IF($N$94=0,"",$N$94))</f>
        <v/>
      </c>
      <c r="AL94" s="1413" t="str">
        <f>IF($O$94="нет","без дифференциации",IF($R$94=0,"",$R$94))</f>
        <v/>
      </c>
      <c r="AM94" s="1413" t="str">
        <f>IF($S$94="нет","без дифференциации",IF($V$94=0,"",$V$94))</f>
        <v/>
      </c>
      <c r="AN94" s="1917">
        <f>$I$94</f>
        <v>0</v>
      </c>
      <c r="AO94" s="1413" t="str">
        <f>$I$94&amp;"."&amp;$M$94</f>
        <v>.</v>
      </c>
      <c r="AP94" s="1405" t="str">
        <f>$I$94&amp;"."&amp;$M$94&amp;"."&amp;$Q$94</f>
        <v>..</v>
      </c>
      <c r="AQ94" s="1405" t="str">
        <f>$I$94&amp;"."&amp;$M$94&amp;"."&amp;$Q$94&amp;"."&amp;$U$94</f>
        <v>...</v>
      </c>
      <c r="AR94" s="1496">
        <v>0</v>
      </c>
    </row>
    <row s="7809" customFormat="1" customHeight="1" ht="17.25" hidden="1">
      <c r="A95" s="467"/>
      <c r="C95" s="466"/>
      <c r="D95" s="2294"/>
      <c r="E95" s="2302"/>
      <c r="F95" s="2305"/>
      <c r="G95" s="2302"/>
      <c r="H95" s="2308"/>
      <c r="I95" s="2310"/>
      <c r="J95" s="2312"/>
      <c r="K95" s="2297"/>
      <c r="L95" s="2297"/>
      <c r="M95" s="2297"/>
      <c r="N95" s="2299"/>
      <c r="O95" s="2297"/>
      <c r="P95" s="2297"/>
      <c r="Q95" s="2297"/>
      <c r="R95" s="2300"/>
      <c r="S95" s="2297"/>
      <c r="T95" s="1443"/>
      <c r="U95" s="1443"/>
      <c r="V95" s="1443"/>
      <c r="W95" s="1444"/>
      <c r="X95" s="1405"/>
      <c r="Y95" s="1405"/>
      <c r="Z95" s="1405"/>
      <c r="AA95" s="1405"/>
      <c r="AB95" s="1405"/>
      <c r="AC95" s="1405"/>
      <c r="AD95" s="1405"/>
      <c r="AE95" s="1405"/>
      <c r="AF95" s="1405"/>
      <c r="AG95" s="1405"/>
      <c r="AH95" s="1405"/>
      <c r="AI95" s="1405"/>
      <c r="AJ95" s="1405"/>
      <c r="AK95" s="1405"/>
      <c r="AL95" s="1405"/>
      <c r="AM95" s="1405"/>
      <c r="AN95" s="1405"/>
      <c r="AO95" s="1405"/>
      <c r="AP95" s="1405"/>
      <c r="AQ95" s="1405"/>
      <c r="AR95" s="1496">
        <v>0</v>
      </c>
    </row>
    <row s="7809" customFormat="1" customHeight="1" ht="17.25" hidden="1">
      <c r="A96" s="467"/>
      <c r="C96" s="466"/>
      <c r="D96" s="2295"/>
      <c r="E96" s="2303"/>
      <c r="F96" s="2305"/>
      <c r="G96" s="2303"/>
      <c r="H96" s="2308"/>
      <c r="I96" s="2310"/>
      <c r="J96" s="2313"/>
      <c r="K96" s="2297"/>
      <c r="L96" s="2297"/>
      <c r="M96" s="2297"/>
      <c r="N96" s="2300"/>
      <c r="O96" s="2297"/>
      <c r="P96" s="1590"/>
      <c r="Q96" s="1443"/>
      <c r="R96" s="1443"/>
      <c r="S96" s="475"/>
      <c r="T96" s="475"/>
      <c r="U96" s="475"/>
      <c r="V96" s="475"/>
      <c r="W96" s="1444"/>
      <c r="X96" s="1405"/>
      <c r="Y96" s="1405"/>
      <c r="Z96" s="1405"/>
      <c r="AA96" s="1405"/>
      <c r="AB96" s="1405"/>
      <c r="AC96" s="1405"/>
      <c r="AD96" s="1405"/>
      <c r="AE96" s="1405"/>
      <c r="AF96" s="1405"/>
      <c r="AG96" s="1405"/>
      <c r="AH96" s="1405"/>
      <c r="AI96" s="1405"/>
      <c r="AJ96" s="1405"/>
      <c r="AK96" s="1405"/>
      <c r="AL96" s="1405"/>
      <c r="AM96" s="1405"/>
      <c r="AN96" s="1405"/>
      <c r="AO96" s="1405"/>
      <c r="AP96" s="1405"/>
      <c r="AQ96" s="1405"/>
      <c r="AR96" s="1496">
        <v>0</v>
      </c>
    </row>
    <row s="7809" customFormat="1" customHeight="1" ht="17.25" hidden="1">
      <c r="A97" s="467"/>
      <c r="C97" s="466"/>
      <c r="D97" s="2295"/>
      <c r="E97" s="2303"/>
      <c r="F97" s="2305"/>
      <c r="G97" s="2303"/>
      <c r="H97" s="2308"/>
      <c r="I97" s="2310"/>
      <c r="J97" s="2313"/>
      <c r="K97" s="2297"/>
      <c r="L97" s="1443"/>
      <c r="M97" s="1443"/>
      <c r="N97" s="1443"/>
      <c r="O97" s="1443"/>
      <c r="P97" s="1443"/>
      <c r="Q97" s="1443"/>
      <c r="R97" s="1443"/>
      <c r="S97" s="475"/>
      <c r="T97" s="475"/>
      <c r="U97" s="475"/>
      <c r="V97" s="475"/>
      <c r="W97" s="1444"/>
      <c r="X97" s="1405"/>
      <c r="Y97" s="1405"/>
      <c r="Z97" s="1405"/>
      <c r="AA97" s="1405"/>
      <c r="AB97" s="1405"/>
      <c r="AC97" s="1405"/>
      <c r="AD97" s="1405"/>
      <c r="AE97" s="1405"/>
      <c r="AF97" s="1405"/>
      <c r="AG97" s="1405"/>
      <c r="AH97" s="1405"/>
      <c r="AI97" s="1405"/>
      <c r="AJ97" s="1405"/>
      <c r="AK97" s="1405"/>
      <c r="AL97" s="1405"/>
      <c r="AM97" s="1405"/>
      <c r="AN97" s="1405"/>
      <c r="AO97" s="1405"/>
      <c r="AP97" s="1405"/>
      <c r="AQ97" s="1405"/>
      <c r="AR97" s="1496">
        <v>0</v>
      </c>
    </row>
    <row s="7809" customFormat="1" customHeight="1" ht="17.25" hidden="1">
      <c r="A98" s="467"/>
      <c r="C98" s="466"/>
      <c r="D98" s="2295"/>
      <c r="E98" s="2303"/>
      <c r="F98" s="2306"/>
      <c r="G98" s="2303"/>
      <c r="H98" s="1445"/>
      <c r="I98" s="1446"/>
      <c r="J98" s="1446"/>
      <c r="K98" s="1446"/>
      <c r="L98" s="1446"/>
      <c r="M98" s="1446"/>
      <c r="N98" s="1446"/>
      <c r="O98" s="1446"/>
      <c r="P98" s="1446"/>
      <c r="Q98" s="1446"/>
      <c r="R98" s="1446"/>
      <c r="S98" s="1447"/>
      <c r="T98" s="1447"/>
      <c r="U98" s="1447"/>
      <c r="V98" s="1447"/>
      <c r="W98" s="1448"/>
      <c r="X98" s="1405"/>
      <c r="Y98" s="1405"/>
      <c r="Z98" s="1405"/>
      <c r="AA98" s="1405"/>
      <c r="AB98" s="1405"/>
      <c r="AC98" s="1405"/>
      <c r="AD98" s="1405"/>
      <c r="AE98" s="1405"/>
      <c r="AF98" s="1405"/>
      <c r="AG98" s="1405"/>
      <c r="AH98" s="1405"/>
      <c r="AI98" s="1405"/>
      <c r="AJ98" s="1405"/>
      <c r="AK98" s="1405"/>
      <c r="AL98" s="1405"/>
      <c r="AM98" s="1405"/>
      <c r="AN98" s="1405"/>
      <c r="AO98" s="1405"/>
      <c r="AP98" s="1405"/>
      <c r="AQ98" s="1405"/>
      <c r="AR98" s="1496">
        <v>0</v>
      </c>
    </row>
    <row s="7809" customFormat="1" customHeight="1" ht="17.25" hidden="1">
      <c r="A99" s="467"/>
      <c r="C99" s="355"/>
      <c r="D99" s="2294">
        <v>5</v>
      </c>
      <c r="E99" s="2302" t="s">
        <v>266</v>
      </c>
      <c r="F99" s="2304" t="s">
        <v>19</v>
      </c>
      <c r="G99" s="2302"/>
      <c r="H99" s="2307"/>
      <c r="I99" s="2309"/>
      <c r="J99" s="2311"/>
      <c r="K99" s="2296"/>
      <c r="L99" s="2296"/>
      <c r="M99" s="2296"/>
      <c r="N99" s="2298"/>
      <c r="O99" s="2296"/>
      <c r="P99" s="2296"/>
      <c r="Q99" s="2296"/>
      <c r="R99" s="2301"/>
      <c r="S99" s="2296"/>
      <c r="T99" s="2086"/>
      <c r="U99" s="2086"/>
      <c r="V99" s="2088"/>
      <c r="W99" s="1442"/>
      <c r="X99" s="1413"/>
      <c r="Y99" s="1413"/>
      <c r="Z99" s="1413"/>
      <c r="AA99" s="1413"/>
      <c r="AB99" s="1413"/>
      <c r="AC99" s="1413" t="s">
        <v>267</v>
      </c>
      <c r="AD99" s="1413" t="s">
        <v>268</v>
      </c>
      <c r="AE99" s="1413" t="s">
        <v>269</v>
      </c>
      <c r="AF99" s="1413" t="s">
        <v>270</v>
      </c>
      <c r="AG99" s="1413"/>
      <c r="AH99" s="1413" t="str">
        <f>IF($E$99=0,"",$E$99)</f>
        <v>Тариф на подключение (технологическое присоединение) к централизованной системе холодного водоснабжения</v>
      </c>
      <c r="AI99" s="1413" t="str">
        <f>IF($G$99=0,"",$G$99)</f>
        <v/>
      </c>
      <c r="AJ99" s="1413" t="str">
        <f>IF($J$99=0,"",$J$99)</f>
        <v/>
      </c>
      <c r="AK99" s="1413" t="str">
        <f>IF($K$99="нет","без дифференциации",IF($N$99=0,"",$N$99))</f>
        <v/>
      </c>
      <c r="AL99" s="1413" t="str">
        <f>IF($O$99="нет","без дифференциации",IF($R$99=0,"",$R$99))</f>
        <v/>
      </c>
      <c r="AM99" s="1413" t="str">
        <f>IF($S$99="нет","без дифференциации",IF($V$99=0,"",$V$99))</f>
        <v/>
      </c>
      <c r="AN99" s="1917">
        <f>$I$99</f>
        <v>0</v>
      </c>
      <c r="AO99" s="1413" t="str">
        <f>$I$99&amp;"."&amp;$M$99</f>
        <v>.</v>
      </c>
      <c r="AP99" s="1412" t="str">
        <f>$I$99&amp;"."&amp;$M$99&amp;"."&amp;$Q$99</f>
        <v>..</v>
      </c>
      <c r="AQ99" s="1412" t="str">
        <f>$I$99&amp;"."&amp;$M$99&amp;"."&amp;$Q$99&amp;"."&amp;$U$99</f>
        <v>...</v>
      </c>
      <c r="AR99" s="1613">
        <v>0</v>
      </c>
    </row>
    <row s="7809" customFormat="1" customHeight="1" ht="17.25" hidden="1">
      <c r="A100" s="467"/>
      <c r="C100" s="466"/>
      <c r="D100" s="2294"/>
      <c r="E100" s="2302"/>
      <c r="F100" s="2305"/>
      <c r="G100" s="2302"/>
      <c r="H100" s="2308"/>
      <c r="I100" s="2310"/>
      <c r="J100" s="2312"/>
      <c r="K100" s="2297"/>
      <c r="L100" s="2297"/>
      <c r="M100" s="2297"/>
      <c r="N100" s="2299"/>
      <c r="O100" s="2297"/>
      <c r="P100" s="2297"/>
      <c r="Q100" s="2297"/>
      <c r="R100" s="2300"/>
      <c r="S100" s="2297"/>
      <c r="T100" s="2091"/>
      <c r="U100" s="2091"/>
      <c r="V100" s="2091"/>
      <c r="W100" s="2092"/>
      <c r="X100" s="1412"/>
      <c r="Y100" s="1412"/>
      <c r="Z100" s="1412"/>
      <c r="AA100" s="1412"/>
      <c r="AB100" s="1412"/>
      <c r="AC100" s="1412"/>
      <c r="AD100" s="1412"/>
      <c r="AE100" s="1412"/>
      <c r="AF100" s="1412"/>
      <c r="AG100" s="1412"/>
      <c r="AH100" s="1412"/>
      <c r="AI100" s="1412"/>
      <c r="AJ100" s="1412"/>
      <c r="AK100" s="1412"/>
      <c r="AL100" s="1412"/>
      <c r="AM100" s="1412"/>
      <c r="AN100" s="1412"/>
      <c r="AO100" s="1412"/>
      <c r="AP100" s="1412"/>
      <c r="AQ100" s="1412"/>
      <c r="AR100" s="1613">
        <v>0</v>
      </c>
    </row>
    <row s="7809" customFormat="1" customHeight="1" ht="17.25" hidden="1">
      <c r="A101" s="467"/>
      <c r="C101" s="466"/>
      <c r="D101" s="2295"/>
      <c r="E101" s="2303"/>
      <c r="F101" s="2305"/>
      <c r="G101" s="2303"/>
      <c r="H101" s="2308"/>
      <c r="I101" s="2310"/>
      <c r="J101" s="2313"/>
      <c r="K101" s="2297"/>
      <c r="L101" s="2297"/>
      <c r="M101" s="2297"/>
      <c r="N101" s="2300"/>
      <c r="O101" s="2297"/>
      <c r="P101" s="2087"/>
      <c r="Q101" s="2091"/>
      <c r="R101" s="2091"/>
      <c r="S101" s="475"/>
      <c r="T101" s="475"/>
      <c r="U101" s="475"/>
      <c r="V101" s="475"/>
      <c r="W101" s="2092"/>
      <c r="X101" s="1412"/>
      <c r="Y101" s="1412"/>
      <c r="Z101" s="1412"/>
      <c r="AA101" s="1412"/>
      <c r="AB101" s="1412"/>
      <c r="AC101" s="1412"/>
      <c r="AD101" s="1412"/>
      <c r="AE101" s="1412"/>
      <c r="AF101" s="1412"/>
      <c r="AG101" s="1412"/>
      <c r="AH101" s="1412"/>
      <c r="AI101" s="1412"/>
      <c r="AJ101" s="1412"/>
      <c r="AK101" s="1412"/>
      <c r="AL101" s="1412"/>
      <c r="AM101" s="1412"/>
      <c r="AN101" s="1412"/>
      <c r="AO101" s="1412"/>
      <c r="AP101" s="1412"/>
      <c r="AQ101" s="1412"/>
      <c r="AR101" s="1613">
        <v>0</v>
      </c>
    </row>
    <row s="7809" customFormat="1" customHeight="1" ht="17.25" hidden="1">
      <c r="A102" s="467"/>
      <c r="C102" s="466"/>
      <c r="D102" s="2295"/>
      <c r="E102" s="2303"/>
      <c r="F102" s="2305"/>
      <c r="G102" s="2303"/>
      <c r="H102" s="2308"/>
      <c r="I102" s="2310"/>
      <c r="J102" s="2313"/>
      <c r="K102" s="2297"/>
      <c r="L102" s="2091"/>
      <c r="M102" s="2091"/>
      <c r="N102" s="2091"/>
      <c r="O102" s="2091"/>
      <c r="P102" s="2091"/>
      <c r="Q102" s="2091"/>
      <c r="R102" s="2091"/>
      <c r="S102" s="475"/>
      <c r="T102" s="475"/>
      <c r="U102" s="475"/>
      <c r="V102" s="475"/>
      <c r="W102" s="2092"/>
      <c r="X102" s="1412"/>
      <c r="Y102" s="1412"/>
      <c r="Z102" s="1412"/>
      <c r="AA102" s="1412"/>
      <c r="AB102" s="1412"/>
      <c r="AC102" s="1412"/>
      <c r="AD102" s="1412"/>
      <c r="AE102" s="1412"/>
      <c r="AF102" s="1412"/>
      <c r="AG102" s="1412"/>
      <c r="AH102" s="1412"/>
      <c r="AI102" s="1412"/>
      <c r="AJ102" s="1412"/>
      <c r="AK102" s="1412"/>
      <c r="AL102" s="1412"/>
      <c r="AM102" s="1412"/>
      <c r="AN102" s="1412"/>
      <c r="AO102" s="1412"/>
      <c r="AP102" s="1412"/>
      <c r="AQ102" s="1412"/>
      <c r="AR102" s="1613">
        <v>0</v>
      </c>
    </row>
    <row s="7809" customFormat="1" customHeight="1" ht="17.25" hidden="1">
      <c r="A103" s="467"/>
      <c r="C103" s="466"/>
      <c r="D103" s="2295"/>
      <c r="E103" s="2303"/>
      <c r="F103" s="2306"/>
      <c r="G103" s="2303"/>
      <c r="H103" s="1445"/>
      <c r="I103" s="2089"/>
      <c r="J103" s="2089"/>
      <c r="K103" s="2089"/>
      <c r="L103" s="2089"/>
      <c r="M103" s="2089"/>
      <c r="N103" s="2089"/>
      <c r="O103" s="2089"/>
      <c r="P103" s="2089"/>
      <c r="Q103" s="2089"/>
      <c r="R103" s="2089"/>
      <c r="S103" s="1447"/>
      <c r="T103" s="1447"/>
      <c r="U103" s="1447"/>
      <c r="V103" s="1447"/>
      <c r="W103" s="2090"/>
      <c r="X103" s="1412"/>
      <c r="Y103" s="1412"/>
      <c r="Z103" s="1412"/>
      <c r="AA103" s="1412"/>
      <c r="AB103" s="1412"/>
      <c r="AC103" s="1412"/>
      <c r="AD103" s="1412"/>
      <c r="AE103" s="1412"/>
      <c r="AF103" s="1412"/>
      <c r="AG103" s="1412"/>
      <c r="AH103" s="1412"/>
      <c r="AI103" s="1412"/>
      <c r="AJ103" s="1412"/>
      <c r="AK103" s="1412"/>
      <c r="AL103" s="1412"/>
      <c r="AM103" s="1412"/>
      <c r="AN103" s="1412"/>
      <c r="AO103" s="1412"/>
      <c r="AP103" s="1412"/>
      <c r="AQ103" s="1412"/>
      <c r="AR103" s="1613">
        <v>0</v>
      </c>
    </row>
    <row s="7809" customFormat="1" customHeight="1" ht="11.25" hidden="1">
      <c r="A104" s="423"/>
      <c r="B104" s="423"/>
      <c r="Y104" s="1405"/>
      <c r="Z104" s="1405"/>
      <c r="AA104" s="1405"/>
      <c r="AB104" s="1405"/>
      <c r="AC104" s="1405"/>
      <c r="AD104" s="1405"/>
      <c r="AE104" s="1405"/>
      <c r="AF104" s="1405"/>
      <c r="AG104" s="1405"/>
      <c r="AH104" s="1405"/>
      <c r="AI104" s="1405"/>
      <c r="AJ104" s="1405"/>
      <c r="AK104" s="1405"/>
      <c r="AL104" s="1405"/>
      <c r="AM104" s="1405"/>
      <c r="AN104" s="1405"/>
      <c r="AO104" s="1405"/>
      <c r="AP104" s="1405"/>
      <c r="AQ104" s="1405"/>
      <c r="AR104" s="1613">
        <v>0</v>
      </c>
    </row>
    <row s="7809" customFormat="1" customHeight="1" ht="17.25" hidden="1">
      <c r="A105" s="467"/>
      <c r="C105" s="355"/>
      <c r="D105" s="2294">
        <v>1</v>
      </c>
      <c r="E105" s="2302" t="s">
        <v>271</v>
      </c>
      <c r="F105" s="2304" t="s">
        <v>19</v>
      </c>
      <c r="G105" s="2302"/>
      <c r="H105" s="2307"/>
      <c r="I105" s="2309"/>
      <c r="J105" s="2311"/>
      <c r="K105" s="2296"/>
      <c r="L105" s="2296"/>
      <c r="M105" s="2296"/>
      <c r="N105" s="2298"/>
      <c r="O105" s="2296"/>
      <c r="P105" s="2296"/>
      <c r="Q105" s="2296"/>
      <c r="R105" s="2301"/>
      <c r="S105" s="2296"/>
      <c r="T105" s="1616"/>
      <c r="U105" s="1616"/>
      <c r="V105" s="1618"/>
      <c r="W105" s="1442"/>
      <c r="Y105" s="1413"/>
      <c r="Z105" s="1413"/>
      <c r="AA105" s="1413"/>
      <c r="AB105" s="1413"/>
      <c r="AC105" s="1413" t="s">
        <v>272</v>
      </c>
      <c r="AD105" s="1413" t="s">
        <v>273</v>
      </c>
      <c r="AE105" s="1413" t="s">
        <v>274</v>
      </c>
      <c r="AF105" s="1413" t="s">
        <v>275</v>
      </c>
      <c r="AG105" s="1413"/>
      <c r="AH105" s="1413" t="str">
        <f>IF($E$105=0,"",$E$105)</f>
        <v>Тариф на горячую воду (горячее водоснабжение)</v>
      </c>
      <c r="AI105" s="1413" t="str">
        <f>IF($G$105=0,"",$G$105)</f>
        <v/>
      </c>
      <c r="AJ105" s="1413" t="str">
        <f>IF($J$105=0,"",$J$105)</f>
        <v/>
      </c>
      <c r="AK105" s="1413" t="str">
        <f>IF($K$105="нет","без дифференциации",IF($N$105=0,"",$N$105))</f>
        <v/>
      </c>
      <c r="AL105" s="1413" t="str">
        <f>IF($O$105="нет","без дифференциации",IF($R$105=0,"",$R$105))</f>
        <v/>
      </c>
      <c r="AM105" s="1413" t="str">
        <f>IF($S$105="нет","без дифференциации",IF($V$105=0,"",$V$105))</f>
        <v/>
      </c>
      <c r="AN105" s="1413">
        <f>$I$105</f>
        <v>0</v>
      </c>
      <c r="AO105" s="1413" t="str">
        <f>$I$105&amp;"."&amp;$M$105</f>
        <v>.</v>
      </c>
      <c r="AP105" s="1413" t="str">
        <f>$I$105&amp;"."&amp;$M$105&amp;"."&amp;$Q$105</f>
        <v>..</v>
      </c>
      <c r="AQ105" s="1413" t="str">
        <f>$I$105&amp;"."&amp;$M$105&amp;"."&amp;$Q$105&amp;"."&amp;$U$105</f>
        <v>...</v>
      </c>
      <c r="AR105" s="1613">
        <v>0</v>
      </c>
    </row>
    <row s="7809" customFormat="1" customHeight="1" ht="17.25" hidden="1">
      <c r="A106" s="467"/>
      <c r="C106" s="466"/>
      <c r="D106" s="2294"/>
      <c r="E106" s="2302"/>
      <c r="F106" s="2305"/>
      <c r="G106" s="2302"/>
      <c r="H106" s="2308"/>
      <c r="I106" s="2310"/>
      <c r="J106" s="2312"/>
      <c r="K106" s="2297"/>
      <c r="L106" s="2297"/>
      <c r="M106" s="2297"/>
      <c r="N106" s="2299"/>
      <c r="O106" s="2297"/>
      <c r="P106" s="2297"/>
      <c r="Q106" s="2297"/>
      <c r="R106" s="2300"/>
      <c r="S106" s="2297"/>
      <c r="T106" s="1443"/>
      <c r="U106" s="1443"/>
      <c r="V106" s="1443"/>
      <c r="W106" s="1444"/>
      <c r="Y106" s="1405"/>
      <c r="Z106" s="1405"/>
      <c r="AA106" s="1405"/>
      <c r="AB106" s="1405"/>
      <c r="AC106" s="1405"/>
      <c r="AD106" s="1405"/>
      <c r="AE106" s="1405"/>
      <c r="AF106" s="1405"/>
      <c r="AG106" s="1405"/>
      <c r="AH106" s="1405"/>
      <c r="AI106" s="1405"/>
      <c r="AJ106" s="1405"/>
      <c r="AK106" s="1405"/>
      <c r="AL106" s="1405"/>
      <c r="AM106" s="1405"/>
      <c r="AN106" s="1405"/>
      <c r="AO106" s="1405"/>
      <c r="AP106" s="1405"/>
      <c r="AQ106" s="1405"/>
      <c r="AR106" s="1613">
        <v>0</v>
      </c>
    </row>
    <row s="7809" customFormat="1" customHeight="1" ht="17.25" hidden="1">
      <c r="A107" s="467"/>
      <c r="C107" s="355"/>
      <c r="D107" s="2294"/>
      <c r="E107" s="2302"/>
      <c r="F107" s="2305"/>
      <c r="G107" s="2302"/>
      <c r="H107" s="2308"/>
      <c r="I107" s="2310"/>
      <c r="J107" s="2313"/>
      <c r="K107" s="2297"/>
      <c r="L107" s="2297"/>
      <c r="M107" s="2297"/>
      <c r="N107" s="2300"/>
      <c r="O107" s="2297"/>
      <c r="P107" s="1617"/>
      <c r="Q107" s="1443"/>
      <c r="R107" s="1443"/>
      <c r="S107" s="475"/>
      <c r="T107" s="475"/>
      <c r="U107" s="475"/>
      <c r="V107" s="475"/>
      <c r="W107" s="1444"/>
      <c r="Y107" s="1413"/>
      <c r="Z107" s="1413"/>
      <c r="AA107" s="1413"/>
      <c r="AB107" s="1413"/>
      <c r="AC107" s="1413"/>
      <c r="AD107" s="1413"/>
      <c r="AE107" s="1413"/>
      <c r="AF107" s="1413"/>
      <c r="AG107" s="1413"/>
      <c r="AH107" s="1413"/>
      <c r="AI107" s="1413"/>
      <c r="AJ107" s="1413"/>
      <c r="AK107" s="1413"/>
      <c r="AL107" s="1413"/>
      <c r="AM107" s="1413"/>
      <c r="AN107" s="1413"/>
      <c r="AO107" s="1413"/>
      <c r="AP107" s="1413"/>
      <c r="AQ107" s="1413"/>
      <c r="AR107" s="1613">
        <v>0</v>
      </c>
    </row>
    <row s="7809" customFormat="1" customHeight="1" ht="17.25" hidden="1">
      <c r="A108" s="467"/>
      <c r="C108" s="466"/>
      <c r="D108" s="2294"/>
      <c r="E108" s="2302"/>
      <c r="F108" s="2305"/>
      <c r="G108" s="2302"/>
      <c r="H108" s="2308"/>
      <c r="I108" s="2310"/>
      <c r="J108" s="2313"/>
      <c r="K108" s="2297"/>
      <c r="L108" s="1443"/>
      <c r="M108" s="1443"/>
      <c r="N108" s="1443"/>
      <c r="O108" s="1443"/>
      <c r="P108" s="1443"/>
      <c r="Q108" s="1443"/>
      <c r="R108" s="1443"/>
      <c r="S108" s="475"/>
      <c r="T108" s="475"/>
      <c r="U108" s="475"/>
      <c r="V108" s="475"/>
      <c r="W108" s="1444"/>
      <c r="Y108" s="1405"/>
      <c r="Z108" s="1405"/>
      <c r="AA108" s="1405"/>
      <c r="AB108" s="1405"/>
      <c r="AC108" s="1405"/>
      <c r="AD108" s="1405"/>
      <c r="AE108" s="1405"/>
      <c r="AF108" s="1405"/>
      <c r="AG108" s="1405"/>
      <c r="AH108" s="1405"/>
      <c r="AI108" s="1405"/>
      <c r="AJ108" s="1405"/>
      <c r="AK108" s="1405"/>
      <c r="AL108" s="1405"/>
      <c r="AM108" s="1405"/>
      <c r="AN108" s="1405"/>
      <c r="AO108" s="1405"/>
      <c r="AP108" s="1405"/>
      <c r="AQ108" s="1405"/>
      <c r="AR108" s="1613">
        <v>0</v>
      </c>
    </row>
    <row s="7809" customFormat="1" customHeight="1" ht="17.25" hidden="1">
      <c r="A109" s="467"/>
      <c r="C109" s="466"/>
      <c r="D109" s="2295"/>
      <c r="E109" s="2303"/>
      <c r="F109" s="2306"/>
      <c r="G109" s="2303"/>
      <c r="H109" s="1445"/>
      <c r="I109" s="1446"/>
      <c r="J109" s="1446"/>
      <c r="K109" s="1446"/>
      <c r="L109" s="1446"/>
      <c r="M109" s="1446"/>
      <c r="N109" s="1446"/>
      <c r="O109" s="1446"/>
      <c r="P109" s="1446"/>
      <c r="Q109" s="1446"/>
      <c r="R109" s="1446"/>
      <c r="S109" s="1447"/>
      <c r="T109" s="1447"/>
      <c r="U109" s="1447"/>
      <c r="V109" s="1447"/>
      <c r="W109" s="1448"/>
      <c r="Y109" s="1405"/>
      <c r="Z109" s="1405"/>
      <c r="AA109" s="1405"/>
      <c r="AB109" s="1405"/>
      <c r="AC109" s="1405"/>
      <c r="AD109" s="1405"/>
      <c r="AE109" s="1405"/>
      <c r="AF109" s="1405"/>
      <c r="AG109" s="1405"/>
      <c r="AH109" s="1405"/>
      <c r="AI109" s="1405"/>
      <c r="AJ109" s="1405"/>
      <c r="AK109" s="1405"/>
      <c r="AL109" s="1405"/>
      <c r="AM109" s="1405"/>
      <c r="AN109" s="1405"/>
      <c r="AO109" s="1405"/>
      <c r="AP109" s="1405"/>
      <c r="AQ109" s="1405"/>
      <c r="AR109" s="1613">
        <v>0</v>
      </c>
    </row>
    <row s="7809" customFormat="1" customHeight="1" ht="17.25" hidden="1">
      <c r="A110" s="467"/>
      <c r="C110" s="355"/>
      <c r="D110" s="2294">
        <v>2</v>
      </c>
      <c r="E110" s="2302" t="s">
        <v>276</v>
      </c>
      <c r="F110" s="2304" t="s">
        <v>19</v>
      </c>
      <c r="G110" s="2302"/>
      <c r="H110" s="2307"/>
      <c r="I110" s="2309"/>
      <c r="J110" s="2311"/>
      <c r="K110" s="2296"/>
      <c r="L110" s="2296"/>
      <c r="M110" s="2296"/>
      <c r="N110" s="2298"/>
      <c r="O110" s="2296"/>
      <c r="P110" s="2296"/>
      <c r="Q110" s="2296"/>
      <c r="R110" s="2301"/>
      <c r="S110" s="2296"/>
      <c r="T110" s="1616"/>
      <c r="U110" s="1616"/>
      <c r="V110" s="1618"/>
      <c r="W110" s="1442"/>
      <c r="X110" s="1413"/>
      <c r="Y110" s="1413"/>
      <c r="Z110" s="1413"/>
      <c r="AA110" s="1413"/>
      <c r="AB110" s="1413"/>
      <c r="AC110" s="1413" t="s">
        <v>277</v>
      </c>
      <c r="AD110" s="1413" t="s">
        <v>278</v>
      </c>
      <c r="AE110" s="1413" t="s">
        <v>279</v>
      </c>
      <c r="AF110" s="1413" t="s">
        <v>280</v>
      </c>
      <c r="AG110" s="1413"/>
      <c r="AH110" s="1413" t="str">
        <f>IF($E$110=0,"",$E$110)</f>
        <v>Тариф на транспортировку горячей воды</v>
      </c>
      <c r="AI110" s="1413" t="str">
        <f>IF($G$110=0,"",$G$110)</f>
        <v/>
      </c>
      <c r="AJ110" s="1413" t="str">
        <f>IF($J$110=0,"",$J$110)</f>
        <v/>
      </c>
      <c r="AK110" s="1413" t="str">
        <f>IF($K$110="нет","без дифференциации",IF($N$110=0,"",$N$110))</f>
        <v/>
      </c>
      <c r="AL110" s="1413" t="str">
        <f>IF($O$110="нет","без дифференциации",IF($R$110=0,"",$R$110))</f>
        <v/>
      </c>
      <c r="AM110" s="1413" t="str">
        <f>IF($S$110="нет","без дифференциации",IF($V$110=0,"",$V$110))</f>
        <v/>
      </c>
      <c r="AN110" s="1917">
        <f>$I$110</f>
        <v>0</v>
      </c>
      <c r="AO110" s="1413" t="str">
        <f>$I$110&amp;"."&amp;$M$110</f>
        <v>.</v>
      </c>
      <c r="AP110" s="1405" t="str">
        <f>$I$110&amp;"."&amp;$M$110&amp;"."&amp;$Q$110</f>
        <v>..</v>
      </c>
      <c r="AQ110" s="1405" t="str">
        <f>$I$110&amp;"."&amp;$M$110&amp;"."&amp;$Q$110&amp;"."&amp;$U$110</f>
        <v>...</v>
      </c>
      <c r="AR110" s="1613">
        <v>0</v>
      </c>
    </row>
    <row s="7809" customFormat="1" customHeight="1" ht="17.25" hidden="1">
      <c r="A111" s="467"/>
      <c r="C111" s="466"/>
      <c r="D111" s="2294"/>
      <c r="E111" s="2302"/>
      <c r="F111" s="2305"/>
      <c r="G111" s="2302"/>
      <c r="H111" s="2308"/>
      <c r="I111" s="2310"/>
      <c r="J111" s="2312"/>
      <c r="K111" s="2297"/>
      <c r="L111" s="2297"/>
      <c r="M111" s="2297"/>
      <c r="N111" s="2299"/>
      <c r="O111" s="2297"/>
      <c r="P111" s="2297"/>
      <c r="Q111" s="2297"/>
      <c r="R111" s="2300"/>
      <c r="S111" s="2297"/>
      <c r="T111" s="1443"/>
      <c r="U111" s="1443"/>
      <c r="V111" s="1443"/>
      <c r="W111" s="1444"/>
      <c r="X111" s="1405"/>
      <c r="Y111" s="1405"/>
      <c r="Z111" s="1405"/>
      <c r="AA111" s="1405"/>
      <c r="AB111" s="1405"/>
      <c r="AC111" s="1405"/>
      <c r="AD111" s="1405"/>
      <c r="AE111" s="1405"/>
      <c r="AF111" s="1405"/>
      <c r="AG111" s="1405"/>
      <c r="AH111" s="1405"/>
      <c r="AI111" s="1405"/>
      <c r="AJ111" s="1405"/>
      <c r="AK111" s="1405"/>
      <c r="AL111" s="1405"/>
      <c r="AM111" s="1405"/>
      <c r="AN111" s="1405"/>
      <c r="AO111" s="1405"/>
      <c r="AP111" s="1405"/>
      <c r="AQ111" s="1405"/>
      <c r="AR111" s="1613">
        <v>0</v>
      </c>
    </row>
    <row s="7809" customFormat="1" customHeight="1" ht="17.25" hidden="1">
      <c r="A112" s="467"/>
      <c r="C112" s="466"/>
      <c r="D112" s="2295"/>
      <c r="E112" s="2303"/>
      <c r="F112" s="2305"/>
      <c r="G112" s="2303"/>
      <c r="H112" s="2308"/>
      <c r="I112" s="2310"/>
      <c r="J112" s="2313"/>
      <c r="K112" s="2297"/>
      <c r="L112" s="2297"/>
      <c r="M112" s="2297"/>
      <c r="N112" s="2300"/>
      <c r="O112" s="2297"/>
      <c r="P112" s="1617"/>
      <c r="Q112" s="1443"/>
      <c r="R112" s="1443"/>
      <c r="S112" s="475"/>
      <c r="T112" s="475"/>
      <c r="U112" s="475"/>
      <c r="V112" s="475"/>
      <c r="W112" s="1444"/>
      <c r="X112" s="1405"/>
      <c r="Y112" s="1405"/>
      <c r="Z112" s="1405"/>
      <c r="AA112" s="1405"/>
      <c r="AB112" s="1405"/>
      <c r="AC112" s="1405"/>
      <c r="AD112" s="1405"/>
      <c r="AE112" s="1405"/>
      <c r="AF112" s="1405"/>
      <c r="AG112" s="1405"/>
      <c r="AH112" s="1405"/>
      <c r="AI112" s="1405"/>
      <c r="AJ112" s="1405"/>
      <c r="AK112" s="1405"/>
      <c r="AL112" s="1405"/>
      <c r="AM112" s="1405"/>
      <c r="AN112" s="1405"/>
      <c r="AO112" s="1405"/>
      <c r="AP112" s="1405"/>
      <c r="AQ112" s="1405"/>
      <c r="AR112" s="1613">
        <v>0</v>
      </c>
    </row>
    <row s="7809" customFormat="1" customHeight="1" ht="17.25" hidden="1">
      <c r="A113" s="467"/>
      <c r="C113" s="466"/>
      <c r="D113" s="2295"/>
      <c r="E113" s="2303"/>
      <c r="F113" s="2305"/>
      <c r="G113" s="2303"/>
      <c r="H113" s="2308"/>
      <c r="I113" s="2310"/>
      <c r="J113" s="2313"/>
      <c r="K113" s="2297"/>
      <c r="L113" s="1443"/>
      <c r="M113" s="1443"/>
      <c r="N113" s="1443"/>
      <c r="O113" s="1443"/>
      <c r="P113" s="1443"/>
      <c r="Q113" s="1443"/>
      <c r="R113" s="1443"/>
      <c r="S113" s="475"/>
      <c r="T113" s="475"/>
      <c r="U113" s="475"/>
      <c r="V113" s="475"/>
      <c r="W113" s="1444"/>
      <c r="X113" s="1405"/>
      <c r="Y113" s="1405"/>
      <c r="Z113" s="1405"/>
      <c r="AA113" s="1405"/>
      <c r="AB113" s="1405"/>
      <c r="AC113" s="1405"/>
      <c r="AD113" s="1405"/>
      <c r="AE113" s="1405"/>
      <c r="AF113" s="1405"/>
      <c r="AG113" s="1405"/>
      <c r="AH113" s="1405"/>
      <c r="AI113" s="1405"/>
      <c r="AJ113" s="1405"/>
      <c r="AK113" s="1405"/>
      <c r="AL113" s="1405"/>
      <c r="AM113" s="1405"/>
      <c r="AN113" s="1405"/>
      <c r="AO113" s="1405"/>
      <c r="AP113" s="1405"/>
      <c r="AQ113" s="1405"/>
      <c r="AR113" s="1613">
        <v>0</v>
      </c>
    </row>
    <row s="7809" customFormat="1" customHeight="1" ht="17.25" hidden="1">
      <c r="A114" s="467"/>
      <c r="C114" s="466"/>
      <c r="D114" s="2295"/>
      <c r="E114" s="2303"/>
      <c r="F114" s="2306"/>
      <c r="G114" s="2303"/>
      <c r="H114" s="1445"/>
      <c r="I114" s="1446"/>
      <c r="J114" s="1446"/>
      <c r="K114" s="1446"/>
      <c r="L114" s="1446"/>
      <c r="M114" s="1446"/>
      <c r="N114" s="1446"/>
      <c r="O114" s="1446"/>
      <c r="P114" s="1446"/>
      <c r="Q114" s="1446"/>
      <c r="R114" s="1446"/>
      <c r="S114" s="1447"/>
      <c r="T114" s="1447"/>
      <c r="U114" s="1447"/>
      <c r="V114" s="1447"/>
      <c r="W114" s="1448"/>
      <c r="X114" s="1405"/>
      <c r="Y114" s="1405"/>
      <c r="Z114" s="1405"/>
      <c r="AA114" s="1405"/>
      <c r="AB114" s="1405"/>
      <c r="AC114" s="1405"/>
      <c r="AD114" s="1405"/>
      <c r="AE114" s="1405"/>
      <c r="AF114" s="1405"/>
      <c r="AG114" s="1405"/>
      <c r="AH114" s="1405"/>
      <c r="AI114" s="1405"/>
      <c r="AJ114" s="1405"/>
      <c r="AK114" s="1405"/>
      <c r="AL114" s="1405"/>
      <c r="AM114" s="1405"/>
      <c r="AN114" s="1405"/>
      <c r="AO114" s="1405"/>
      <c r="AP114" s="1405"/>
      <c r="AQ114" s="1405"/>
      <c r="AR114" s="1613">
        <v>0</v>
      </c>
    </row>
    <row s="7809" customFormat="1" customHeight="1" ht="17.25" hidden="1">
      <c r="A115" s="467"/>
      <c r="C115" s="355"/>
      <c r="D115" s="2294">
        <v>3</v>
      </c>
      <c r="E115" s="2302" t="s">
        <v>281</v>
      </c>
      <c r="F115" s="2304" t="s">
        <v>19</v>
      </c>
      <c r="G115" s="2302"/>
      <c r="H115" s="2307"/>
      <c r="I115" s="2309"/>
      <c r="J115" s="2311"/>
      <c r="K115" s="2296"/>
      <c r="L115" s="2296"/>
      <c r="M115" s="2296"/>
      <c r="N115" s="2298"/>
      <c r="O115" s="2296"/>
      <c r="P115" s="2296"/>
      <c r="Q115" s="2296"/>
      <c r="R115" s="2301"/>
      <c r="S115" s="2296"/>
      <c r="T115" s="2086"/>
      <c r="U115" s="2086"/>
      <c r="V115" s="2088"/>
      <c r="W115" s="1442"/>
      <c r="X115" s="1413"/>
      <c r="Y115" s="1413"/>
      <c r="Z115" s="1413"/>
      <c r="AA115" s="1413"/>
      <c r="AB115" s="1413"/>
      <c r="AC115" s="1413" t="s">
        <v>282</v>
      </c>
      <c r="AD115" s="1413" t="s">
        <v>283</v>
      </c>
      <c r="AE115" s="1413" t="s">
        <v>284</v>
      </c>
      <c r="AF115" s="1413" t="s">
        <v>285</v>
      </c>
      <c r="AG115" s="1413"/>
      <c r="AH115" s="1413" t="str">
        <f>IF($E$115=0,"",$E$115)</f>
        <v>Тариф на подключение (технологическое присоединение) к централизованной системе горячего водоснабжения</v>
      </c>
      <c r="AI115" s="1413" t="str">
        <f>IF($G$115=0,"",$G$115)</f>
        <v/>
      </c>
      <c r="AJ115" s="1413" t="str">
        <f>IF($J$115=0,"",$J$115)</f>
        <v/>
      </c>
      <c r="AK115" s="1413" t="str">
        <f>IF($K$115="нет","без дифференциации",IF($N$115=0,"",$N$115))</f>
        <v/>
      </c>
      <c r="AL115" s="1413" t="str">
        <f>IF($O$115="нет","без дифференциации",IF($R$115=0,"",$R$115))</f>
        <v/>
      </c>
      <c r="AM115" s="1413" t="str">
        <f>IF($S$115="нет","без дифференциации",IF($V$115=0,"",$V$115))</f>
        <v/>
      </c>
      <c r="AN115" s="1917">
        <f>$I$115</f>
        <v>0</v>
      </c>
      <c r="AO115" s="1413" t="str">
        <f>$I$115&amp;"."&amp;$M$115</f>
        <v>.</v>
      </c>
      <c r="AP115" s="1412" t="str">
        <f>$I$115&amp;"."&amp;$M$115&amp;"."&amp;$Q$115</f>
        <v>..</v>
      </c>
      <c r="AQ115" s="1412" t="str">
        <f>$I$115&amp;"."&amp;$M$115&amp;"."&amp;$Q$115&amp;"."&amp;$U$115</f>
        <v>...</v>
      </c>
      <c r="AR115" s="1613">
        <v>0</v>
      </c>
    </row>
    <row s="7809" customFormat="1" customHeight="1" ht="17.25" hidden="1">
      <c r="A116" s="467"/>
      <c r="C116" s="466"/>
      <c r="D116" s="2294"/>
      <c r="E116" s="2302"/>
      <c r="F116" s="2305"/>
      <c r="G116" s="2302"/>
      <c r="H116" s="2308"/>
      <c r="I116" s="2310"/>
      <c r="J116" s="2312"/>
      <c r="K116" s="2297"/>
      <c r="L116" s="2297"/>
      <c r="M116" s="2297"/>
      <c r="N116" s="2299"/>
      <c r="O116" s="2297"/>
      <c r="P116" s="2297"/>
      <c r="Q116" s="2297"/>
      <c r="R116" s="2300"/>
      <c r="S116" s="2297"/>
      <c r="T116" s="2091"/>
      <c r="U116" s="2091"/>
      <c r="V116" s="2091"/>
      <c r="W116" s="2092"/>
      <c r="X116" s="1412"/>
      <c r="Y116" s="1412"/>
      <c r="Z116" s="1412"/>
      <c r="AA116" s="1412"/>
      <c r="AB116" s="1412"/>
      <c r="AC116" s="1412"/>
      <c r="AD116" s="1412"/>
      <c r="AE116" s="1412"/>
      <c r="AF116" s="1412"/>
      <c r="AG116" s="1412"/>
      <c r="AH116" s="1412"/>
      <c r="AI116" s="1412"/>
      <c r="AJ116" s="1412"/>
      <c r="AK116" s="1412"/>
      <c r="AL116" s="1412"/>
      <c r="AM116" s="1412"/>
      <c r="AN116" s="1412"/>
      <c r="AO116" s="1412"/>
      <c r="AP116" s="1412"/>
      <c r="AQ116" s="1412"/>
      <c r="AR116" s="1613">
        <v>0</v>
      </c>
    </row>
    <row s="7809" customFormat="1" customHeight="1" ht="17.25" hidden="1">
      <c r="A117" s="467"/>
      <c r="C117" s="466"/>
      <c r="D117" s="2295"/>
      <c r="E117" s="2303"/>
      <c r="F117" s="2305"/>
      <c r="G117" s="2303"/>
      <c r="H117" s="2308"/>
      <c r="I117" s="2310"/>
      <c r="J117" s="2313"/>
      <c r="K117" s="2297"/>
      <c r="L117" s="2297"/>
      <c r="M117" s="2297"/>
      <c r="N117" s="2300"/>
      <c r="O117" s="2297"/>
      <c r="P117" s="2087"/>
      <c r="Q117" s="2091"/>
      <c r="R117" s="2091"/>
      <c r="S117" s="475"/>
      <c r="T117" s="475"/>
      <c r="U117" s="475"/>
      <c r="V117" s="475"/>
      <c r="W117" s="2092"/>
      <c r="X117" s="1412"/>
      <c r="Y117" s="1412"/>
      <c r="Z117" s="1412"/>
      <c r="AA117" s="1412"/>
      <c r="AB117" s="1412"/>
      <c r="AC117" s="1412"/>
      <c r="AD117" s="1412"/>
      <c r="AE117" s="1412"/>
      <c r="AF117" s="1412"/>
      <c r="AG117" s="1412"/>
      <c r="AH117" s="1412"/>
      <c r="AI117" s="1412"/>
      <c r="AJ117" s="1412"/>
      <c r="AK117" s="1412"/>
      <c r="AL117" s="1412"/>
      <c r="AM117" s="1412"/>
      <c r="AN117" s="1412"/>
      <c r="AO117" s="1412"/>
      <c r="AP117" s="1412"/>
      <c r="AQ117" s="1412"/>
      <c r="AR117" s="1613">
        <v>0</v>
      </c>
    </row>
    <row s="7809" customFormat="1" customHeight="1" ht="17.25" hidden="1">
      <c r="A118" s="467"/>
      <c r="C118" s="466"/>
      <c r="D118" s="2295"/>
      <c r="E118" s="2303"/>
      <c r="F118" s="2305"/>
      <c r="G118" s="2303"/>
      <c r="H118" s="2308"/>
      <c r="I118" s="2310"/>
      <c r="J118" s="2313"/>
      <c r="K118" s="2297"/>
      <c r="L118" s="2091"/>
      <c r="M118" s="2091"/>
      <c r="N118" s="2091"/>
      <c r="O118" s="2091"/>
      <c r="P118" s="2091"/>
      <c r="Q118" s="2091"/>
      <c r="R118" s="2091"/>
      <c r="S118" s="475"/>
      <c r="T118" s="475"/>
      <c r="U118" s="475"/>
      <c r="V118" s="475"/>
      <c r="W118" s="2092"/>
      <c r="X118" s="1412"/>
      <c r="Y118" s="1412"/>
      <c r="Z118" s="1412"/>
      <c r="AA118" s="1412"/>
      <c r="AB118" s="1412"/>
      <c r="AC118" s="1412"/>
      <c r="AD118" s="1412"/>
      <c r="AE118" s="1412"/>
      <c r="AF118" s="1412"/>
      <c r="AG118" s="1412"/>
      <c r="AH118" s="1412"/>
      <c r="AI118" s="1412"/>
      <c r="AJ118" s="1412"/>
      <c r="AK118" s="1412"/>
      <c r="AL118" s="1412"/>
      <c r="AM118" s="1412"/>
      <c r="AN118" s="1412"/>
      <c r="AO118" s="1412"/>
      <c r="AP118" s="1412"/>
      <c r="AQ118" s="1412"/>
      <c r="AR118" s="1613">
        <v>0</v>
      </c>
    </row>
    <row s="7809" customFormat="1" customHeight="1" ht="17.25" hidden="1">
      <c r="A119" s="467"/>
      <c r="C119" s="466"/>
      <c r="D119" s="2295"/>
      <c r="E119" s="2303"/>
      <c r="F119" s="2306"/>
      <c r="G119" s="2303"/>
      <c r="H119" s="1445"/>
      <c r="I119" s="2089"/>
      <c r="J119" s="2089"/>
      <c r="K119" s="2089"/>
      <c r="L119" s="2089"/>
      <c r="M119" s="2089"/>
      <c r="N119" s="2089"/>
      <c r="O119" s="2089"/>
      <c r="P119" s="2089"/>
      <c r="Q119" s="2089"/>
      <c r="R119" s="2089"/>
      <c r="S119" s="1447"/>
      <c r="T119" s="1447"/>
      <c r="U119" s="1447"/>
      <c r="V119" s="1447"/>
      <c r="W119" s="2090"/>
      <c r="X119" s="1412"/>
      <c r="Y119" s="1412"/>
      <c r="Z119" s="1412"/>
      <c r="AA119" s="1412"/>
      <c r="AB119" s="1412"/>
      <c r="AC119" s="1412"/>
      <c r="AD119" s="1412"/>
      <c r="AE119" s="1412"/>
      <c r="AF119" s="1412"/>
      <c r="AG119" s="1412"/>
      <c r="AH119" s="1412"/>
      <c r="AI119" s="1412"/>
      <c r="AJ119" s="1412"/>
      <c r="AK119" s="1412"/>
      <c r="AL119" s="1412"/>
      <c r="AM119" s="1412"/>
      <c r="AN119" s="1412"/>
      <c r="AO119" s="1412"/>
      <c r="AP119" s="1412"/>
      <c r="AQ119" s="1412"/>
      <c r="AR119" s="1613">
        <v>0</v>
      </c>
    </row>
    <row s="7809" customFormat="1" customHeight="1" ht="11.25" hidden="1">
      <c r="A120" s="423"/>
      <c r="B120" s="423"/>
      <c r="Y120" s="1405"/>
      <c r="Z120" s="1405"/>
      <c r="AA120" s="1405"/>
      <c r="AB120" s="1405"/>
      <c r="AC120" s="1405"/>
      <c r="AD120" s="1405"/>
      <c r="AE120" s="1405"/>
      <c r="AF120" s="1405"/>
      <c r="AG120" s="1405"/>
      <c r="AH120" s="1405"/>
      <c r="AI120" s="1405"/>
      <c r="AJ120" s="1405"/>
      <c r="AK120" s="1405"/>
      <c r="AL120" s="1405"/>
      <c r="AM120" s="1405"/>
      <c r="AN120" s="1405"/>
      <c r="AO120" s="1405"/>
      <c r="AP120" s="1405"/>
      <c r="AQ120" s="1405"/>
      <c r="AR120" s="1613">
        <v>0</v>
      </c>
    </row>
    <row s="7809" customFormat="1" customHeight="1" ht="17.25" hidden="1">
      <c r="A121" s="467"/>
      <c r="C121" s="355"/>
      <c r="D121" s="2294">
        <v>1</v>
      </c>
      <c r="E121" s="2302" t="s">
        <v>286</v>
      </c>
      <c r="F121" s="2304" t="s">
        <v>19</v>
      </c>
      <c r="G121" s="2302"/>
      <c r="H121" s="2307"/>
      <c r="I121" s="2309"/>
      <c r="J121" s="2311"/>
      <c r="K121" s="2296"/>
      <c r="L121" s="2296"/>
      <c r="M121" s="2296"/>
      <c r="N121" s="2298"/>
      <c r="O121" s="2296"/>
      <c r="P121" s="2296"/>
      <c r="Q121" s="2296"/>
      <c r="R121" s="2301"/>
      <c r="S121" s="2296"/>
      <c r="T121" s="1616"/>
      <c r="U121" s="1616"/>
      <c r="V121" s="1618"/>
      <c r="W121" s="1442"/>
      <c r="Y121" s="1413"/>
      <c r="Z121" s="1413"/>
      <c r="AA121" s="1413"/>
      <c r="AB121" s="1413"/>
      <c r="AC121" s="1413" t="s">
        <v>287</v>
      </c>
      <c r="AD121" s="1413" t="s">
        <v>288</v>
      </c>
      <c r="AE121" s="1413" t="s">
        <v>289</v>
      </c>
      <c r="AF121" s="1413" t="s">
        <v>290</v>
      </c>
      <c r="AG121" s="1413"/>
      <c r="AH121" s="1413" t="str">
        <f>IF($E$121=0,"",$E$121)</f>
        <v>Тариф на водоотведение</v>
      </c>
      <c r="AI121" s="1413" t="str">
        <f>IF($G$121=0,"",$G$121)</f>
        <v/>
      </c>
      <c r="AJ121" s="1413" t="str">
        <f>IF($J$121=0,"",$J$121)</f>
        <v/>
      </c>
      <c r="AK121" s="1413" t="str">
        <f>IF($K$121="нет","без дифференциации",IF($N$121=0,"",$N$121))</f>
        <v/>
      </c>
      <c r="AL121" s="1413" t="str">
        <f>IF($O$121="нет","без дифференциации",IF($R$121=0,"",$R$121))</f>
        <v/>
      </c>
      <c r="AM121" s="1413" t="str">
        <f>IF($S$121="нет","без дифференциации",IF($V$121=0,"",$V$121))</f>
        <v/>
      </c>
      <c r="AN121" s="1413">
        <f>$I$121</f>
        <v>0</v>
      </c>
      <c r="AO121" s="1413" t="str">
        <f>$I$121&amp;"."&amp;$M$121</f>
        <v>.</v>
      </c>
      <c r="AP121" s="1413" t="str">
        <f>$I$121&amp;"."&amp;$M$121&amp;"."&amp;$Q$121</f>
        <v>..</v>
      </c>
      <c r="AQ121" s="1413" t="str">
        <f>$I$121&amp;"."&amp;$M$121&amp;"."&amp;$Q$121&amp;"."&amp;$U$121</f>
        <v>...</v>
      </c>
      <c r="AR121" s="1613">
        <v>0</v>
      </c>
    </row>
    <row s="7809" customFormat="1" customHeight="1" ht="17.25" hidden="1">
      <c r="A122" s="467"/>
      <c r="C122" s="466"/>
      <c r="D122" s="2294"/>
      <c r="E122" s="2302"/>
      <c r="F122" s="2305"/>
      <c r="G122" s="2302"/>
      <c r="H122" s="2308"/>
      <c r="I122" s="2310"/>
      <c r="J122" s="2312"/>
      <c r="K122" s="2297"/>
      <c r="L122" s="2297"/>
      <c r="M122" s="2297"/>
      <c r="N122" s="2299"/>
      <c r="O122" s="2297"/>
      <c r="P122" s="2297"/>
      <c r="Q122" s="2297"/>
      <c r="R122" s="2300"/>
      <c r="S122" s="2297"/>
      <c r="T122" s="1443"/>
      <c r="U122" s="1443"/>
      <c r="V122" s="1443"/>
      <c r="W122" s="1444"/>
      <c r="Y122" s="1405"/>
      <c r="Z122" s="1405"/>
      <c r="AA122" s="1405"/>
      <c r="AB122" s="1405"/>
      <c r="AC122" s="1405"/>
      <c r="AD122" s="1405"/>
      <c r="AE122" s="1405"/>
      <c r="AF122" s="1405"/>
      <c r="AG122" s="1405"/>
      <c r="AH122" s="1405"/>
      <c r="AI122" s="1405"/>
      <c r="AJ122" s="1405"/>
      <c r="AK122" s="1405"/>
      <c r="AL122" s="1405"/>
      <c r="AM122" s="1405"/>
      <c r="AN122" s="1405"/>
      <c r="AO122" s="1405"/>
      <c r="AP122" s="1405"/>
      <c r="AQ122" s="1405"/>
      <c r="AR122" s="1613">
        <v>0</v>
      </c>
    </row>
    <row s="7809" customFormat="1" customHeight="1" ht="17.25" hidden="1">
      <c r="A123" s="467"/>
      <c r="C123" s="355"/>
      <c r="D123" s="2294"/>
      <c r="E123" s="2302"/>
      <c r="F123" s="2305"/>
      <c r="G123" s="2302"/>
      <c r="H123" s="2308"/>
      <c r="I123" s="2310"/>
      <c r="J123" s="2313"/>
      <c r="K123" s="2297"/>
      <c r="L123" s="2297"/>
      <c r="M123" s="2297"/>
      <c r="N123" s="2300"/>
      <c r="O123" s="2297"/>
      <c r="P123" s="1617"/>
      <c r="Q123" s="1443"/>
      <c r="R123" s="1443"/>
      <c r="S123" s="475"/>
      <c r="T123" s="475"/>
      <c r="U123" s="475"/>
      <c r="V123" s="475"/>
      <c r="W123" s="1444"/>
      <c r="Y123" s="1413"/>
      <c r="Z123" s="1413"/>
      <c r="AA123" s="1413"/>
      <c r="AB123" s="1413"/>
      <c r="AC123" s="1413"/>
      <c r="AD123" s="1413"/>
      <c r="AE123" s="1413"/>
      <c r="AF123" s="1413"/>
      <c r="AG123" s="1413"/>
      <c r="AH123" s="1413"/>
      <c r="AI123" s="1413"/>
      <c r="AJ123" s="1413"/>
      <c r="AK123" s="1413"/>
      <c r="AL123" s="1413"/>
      <c r="AM123" s="1413"/>
      <c r="AN123" s="1413"/>
      <c r="AO123" s="1413"/>
      <c r="AP123" s="1413"/>
      <c r="AQ123" s="1413"/>
      <c r="AR123" s="1613">
        <v>0</v>
      </c>
    </row>
    <row s="7809" customFormat="1" customHeight="1" ht="17.25" hidden="1">
      <c r="A124" s="467"/>
      <c r="C124" s="466"/>
      <c r="D124" s="2294"/>
      <c r="E124" s="2302"/>
      <c r="F124" s="2305"/>
      <c r="G124" s="2302"/>
      <c r="H124" s="2308"/>
      <c r="I124" s="2310"/>
      <c r="J124" s="2313"/>
      <c r="K124" s="2297"/>
      <c r="L124" s="1443"/>
      <c r="M124" s="1443"/>
      <c r="N124" s="1443"/>
      <c r="O124" s="1443"/>
      <c r="P124" s="1443"/>
      <c r="Q124" s="1443"/>
      <c r="R124" s="1443"/>
      <c r="S124" s="475"/>
      <c r="T124" s="475"/>
      <c r="U124" s="475"/>
      <c r="V124" s="475"/>
      <c r="W124" s="1444"/>
      <c r="Y124" s="1405"/>
      <c r="Z124" s="1405"/>
      <c r="AA124" s="1405"/>
      <c r="AB124" s="1405"/>
      <c r="AC124" s="1405"/>
      <c r="AD124" s="1405"/>
      <c r="AE124" s="1405"/>
      <c r="AF124" s="1405"/>
      <c r="AG124" s="1405"/>
      <c r="AH124" s="1405"/>
      <c r="AI124" s="1405"/>
      <c r="AJ124" s="1405"/>
      <c r="AK124" s="1405"/>
      <c r="AL124" s="1405"/>
      <c r="AM124" s="1405"/>
      <c r="AN124" s="1405"/>
      <c r="AO124" s="1405"/>
      <c r="AP124" s="1405"/>
      <c r="AQ124" s="1405"/>
      <c r="AR124" s="1613">
        <v>0</v>
      </c>
    </row>
    <row s="7809" customFormat="1" customHeight="1" ht="17.25" hidden="1">
      <c r="A125" s="467"/>
      <c r="C125" s="466"/>
      <c r="D125" s="2295"/>
      <c r="E125" s="2303"/>
      <c r="F125" s="2306"/>
      <c r="G125" s="2303"/>
      <c r="H125" s="1445"/>
      <c r="I125" s="1446"/>
      <c r="J125" s="1446"/>
      <c r="K125" s="1446"/>
      <c r="L125" s="1446"/>
      <c r="M125" s="1446"/>
      <c r="N125" s="1446"/>
      <c r="O125" s="1446"/>
      <c r="P125" s="1446"/>
      <c r="Q125" s="1446"/>
      <c r="R125" s="1446"/>
      <c r="S125" s="1447"/>
      <c r="T125" s="1447"/>
      <c r="U125" s="1447"/>
      <c r="V125" s="1447"/>
      <c r="W125" s="1448"/>
      <c r="Y125" s="1405"/>
      <c r="Z125" s="1405"/>
      <c r="AA125" s="1405"/>
      <c r="AB125" s="1405"/>
      <c r="AC125" s="1405"/>
      <c r="AD125" s="1405"/>
      <c r="AE125" s="1405"/>
      <c r="AF125" s="1405"/>
      <c r="AG125" s="1405"/>
      <c r="AH125" s="1405"/>
      <c r="AI125" s="1405"/>
      <c r="AJ125" s="1405"/>
      <c r="AK125" s="1405"/>
      <c r="AL125" s="1405"/>
      <c r="AM125" s="1405"/>
      <c r="AN125" s="1405"/>
      <c r="AO125" s="1405"/>
      <c r="AP125" s="1405"/>
      <c r="AQ125" s="1405"/>
      <c r="AR125" s="1613">
        <v>0</v>
      </c>
    </row>
    <row s="7809" customFormat="1" customHeight="1" ht="17.25" hidden="1">
      <c r="A126" s="467"/>
      <c r="C126" s="355"/>
      <c r="D126" s="2294">
        <v>2</v>
      </c>
      <c r="E126" s="2302" t="s">
        <v>291</v>
      </c>
      <c r="F126" s="2304" t="s">
        <v>19</v>
      </c>
      <c r="G126" s="2302"/>
      <c r="H126" s="2307"/>
      <c r="I126" s="2309"/>
      <c r="J126" s="2311"/>
      <c r="K126" s="2296"/>
      <c r="L126" s="2296"/>
      <c r="M126" s="2296"/>
      <c r="N126" s="2298"/>
      <c r="O126" s="2296"/>
      <c r="P126" s="2296"/>
      <c r="Q126" s="2296"/>
      <c r="R126" s="2301"/>
      <c r="S126" s="2296"/>
      <c r="T126" s="1616"/>
      <c r="U126" s="1616"/>
      <c r="V126" s="1618"/>
      <c r="W126" s="1442"/>
      <c r="X126" s="1413"/>
      <c r="Y126" s="1413"/>
      <c r="Z126" s="1413"/>
      <c r="AA126" s="1413"/>
      <c r="AB126" s="1413"/>
      <c r="AC126" s="1413" t="s">
        <v>292</v>
      </c>
      <c r="AD126" s="1413" t="s">
        <v>293</v>
      </c>
      <c r="AE126" s="1413" t="s">
        <v>294</v>
      </c>
      <c r="AF126" s="1413" t="s">
        <v>295</v>
      </c>
      <c r="AG126" s="1413"/>
      <c r="AH126" s="1413" t="str">
        <f>IF($E$126=0,"",$E$126)</f>
        <v>Тариф на транспортировку сточных вод</v>
      </c>
      <c r="AI126" s="1413" t="str">
        <f>IF($G$126=0,"",$G$126)</f>
        <v/>
      </c>
      <c r="AJ126" s="1413" t="str">
        <f>IF($J$126=0,"",$J$126)</f>
        <v/>
      </c>
      <c r="AK126" s="1413" t="str">
        <f>IF($K$126="нет","без дифференциации",IF($N$126=0,"",$N$126))</f>
        <v/>
      </c>
      <c r="AL126" s="1413" t="str">
        <f>IF($O$126="нет","без дифференциации",IF($R$126=0,"",$R$126))</f>
        <v/>
      </c>
      <c r="AM126" s="1413" t="str">
        <f>IF($S$126="нет","без дифференциации",IF($V$126=0,"",$V$126))</f>
        <v/>
      </c>
      <c r="AN126" s="1917">
        <f>$I$126</f>
        <v>0</v>
      </c>
      <c r="AO126" s="1413" t="str">
        <f>$I$126&amp;"."&amp;$M$126</f>
        <v>.</v>
      </c>
      <c r="AP126" s="1405" t="str">
        <f>$I$126&amp;"."&amp;$M$126&amp;"."&amp;$Q$126</f>
        <v>..</v>
      </c>
      <c r="AQ126" s="1405" t="str">
        <f>$I$126&amp;"."&amp;$M$126&amp;"."&amp;$Q$126&amp;"."&amp;$U$126</f>
        <v>...</v>
      </c>
      <c r="AR126" s="1613">
        <v>0</v>
      </c>
    </row>
    <row s="7809" customFormat="1" customHeight="1" ht="17.25" hidden="1">
      <c r="A127" s="467"/>
      <c r="C127" s="466"/>
      <c r="D127" s="2294"/>
      <c r="E127" s="2302"/>
      <c r="F127" s="2305"/>
      <c r="G127" s="2302"/>
      <c r="H127" s="2308"/>
      <c r="I127" s="2310"/>
      <c r="J127" s="2312"/>
      <c r="K127" s="2297"/>
      <c r="L127" s="2297"/>
      <c r="M127" s="2297"/>
      <c r="N127" s="2299"/>
      <c r="O127" s="2297"/>
      <c r="P127" s="2297"/>
      <c r="Q127" s="2297"/>
      <c r="R127" s="2300"/>
      <c r="S127" s="2297"/>
      <c r="T127" s="1443"/>
      <c r="U127" s="1443"/>
      <c r="V127" s="1443"/>
      <c r="W127" s="1444"/>
      <c r="X127" s="1405"/>
      <c r="Y127" s="1405"/>
      <c r="Z127" s="1405"/>
      <c r="AA127" s="1405"/>
      <c r="AB127" s="1405"/>
      <c r="AC127" s="1405"/>
      <c r="AD127" s="1405"/>
      <c r="AE127" s="1405"/>
      <c r="AF127" s="1405"/>
      <c r="AG127" s="1405"/>
      <c r="AH127" s="1405"/>
      <c r="AI127" s="1405"/>
      <c r="AJ127" s="1405"/>
      <c r="AK127" s="1405"/>
      <c r="AL127" s="1405"/>
      <c r="AM127" s="1405"/>
      <c r="AN127" s="1405"/>
      <c r="AO127" s="1405"/>
      <c r="AP127" s="1405"/>
      <c r="AQ127" s="1405"/>
      <c r="AR127" s="1613">
        <v>0</v>
      </c>
    </row>
    <row s="7809" customFormat="1" customHeight="1" ht="17.25" hidden="1">
      <c r="A128" s="467"/>
      <c r="C128" s="466"/>
      <c r="D128" s="2295"/>
      <c r="E128" s="2303"/>
      <c r="F128" s="2305"/>
      <c r="G128" s="2303"/>
      <c r="H128" s="2308"/>
      <c r="I128" s="2310"/>
      <c r="J128" s="2313"/>
      <c r="K128" s="2297"/>
      <c r="L128" s="2297"/>
      <c r="M128" s="2297"/>
      <c r="N128" s="2300"/>
      <c r="O128" s="2297"/>
      <c r="P128" s="1617"/>
      <c r="Q128" s="1443"/>
      <c r="R128" s="1443"/>
      <c r="S128" s="475"/>
      <c r="T128" s="475"/>
      <c r="U128" s="475"/>
      <c r="V128" s="475"/>
      <c r="W128" s="1444"/>
      <c r="X128" s="1405"/>
      <c r="Y128" s="1405"/>
      <c r="Z128" s="1405"/>
      <c r="AA128" s="1405"/>
      <c r="AB128" s="1405"/>
      <c r="AC128" s="1405"/>
      <c r="AD128" s="1405"/>
      <c r="AE128" s="1405"/>
      <c r="AF128" s="1405"/>
      <c r="AG128" s="1405"/>
      <c r="AH128" s="1405"/>
      <c r="AI128" s="1405"/>
      <c r="AJ128" s="1405"/>
      <c r="AK128" s="1405"/>
      <c r="AL128" s="1405"/>
      <c r="AM128" s="1405"/>
      <c r="AN128" s="1405"/>
      <c r="AO128" s="1405"/>
      <c r="AP128" s="1405"/>
      <c r="AQ128" s="1405"/>
      <c r="AR128" s="1613">
        <v>0</v>
      </c>
    </row>
    <row s="7809" customFormat="1" customHeight="1" ht="17.25" hidden="1">
      <c r="A129" s="467"/>
      <c r="C129" s="466"/>
      <c r="D129" s="2295"/>
      <c r="E129" s="2303"/>
      <c r="F129" s="2305"/>
      <c r="G129" s="2303"/>
      <c r="H129" s="2308"/>
      <c r="I129" s="2310"/>
      <c r="J129" s="2313"/>
      <c r="K129" s="2297"/>
      <c r="L129" s="1443"/>
      <c r="M129" s="1443"/>
      <c r="N129" s="1443"/>
      <c r="O129" s="1443"/>
      <c r="P129" s="1443"/>
      <c r="Q129" s="1443"/>
      <c r="R129" s="1443"/>
      <c r="S129" s="475"/>
      <c r="T129" s="475"/>
      <c r="U129" s="475"/>
      <c r="V129" s="475"/>
      <c r="W129" s="1444"/>
      <c r="X129" s="1405"/>
      <c r="Y129" s="1405"/>
      <c r="Z129" s="1405"/>
      <c r="AA129" s="1405"/>
      <c r="AB129" s="1405"/>
      <c r="AC129" s="1405"/>
      <c r="AD129" s="1405"/>
      <c r="AE129" s="1405"/>
      <c r="AF129" s="1405"/>
      <c r="AG129" s="1405"/>
      <c r="AH129" s="1405"/>
      <c r="AI129" s="1405"/>
      <c r="AJ129" s="1405"/>
      <c r="AK129" s="1405"/>
      <c r="AL129" s="1405"/>
      <c r="AM129" s="1405"/>
      <c r="AN129" s="1405"/>
      <c r="AO129" s="1405"/>
      <c r="AP129" s="1405"/>
      <c r="AQ129" s="1405"/>
      <c r="AR129" s="1613">
        <v>0</v>
      </c>
    </row>
    <row s="7809" customFormat="1" customHeight="1" ht="17.25" hidden="1">
      <c r="A130" s="467"/>
      <c r="C130" s="466"/>
      <c r="D130" s="2295"/>
      <c r="E130" s="2303"/>
      <c r="F130" s="2306"/>
      <c r="G130" s="2303"/>
      <c r="H130" s="1445"/>
      <c r="I130" s="1446"/>
      <c r="J130" s="1446"/>
      <c r="K130" s="1446"/>
      <c r="L130" s="1446"/>
      <c r="M130" s="1446"/>
      <c r="N130" s="1446"/>
      <c r="O130" s="1446"/>
      <c r="P130" s="1446"/>
      <c r="Q130" s="1446"/>
      <c r="R130" s="1446"/>
      <c r="S130" s="1447"/>
      <c r="T130" s="1447"/>
      <c r="U130" s="1447"/>
      <c r="V130" s="1447"/>
      <c r="W130" s="1448"/>
      <c r="X130" s="1405"/>
      <c r="Y130" s="1405"/>
      <c r="Z130" s="1405"/>
      <c r="AA130" s="1405"/>
      <c r="AB130" s="1405"/>
      <c r="AC130" s="1405"/>
      <c r="AD130" s="1405"/>
      <c r="AE130" s="1405"/>
      <c r="AF130" s="1405"/>
      <c r="AG130" s="1405"/>
      <c r="AH130" s="1405"/>
      <c r="AI130" s="1405"/>
      <c r="AJ130" s="1405"/>
      <c r="AK130" s="1405"/>
      <c r="AL130" s="1405"/>
      <c r="AM130" s="1405"/>
      <c r="AN130" s="1405"/>
      <c r="AO130" s="1405"/>
      <c r="AP130" s="1405"/>
      <c r="AQ130" s="1405"/>
      <c r="AR130" s="1613">
        <v>0</v>
      </c>
    </row>
    <row s="7809" customFormat="1" customHeight="1" ht="17.25" hidden="1">
      <c r="A131" s="467"/>
      <c r="C131" s="355"/>
      <c r="D131" s="2294">
        <v>3</v>
      </c>
      <c r="E131" s="2302" t="s">
        <v>296</v>
      </c>
      <c r="F131" s="2304" t="s">
        <v>19</v>
      </c>
      <c r="G131" s="2302"/>
      <c r="H131" s="2307"/>
      <c r="I131" s="2309"/>
      <c r="J131" s="2311"/>
      <c r="K131" s="2296"/>
      <c r="L131" s="2296"/>
      <c r="M131" s="2296"/>
      <c r="N131" s="2298"/>
      <c r="O131" s="2296"/>
      <c r="P131" s="2296"/>
      <c r="Q131" s="2296"/>
      <c r="R131" s="2301"/>
      <c r="S131" s="2296"/>
      <c r="T131" s="2086"/>
      <c r="U131" s="2086"/>
      <c r="V131" s="2088"/>
      <c r="W131" s="1442"/>
      <c r="X131" s="1413"/>
      <c r="Y131" s="1413"/>
      <c r="Z131" s="1413"/>
      <c r="AA131" s="1413"/>
      <c r="AB131" s="1413"/>
      <c r="AC131" s="1413" t="s">
        <v>297</v>
      </c>
      <c r="AD131" s="1413" t="s">
        <v>298</v>
      </c>
      <c r="AE131" s="1413" t="s">
        <v>299</v>
      </c>
      <c r="AF131" s="1413" t="s">
        <v>300</v>
      </c>
      <c r="AG131" s="1413"/>
      <c r="AH131" s="1413" t="str">
        <f>IF($E$131=0,"",$E$131)</f>
        <v>Тариф на подключение (технологическое присоединение) к централизованной системе водоотведения</v>
      </c>
      <c r="AI131" s="1413" t="str">
        <f>IF($G$131=0,"",$G$131)</f>
        <v/>
      </c>
      <c r="AJ131" s="1413" t="str">
        <f>IF($J$131=0,"",$J$131)</f>
        <v/>
      </c>
      <c r="AK131" s="1413" t="str">
        <f>IF($K$131="нет","без дифференциации",IF($N$131=0,"",$N$131))</f>
        <v/>
      </c>
      <c r="AL131" s="1413" t="str">
        <f>IF($O$131="нет","без дифференциации",IF($R$131=0,"",$R$131))</f>
        <v/>
      </c>
      <c r="AM131" s="1413" t="str">
        <f>IF($S$131="нет","без дифференциации",IF($V$131=0,"",$V$131))</f>
        <v/>
      </c>
      <c r="AN131" s="1917">
        <f>$I$131</f>
        <v>0</v>
      </c>
      <c r="AO131" s="1413" t="str">
        <f>$I$131&amp;"."&amp;$M$131</f>
        <v>.</v>
      </c>
      <c r="AP131" s="1412" t="str">
        <f>$I$131&amp;"."&amp;$M$131&amp;"."&amp;$Q$131</f>
        <v>..</v>
      </c>
      <c r="AQ131" s="1412" t="str">
        <f>$I$131&amp;"."&amp;$M$131&amp;"."&amp;$Q$131&amp;"."&amp;$U$131</f>
        <v>...</v>
      </c>
      <c r="AR131" s="1613">
        <v>0</v>
      </c>
    </row>
    <row s="7809" customFormat="1" customHeight="1" ht="17.25" hidden="1">
      <c r="A132" s="467"/>
      <c r="C132" s="466"/>
      <c r="D132" s="2294"/>
      <c r="E132" s="2302"/>
      <c r="F132" s="2305"/>
      <c r="G132" s="2302"/>
      <c r="H132" s="2308"/>
      <c r="I132" s="2310"/>
      <c r="J132" s="2312"/>
      <c r="K132" s="2297"/>
      <c r="L132" s="2297"/>
      <c r="M132" s="2297"/>
      <c r="N132" s="2299"/>
      <c r="O132" s="2297"/>
      <c r="P132" s="2297"/>
      <c r="Q132" s="2297"/>
      <c r="R132" s="2300"/>
      <c r="S132" s="2297"/>
      <c r="T132" s="2091"/>
      <c r="U132" s="2091"/>
      <c r="V132" s="2091"/>
      <c r="W132" s="2092"/>
      <c r="X132" s="1412"/>
      <c r="Y132" s="1412"/>
      <c r="Z132" s="1412"/>
      <c r="AA132" s="1412"/>
      <c r="AB132" s="1412"/>
      <c r="AC132" s="1412"/>
      <c r="AD132" s="1412"/>
      <c r="AE132" s="1412"/>
      <c r="AF132" s="1412"/>
      <c r="AG132" s="1412"/>
      <c r="AH132" s="1412"/>
      <c r="AI132" s="1412"/>
      <c r="AJ132" s="1412"/>
      <c r="AK132" s="1412"/>
      <c r="AL132" s="1412"/>
      <c r="AM132" s="1412"/>
      <c r="AN132" s="1412"/>
      <c r="AO132" s="1412"/>
      <c r="AP132" s="1412"/>
      <c r="AQ132" s="1412"/>
      <c r="AR132" s="1613">
        <v>0</v>
      </c>
    </row>
    <row s="7809" customFormat="1" customHeight="1" ht="17.25" hidden="1">
      <c r="A133" s="467"/>
      <c r="C133" s="466"/>
      <c r="D133" s="2295"/>
      <c r="E133" s="2303"/>
      <c r="F133" s="2305"/>
      <c r="G133" s="2303"/>
      <c r="H133" s="2308"/>
      <c r="I133" s="2310"/>
      <c r="J133" s="2313"/>
      <c r="K133" s="2297"/>
      <c r="L133" s="2297"/>
      <c r="M133" s="2297"/>
      <c r="N133" s="2300"/>
      <c r="O133" s="2297"/>
      <c r="P133" s="2087"/>
      <c r="Q133" s="2091"/>
      <c r="R133" s="2091"/>
      <c r="S133" s="475"/>
      <c r="T133" s="475"/>
      <c r="U133" s="475"/>
      <c r="V133" s="475"/>
      <c r="W133" s="2092"/>
      <c r="X133" s="1412"/>
      <c r="Y133" s="1412"/>
      <c r="Z133" s="1412"/>
      <c r="AA133" s="1412"/>
      <c r="AB133" s="1412"/>
      <c r="AC133" s="1412"/>
      <c r="AD133" s="1412"/>
      <c r="AE133" s="1412"/>
      <c r="AF133" s="1412"/>
      <c r="AG133" s="1412"/>
      <c r="AH133" s="1412"/>
      <c r="AI133" s="1412"/>
      <c r="AJ133" s="1412"/>
      <c r="AK133" s="1412"/>
      <c r="AL133" s="1412"/>
      <c r="AM133" s="1412"/>
      <c r="AN133" s="1412"/>
      <c r="AO133" s="1412"/>
      <c r="AP133" s="1412"/>
      <c r="AQ133" s="1412"/>
      <c r="AR133" s="1613">
        <v>0</v>
      </c>
    </row>
    <row s="7809" customFormat="1" customHeight="1" ht="17.25" hidden="1">
      <c r="A134" s="467"/>
      <c r="C134" s="466"/>
      <c r="D134" s="2295"/>
      <c r="E134" s="2303"/>
      <c r="F134" s="2305"/>
      <c r="G134" s="2303"/>
      <c r="H134" s="2308"/>
      <c r="I134" s="2310"/>
      <c r="J134" s="2313"/>
      <c r="K134" s="2297"/>
      <c r="L134" s="2091"/>
      <c r="M134" s="2091"/>
      <c r="N134" s="2091"/>
      <c r="O134" s="2091"/>
      <c r="P134" s="2091"/>
      <c r="Q134" s="2091"/>
      <c r="R134" s="2091"/>
      <c r="S134" s="475"/>
      <c r="T134" s="475"/>
      <c r="U134" s="475"/>
      <c r="V134" s="475"/>
      <c r="W134" s="2092"/>
      <c r="X134" s="1412"/>
      <c r="Y134" s="1412"/>
      <c r="Z134" s="1412"/>
      <c r="AA134" s="1412"/>
      <c r="AB134" s="1412"/>
      <c r="AC134" s="1412"/>
      <c r="AD134" s="1412"/>
      <c r="AE134" s="1412"/>
      <c r="AF134" s="1412"/>
      <c r="AG134" s="1412"/>
      <c r="AH134" s="1412"/>
      <c r="AI134" s="1412"/>
      <c r="AJ134" s="1412"/>
      <c r="AK134" s="1412"/>
      <c r="AL134" s="1412"/>
      <c r="AM134" s="1412"/>
      <c r="AN134" s="1412"/>
      <c r="AO134" s="1412"/>
      <c r="AP134" s="1412"/>
      <c r="AQ134" s="1412"/>
      <c r="AR134" s="1613">
        <v>0</v>
      </c>
    </row>
    <row s="7809" customFormat="1" customHeight="1" ht="17.25" hidden="1">
      <c r="A135" s="467"/>
      <c r="C135" s="466"/>
      <c r="D135" s="2295"/>
      <c r="E135" s="2303"/>
      <c r="F135" s="2306"/>
      <c r="G135" s="2303"/>
      <c r="H135" s="1445"/>
      <c r="I135" s="2089"/>
      <c r="J135" s="2089"/>
      <c r="K135" s="2089"/>
      <c r="L135" s="2089"/>
      <c r="M135" s="2089"/>
      <c r="N135" s="2089"/>
      <c r="O135" s="2089"/>
      <c r="P135" s="2089"/>
      <c r="Q135" s="2089"/>
      <c r="R135" s="2089"/>
      <c r="S135" s="1447"/>
      <c r="T135" s="1447"/>
      <c r="U135" s="1447"/>
      <c r="V135" s="1447"/>
      <c r="W135" s="2090"/>
      <c r="X135" s="1412"/>
      <c r="Y135" s="1412"/>
      <c r="Z135" s="1412"/>
      <c r="AA135" s="1412"/>
      <c r="AB135" s="1412"/>
      <c r="AC135" s="1412"/>
      <c r="AD135" s="1412"/>
      <c r="AE135" s="1412"/>
      <c r="AF135" s="1412"/>
      <c r="AG135" s="1412"/>
      <c r="AH135" s="1412"/>
      <c r="AI135" s="1412"/>
      <c r="AJ135" s="1412"/>
      <c r="AK135" s="1412"/>
      <c r="AL135" s="1412"/>
      <c r="AM135" s="1412"/>
      <c r="AN135" s="1412"/>
      <c r="AO135" s="1412"/>
      <c r="AP135" s="1412"/>
      <c r="AQ135" s="1412"/>
      <c r="AR135" s="1613">
        <v>0</v>
      </c>
    </row>
    <row customHeight="1" ht="11.549999999999999">
      <c r="AR136" s="250">
        <v>11</v>
      </c>
    </row>
    <row customHeight="1" ht="11.549999999999999">
      <c r="AR137" s="250">
        <v>11</v>
      </c>
    </row>
    <row customHeight="1" ht="11.549999999999999">
      <c r="AR138" s="250">
        <v>11</v>
      </c>
    </row>
    <row customHeight="1" ht="11.549999999999999">
      <c r="E139" s="1496"/>
      <c r="AR139" s="250">
        <v>11</v>
      </c>
    </row>
    <row customHeight="1" ht="11.549999999999999">
      <c r="E140" s="1496"/>
      <c r="AR140" s="250">
        <v>11</v>
      </c>
    </row>
    <row customHeight="1" ht="11.549999999999999">
      <c r="E141" s="1496"/>
      <c r="AR141" s="250">
        <v>11</v>
      </c>
    </row>
    <row customHeight="1" ht="11.549999999999999">
      <c r="E142" s="1496"/>
      <c r="AR142" s="250">
        <v>11</v>
      </c>
    </row>
    <row customHeight="1" ht="11.549999999999999">
      <c r="E143" s="1496"/>
      <c r="AR143" s="250">
        <v>11</v>
      </c>
    </row>
    <row customHeight="1" ht="11.549999999999999">
      <c r="E144" s="1496"/>
      <c r="AR144" s="250">
        <v>11</v>
      </c>
    </row>
    <row customHeight="1" ht="11.549999999999999">
      <c r="E145" s="1496"/>
      <c r="AR145" s="250">
        <v>11</v>
      </c>
    </row>
    <row customHeight="1" ht="11.25" hidden="1">
      <c r="A146" s="299" t="s">
        <v>83</v>
      </c>
      <c r="B146" s="299">
        <v>0</v>
      </c>
      <c r="C146" s="250">
        <v>3</v>
      </c>
      <c r="D146" s="250">
        <v>6</v>
      </c>
      <c r="E146" s="250">
        <v>42</v>
      </c>
      <c r="F146" s="1429">
        <v>14</v>
      </c>
      <c r="G146" s="250">
        <v>42</v>
      </c>
      <c r="H146" s="250">
        <v>3</v>
      </c>
      <c r="I146" s="250">
        <v>5</v>
      </c>
      <c r="J146" s="250">
        <v>47</v>
      </c>
      <c r="K146" s="250">
        <v>3</v>
      </c>
      <c r="L146" s="250">
        <v>3</v>
      </c>
      <c r="M146" s="250">
        <v>5</v>
      </c>
      <c r="N146" s="250">
        <v>28</v>
      </c>
      <c r="O146" s="250">
        <v>3</v>
      </c>
      <c r="P146" s="250">
        <v>3</v>
      </c>
      <c r="Q146" s="250">
        <v>5</v>
      </c>
      <c r="R146" s="250">
        <v>34</v>
      </c>
      <c r="S146" s="428">
        <v>0</v>
      </c>
      <c r="T146" s="428">
        <v>0</v>
      </c>
      <c r="U146" s="428">
        <v>0</v>
      </c>
      <c r="V146" s="428">
        <v>0</v>
      </c>
      <c r="W146" s="250">
        <v>30</v>
      </c>
      <c r="X146" s="250">
        <v>3</v>
      </c>
      <c r="Y146" s="1405">
        <v>0</v>
      </c>
      <c r="Z146" s="1405">
        <v>0</v>
      </c>
      <c r="AA146" s="1405">
        <v>0</v>
      </c>
      <c r="AB146" s="1405">
        <v>0</v>
      </c>
      <c r="AC146" s="1405">
        <v>0</v>
      </c>
      <c r="AD146" s="1405">
        <v>0</v>
      </c>
      <c r="AE146" s="1405">
        <v>0</v>
      </c>
      <c r="AF146" s="1405">
        <v>0</v>
      </c>
      <c r="AG146" s="1405">
        <v>0</v>
      </c>
      <c r="AH146" s="1405">
        <v>0</v>
      </c>
      <c r="AI146" s="1405">
        <v>0</v>
      </c>
      <c r="AJ146" s="1405">
        <v>0</v>
      </c>
      <c r="AK146" s="1405">
        <v>0</v>
      </c>
      <c r="AL146" s="1405">
        <v>0</v>
      </c>
      <c r="AM146" s="1405">
        <v>0</v>
      </c>
      <c r="AN146" s="1405">
        <v>0</v>
      </c>
      <c r="AO146" s="1405">
        <v>0</v>
      </c>
      <c r="AP146" s="1405">
        <v>0</v>
      </c>
      <c r="AQ146" s="1405">
        <v>0</v>
      </c>
      <c r="AR146" s="250">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C6D669-C1CC-555D-1354-0.6730735}" mc:Ignorable="x14ac xr xr2 xr3">
  <sheetPr>
    <tabColor theme="2" tint="-0.1"/>
  </sheetPr>
  <dimension ref="A1:AF30"/>
  <sheetViews>
    <sheetView topLeftCell="A1" showGridLines="0" zoomScale="90" workbookViewId="0">
      <selection activeCell="S8" sqref="S8"/>
    </sheetView>
  </sheetViews>
  <sheetFormatPr defaultColWidth="10.57421875" customHeight="1" defaultRowHeight="15"/>
  <cols>
    <col min="1" max="1" style="7486" width="9.140625" hidden="1" customWidth="1"/>
    <col min="2" max="2" style="7235" width="9.140625" hidden="1" customWidth="1"/>
    <col min="3" max="3" style="7143" width="4.00390625" customWidth="1"/>
    <col min="4" max="4" style="7235" width="6.00390625" customWidth="1"/>
    <col min="5" max="5" style="7235" width="47.00390625" customWidth="1"/>
    <col min="6" max="6" style="7235" width="9.00390625" customWidth="1"/>
    <col min="7" max="7" style="7235" width="25.7109375" hidden="1" customWidth="1"/>
    <col min="8" max="8" style="7235" width="34.00390625" hidden="1" customWidth="1"/>
    <col min="9" max="9" style="7235" width="25.7109375" customWidth="1"/>
    <col min="10" max="10" style="7235" width="33.00390625" customWidth="1"/>
    <col min="11" max="11" style="7235" width="25.7109375" customWidth="1"/>
    <col min="12" max="12" style="7235" width="34.00390625" customWidth="1"/>
    <col min="13" max="13" style="7235" width="25.7109375" customWidth="1"/>
    <col min="14" max="14" style="7235" width="34.00390625" customWidth="1"/>
    <col min="15" max="15" style="7235" width="25.7109375" customWidth="1"/>
    <col min="16" max="16" style="7235" width="34.00390625" customWidth="1"/>
    <col min="17" max="17" style="7235" width="25.7109375" customWidth="1"/>
    <col min="18" max="18" style="7235" width="34.00390625" customWidth="1"/>
    <col min="19" max="19" style="7235" width="25.7109375" customWidth="1"/>
    <col min="20" max="20" style="7235" width="34.00390625" customWidth="1"/>
    <col min="21" max="21" style="7180" width="50.00390625" customWidth="1"/>
    <col min="22" max="30" style="7235" width="10.00390625" customWidth="1"/>
    <col min="31" max="31" style="7271" width="10.00390625" customWidth="1"/>
    <col min="32" max="32" style="7235" width="10.57421875" hidden="1"/>
  </cols>
  <sheetData>
    <row s="7180" customFormat="1" customHeight="1" ht="22.5" hidden="1">
      <c r="C1" s="818"/>
      <c r="G1" s="563">
        <v>4</v>
      </c>
      <c r="I1" s="563">
        <v>4</v>
      </c>
      <c r="K1" s="7180">
        <v>4</v>
      </c>
      <c r="L1" s="7180"/>
      <c r="M1" s="7180">
        <v>4</v>
      </c>
      <c r="N1" s="7180"/>
      <c r="O1" s="7180">
        <v>4</v>
      </c>
      <c r="P1" s="7180"/>
      <c r="Q1" s="7180">
        <v>4</v>
      </c>
      <c r="R1" s="7180"/>
      <c r="S1" s="7180">
        <v>4</v>
      </c>
      <c r="T1" s="7180"/>
      <c r="AE1" s="566"/>
      <c r="AF1" s="563" t="s">
        <v>14</v>
      </c>
    </row>
    <row s="7235" customFormat="1" customHeight="1" ht="15" hidden="1">
      <c r="A2" s="508"/>
      <c r="C2" s="322"/>
      <c r="D2" s="492"/>
      <c r="E2" s="819"/>
      <c r="F2" s="668"/>
      <c r="G2" s="762"/>
      <c r="H2" s="762"/>
      <c r="I2" s="762"/>
      <c r="J2" s="762"/>
      <c r="K2" s="6717"/>
      <c r="L2" s="6717"/>
      <c r="M2" s="6717"/>
      <c r="N2" s="6717"/>
      <c r="O2" s="6717"/>
      <c r="P2" s="6717"/>
      <c r="Q2" s="6717"/>
      <c r="R2" s="6717"/>
      <c r="S2" s="6717"/>
      <c r="T2" s="6717"/>
      <c r="AE2" s="820"/>
      <c r="AF2" s="655">
        <v>0</v>
      </c>
    </row>
    <row s="7180" customFormat="1" customHeight="1" ht="15" hidden="1">
      <c r="C3" s="818"/>
      <c r="K3" s="7180"/>
      <c r="L3" s="7180"/>
      <c r="M3" s="7180"/>
      <c r="N3" s="7180"/>
      <c r="O3" s="7180"/>
      <c r="P3" s="7180"/>
      <c r="Q3" s="7180"/>
      <c r="R3" s="7180"/>
      <c r="S3" s="7180"/>
      <c r="T3" s="7180"/>
      <c r="AE3" s="566"/>
      <c r="AF3" s="563">
        <v>0</v>
      </c>
    </row>
    <row customHeight="1" ht="15.75">
      <c r="C4" s="322"/>
      <c r="D4" s="655"/>
      <c r="E4" s="655"/>
      <c r="F4" s="655"/>
      <c r="G4" s="655"/>
      <c r="H4" s="655"/>
      <c r="I4" s="655"/>
      <c r="J4" s="655"/>
      <c r="K4" s="7235"/>
      <c r="L4" s="7235"/>
      <c r="M4" s="7235"/>
      <c r="N4" s="7235"/>
      <c r="O4" s="7235"/>
      <c r="P4" s="7235"/>
      <c r="Q4" s="7235"/>
      <c r="R4" s="7235"/>
      <c r="S4" s="7235"/>
      <c r="T4" s="7235"/>
      <c r="AF4" s="651">
        <v>15</v>
      </c>
    </row>
    <row customHeight="1" ht="66">
      <c r="C5" s="322"/>
      <c r="D5" s="2396" t="s">
        <v>1505</v>
      </c>
      <c r="E5" s="2396"/>
      <c r="F5" s="2396"/>
      <c r="G5" s="2396"/>
      <c r="H5" s="2396"/>
      <c r="I5" s="2396"/>
      <c r="J5" s="2396"/>
      <c r="K5" s="6202"/>
      <c r="L5" s="6202"/>
      <c r="M5" s="6202"/>
      <c r="N5" s="6202"/>
      <c r="O5" s="6202"/>
      <c r="P5" s="6202"/>
      <c r="Q5" s="6202"/>
      <c r="R5" s="6202"/>
      <c r="S5" s="6202"/>
      <c r="T5" s="6202"/>
      <c r="AF5" s="651">
        <v>63</v>
      </c>
    </row>
    <row customHeight="1" ht="15.75">
      <c r="C6" s="322"/>
      <c r="D6" s="2335" t="str">
        <f>IF(org=0,"Не определено",org)</f>
        <v>ПАО "ТГК-14"</v>
      </c>
      <c r="E6" s="2335"/>
      <c r="F6" s="2335"/>
      <c r="G6" s="2335"/>
      <c r="H6" s="2335"/>
      <c r="I6" s="2335"/>
      <c r="J6" s="2335"/>
      <c r="K6" s="6204"/>
      <c r="L6" s="6204"/>
      <c r="M6" s="6204"/>
      <c r="N6" s="6204"/>
      <c r="O6" s="6204"/>
      <c r="P6" s="6204"/>
      <c r="Q6" s="6204"/>
      <c r="R6" s="6204"/>
      <c r="S6" s="6204"/>
      <c r="T6" s="6204"/>
      <c r="U6" s="683"/>
      <c r="AF6" s="651">
        <v>15</v>
      </c>
    </row>
    <row customHeight="1" ht="15.75">
      <c r="C7" s="322"/>
      <c r="D7" s="898"/>
      <c r="E7" s="655"/>
      <c r="F7" s="655"/>
      <c r="G7" s="683">
        <v>22</v>
      </c>
      <c r="I7" s="683">
        <v>1</v>
      </c>
      <c r="J7" s="898"/>
      <c r="K7" s="7180" t="s">
        <v>22</v>
      </c>
      <c r="L7" s="7235"/>
      <c r="M7" s="7180" t="s">
        <v>22</v>
      </c>
      <c r="N7" s="7235"/>
      <c r="O7" s="7180" t="s">
        <v>22</v>
      </c>
      <c r="P7" s="7235"/>
      <c r="Q7" s="7180" t="s">
        <v>22</v>
      </c>
      <c r="R7" s="7235"/>
      <c r="S7" s="7180" t="s">
        <v>22</v>
      </c>
      <c r="T7" s="7235"/>
      <c r="AF7" s="651">
        <v>15</v>
      </c>
    </row>
    <row s="7235" customFormat="1" customHeight="1" ht="1.05">
      <c r="A8" s="905"/>
      <c r="C8" s="322"/>
      <c r="D8" s="655"/>
      <c r="E8" s="655"/>
      <c r="F8" s="655"/>
      <c r="G8" s="683"/>
      <c r="H8" s="898"/>
      <c r="I8" s="683" t="s">
        <v>129</v>
      </c>
      <c r="J8" s="898"/>
      <c r="K8" s="7180" t="s">
        <v>137</v>
      </c>
      <c r="L8" s="5907"/>
      <c r="M8" s="7180" t="s">
        <v>139</v>
      </c>
      <c r="N8" s="5907"/>
      <c r="O8" s="7180" t="s">
        <v>143</v>
      </c>
      <c r="P8" s="5907"/>
      <c r="Q8" s="7180" t="s">
        <v>134</v>
      </c>
      <c r="R8" s="5907"/>
      <c r="S8" s="7180" t="s">
        <v>141</v>
      </c>
      <c r="T8" s="5907"/>
      <c r="U8" s="563"/>
      <c r="AE8" s="821"/>
      <c r="AF8" s="904">
        <v>1</v>
      </c>
    </row>
    <row customHeight="1" ht="15.75">
      <c r="C9" s="322"/>
      <c r="D9" s="857"/>
      <c r="E9" s="2526" t="s">
        <v>117</v>
      </c>
      <c r="F9" s="2527"/>
      <c r="G9" s="2554" t="str">
        <f>IF(G8="","",INDEX(DIFFERENTIATION_UNMERGE_VD,MATCH(G8,DIFFERENTIATION_ID_DIFF,0)))</f>
        <v/>
      </c>
      <c r="H9" s="2555"/>
      <c r="I9" s="2554"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J9" s="2555"/>
      <c r="K9" s="7145" t="str">
        <f>IF(K8="","",INDEX(DIFFERENTIATION_UNMERGE_VD,MATCH(K8,DIFFERENTIATION_ID_DIFF,0)))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9" s="6941"/>
      <c r="M9" s="7145" t="str">
        <f>IF(M8="","",INDEX(DIFFERENTIATION_UNMERGE_VD,MATCH(M8,DIFFERENTIATION_ID_DIFF,0)))</f>
        <v>Производство. Теплоноситель</v>
      </c>
      <c r="N9" s="6941"/>
      <c r="O9" s="7145" t="str">
        <f>IF(O8="","",INDEX(DIFFERENTIATION_UNMERGE_VD,MATCH(O8,DIFFERENTIATION_ID_DIFF,0)))</f>
        <v>Производство тепловой энергии. Некомбинированная выработка; Передача. Тепловая энергия; Сбыт. Тепловая энергия</v>
      </c>
      <c r="P9" s="6941"/>
      <c r="Q9" s="7145" t="str">
        <f>IF(Q8="","",INDEX(DIFFERENTIATION_UNMERGE_VD,MATCH(Q8,DIFFERENTIATION_ID_DIFF,0)))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R9" s="6941"/>
      <c r="S9" s="7145" t="str">
        <f>IF(S8="","",INDEX(DIFFERENTIATION_UNMERGE_VD,MATCH(S8,DIFFERENTIATION_ID_DIFF,0)))</f>
        <v>Производство. Теплоноситель</v>
      </c>
      <c r="T9" s="6941"/>
      <c r="U9" s="2334" t="s">
        <v>323</v>
      </c>
      <c r="AF9" s="651">
        <v>15</v>
      </c>
    </row>
    <row s="7235" customFormat="1" customHeight="1" ht="15.75">
      <c r="A10" s="905"/>
      <c r="C10" s="322"/>
      <c r="D10" s="857"/>
      <c r="E10" s="2526" t="s">
        <v>586</v>
      </c>
      <c r="F10" s="2527"/>
      <c r="G10" s="2554" t="str">
        <f>IF(G8="","",INDEX(DIFFERENTIATION_UNMERGE_AREA,MATCH(G8,DIFFERENTIATION_ID_DIFF,0)))</f>
        <v/>
      </c>
      <c r="H10" s="2555"/>
      <c r="I10" s="2554" t="str">
        <f>IF(I8="","",INDEX(DIFFERENTIATION_UNMERGE_AREA,MATCH(I8,DIFFERENTIATION_ID_DIFF,0)))</f>
        <v>Территория 1</v>
      </c>
      <c r="J10" s="2555"/>
      <c r="K10" s="7145" t="str">
        <f>IF(K8="","",INDEX(DIFFERENTIATION_UNMERGE_AREA,MATCH(K8,DIFFERENTIATION_ID_DIFF,0)))</f>
        <v>Территория 3</v>
      </c>
      <c r="L10" s="6941"/>
      <c r="M10" s="7145" t="str">
        <f>IF(M8="","",INDEX(DIFFERENTIATION_UNMERGE_AREA,MATCH(M8,DIFFERENTIATION_ID_DIFF,0)))</f>
        <v>Территория 1</v>
      </c>
      <c r="N10" s="6941"/>
      <c r="O10" s="7145" t="str">
        <f>IF(O8="","",INDEX(DIFFERENTIATION_UNMERGE_AREA,MATCH(O8,DIFFERENTIATION_ID_DIFF,0)))</f>
        <v>Территория 3</v>
      </c>
      <c r="P10" s="6941"/>
      <c r="Q10" s="7145" t="str">
        <f>IF(Q8="","",INDEX(DIFFERENTIATION_UNMERGE_AREA,MATCH(Q8,DIFFERENTIATION_ID_DIFF,0)))</f>
        <v>Территория 2</v>
      </c>
      <c r="R10" s="6941"/>
      <c r="S10" s="7145" t="str">
        <f>IF(S8="","",INDEX(DIFFERENTIATION_UNMERGE_AREA,MATCH(S8,DIFFERENTIATION_ID_DIFF,0)))</f>
        <v>Территория 2</v>
      </c>
      <c r="T10" s="6941"/>
      <c r="U10" s="2358"/>
      <c r="AE10" s="821"/>
      <c r="AF10" s="904">
        <v>15</v>
      </c>
    </row>
    <row s="7235" customFormat="1" customHeight="1" ht="15.75">
      <c r="A11" s="905"/>
      <c r="C11" s="322"/>
      <c r="D11" s="857"/>
      <c r="E11" s="2526" t="s">
        <v>587</v>
      </c>
      <c r="F11" s="2527"/>
      <c r="G11" s="2554" t="str">
        <f>IF(G8="","",INDEX(DIFFERENTIATION_UNMERGE_SYSTEM,MATCH(G8,DIFFERENTIATION_ID_DIFF,0)))</f>
        <v/>
      </c>
      <c r="H11" s="2555"/>
      <c r="I11" s="2554" t="str">
        <f>IF(I8="","",INDEX(DIFFERENTIATION_UNMERGE_SYSTEM,MATCH(I8,DIFFERENTIATION_ID_DIFF,0)))</f>
        <v>Шерловогорская ТЭЦ</v>
      </c>
      <c r="J11" s="2555"/>
      <c r="K11" s="7145" t="str">
        <f>IF(K8="","",INDEX(DIFFERENTIATION_UNMERGE_SYSTEM,MATCH(K8,DIFFERENTIATION_ID_DIFF,0)))</f>
        <v>ЦТС г. Чита (ЧТЭЦ-1, ЧТЭЦ-2)</v>
      </c>
      <c r="L11" s="6941"/>
      <c r="M11" s="7145" t="str">
        <f>IF(M8="","",INDEX(DIFFERENTIATION_UNMERGE_SYSTEM,MATCH(M8,DIFFERENTIATION_ID_DIFF,0)))</f>
        <v>Шерловогорская ТЭЦ</v>
      </c>
      <c r="N11" s="6941"/>
      <c r="O11" s="7145" t="str">
        <f>IF(O8="","",INDEX(DIFFERENTIATION_UNMERGE_SYSTEM,MATCH(O8,DIFFERENTIATION_ID_DIFF,0)))</f>
        <v>Котельные г. Чита</v>
      </c>
      <c r="P11" s="6941"/>
      <c r="Q11" s="7145" t="str">
        <f>IF(Q8="","",INDEX(DIFFERENTIATION_UNMERGE_SYSTEM,MATCH(Q8,DIFFERENTIATION_ID_DIFF,0)))</f>
        <v>Приаргунская ТЭЦ</v>
      </c>
      <c r="R11" s="6941"/>
      <c r="S11" s="7145" t="str">
        <f>IF(S8="","",INDEX(DIFFERENTIATION_UNMERGE_SYSTEM,MATCH(S8,DIFFERENTIATION_ID_DIFF,0)))</f>
        <v>Приаргунская ТЭЦ</v>
      </c>
      <c r="T11" s="6941"/>
      <c r="U11" s="2358"/>
      <c r="AE11" s="821"/>
      <c r="AF11" s="904">
        <v>15</v>
      </c>
    </row>
    <row s="7235" customFormat="1" customHeight="1" ht="15.75">
      <c r="A12" s="905"/>
      <c r="C12" s="322"/>
      <c r="D12" s="2528" t="s">
        <v>322</v>
      </c>
      <c r="E12" s="2529"/>
      <c r="F12" s="2529"/>
      <c r="G12" s="1033"/>
      <c r="H12" s="1033"/>
      <c r="I12" s="1033"/>
      <c r="J12" s="1033"/>
      <c r="K12" s="6942"/>
      <c r="L12" s="6942"/>
      <c r="M12" s="6942"/>
      <c r="N12" s="6942"/>
      <c r="O12" s="6942"/>
      <c r="P12" s="6942"/>
      <c r="Q12" s="6942"/>
      <c r="R12" s="6942"/>
      <c r="S12" s="6942"/>
      <c r="T12" s="6942"/>
      <c r="U12" s="2358"/>
      <c r="AE12" s="821"/>
      <c r="AF12" s="904">
        <v>15</v>
      </c>
    </row>
    <row customHeight="1" ht="35.699999999999996">
      <c r="C13" s="322"/>
      <c r="D13" s="951" t="s">
        <v>89</v>
      </c>
      <c r="E13" s="953" t="s">
        <v>324</v>
      </c>
      <c r="F13" s="953" t="s">
        <v>588</v>
      </c>
      <c r="G13" s="954" t="s">
        <v>325</v>
      </c>
      <c r="H13" s="953" t="s">
        <v>412</v>
      </c>
      <c r="I13" s="954" t="s">
        <v>325</v>
      </c>
      <c r="J13" s="953" t="s">
        <v>412</v>
      </c>
      <c r="K13" s="7452" t="s">
        <v>325</v>
      </c>
      <c r="L13" s="7599" t="s">
        <v>412</v>
      </c>
      <c r="M13" s="7452" t="s">
        <v>325</v>
      </c>
      <c r="N13" s="7599" t="s">
        <v>412</v>
      </c>
      <c r="O13" s="7452" t="s">
        <v>325</v>
      </c>
      <c r="P13" s="7599" t="s">
        <v>412</v>
      </c>
      <c r="Q13" s="7452" t="s">
        <v>325</v>
      </c>
      <c r="R13" s="7599" t="s">
        <v>412</v>
      </c>
      <c r="S13" s="7452" t="s">
        <v>325</v>
      </c>
      <c r="T13" s="7599" t="s">
        <v>412</v>
      </c>
      <c r="U13" s="2391"/>
      <c r="AF13" s="651">
        <v>34</v>
      </c>
    </row>
    <row customHeight="1" ht="15" hidden="1">
      <c r="C14" s="322"/>
      <c r="D14" s="739" t="s">
        <v>121</v>
      </c>
      <c r="E14" s="739" t="s">
        <v>105</v>
      </c>
      <c r="F14" s="739" t="s">
        <v>91</v>
      </c>
      <c r="G14" s="805" t="str">
        <f>G1&amp;".1"</f>
        <v>4.1</v>
      </c>
      <c r="H14" s="805"/>
      <c r="I14" s="805" t="str">
        <f>I1&amp;".1"</f>
        <v>4.1</v>
      </c>
      <c r="J14" s="805"/>
      <c r="K14" s="7143" t="str">
        <f>K1&amp;".1"</f>
        <v>4.1</v>
      </c>
      <c r="L14" s="7143"/>
      <c r="M14" s="7143" t="str">
        <f>M1&amp;".1"</f>
        <v>4.1</v>
      </c>
      <c r="N14" s="7143"/>
      <c r="O14" s="7143" t="str">
        <f>O1&amp;".1"</f>
        <v>4.1</v>
      </c>
      <c r="P14" s="7143"/>
      <c r="Q14" s="7143" t="str">
        <f>Q1&amp;".1"</f>
        <v>4.1</v>
      </c>
      <c r="R14" s="7143"/>
      <c r="S14" s="7143" t="str">
        <f>S1&amp;".1"</f>
        <v>4.1</v>
      </c>
      <c r="T14" s="7143"/>
      <c r="U14" s="435"/>
      <c r="AF14" s="651">
        <v>0</v>
      </c>
    </row>
    <row customHeight="1" ht="22.5" hidden="1">
      <c r="A15" s="651"/>
      <c r="C15" s="672"/>
      <c r="D15" s="667">
        <v>1</v>
      </c>
      <c r="E15" s="823" t="s">
        <v>870</v>
      </c>
      <c r="F15" s="667" t="s">
        <v>871</v>
      </c>
      <c r="G15" s="824"/>
      <c r="H15" s="824"/>
      <c r="I15" s="824"/>
      <c r="J15" s="824"/>
      <c r="K15" s="7274"/>
      <c r="L15" s="7274"/>
      <c r="M15" s="7274"/>
      <c r="N15" s="7274"/>
      <c r="O15" s="7274"/>
      <c r="P15" s="7274"/>
      <c r="Q15" s="7274"/>
      <c r="R15" s="7274"/>
      <c r="S15" s="7274"/>
      <c r="T15" s="7274"/>
      <c r="U15" s="435" t="s">
        <v>872</v>
      </c>
      <c r="AF15" s="651">
        <v>0</v>
      </c>
    </row>
    <row customHeight="1" ht="22.5" hidden="1">
      <c r="A16" s="651"/>
      <c r="C16" s="672"/>
      <c r="D16" s="667">
        <v>2</v>
      </c>
      <c r="E16" s="425" t="s">
        <v>873</v>
      </c>
      <c r="F16" s="667" t="s">
        <v>874</v>
      </c>
      <c r="G16" s="824"/>
      <c r="H16" s="824"/>
      <c r="I16" s="824"/>
      <c r="J16" s="824"/>
      <c r="K16" s="7274"/>
      <c r="L16" s="7274"/>
      <c r="M16" s="7274"/>
      <c r="N16" s="7274"/>
      <c r="O16" s="7274"/>
      <c r="P16" s="7274"/>
      <c r="Q16" s="7274"/>
      <c r="R16" s="7274"/>
      <c r="S16" s="7274"/>
      <c r="T16" s="7274"/>
      <c r="U16" s="435" t="s">
        <v>875</v>
      </c>
      <c r="AF16" s="651">
        <v>0</v>
      </c>
    </row>
    <row customHeight="1" ht="123.75" hidden="1">
      <c r="A17" s="651"/>
      <c r="C17" s="672"/>
      <c r="D17" s="667">
        <v>3</v>
      </c>
      <c r="E17" s="425" t="s">
        <v>1506</v>
      </c>
      <c r="F17" s="667" t="s">
        <v>328</v>
      </c>
      <c r="G17" s="824"/>
      <c r="H17" s="824"/>
      <c r="I17" s="824"/>
      <c r="J17" s="824"/>
      <c r="K17" s="7274"/>
      <c r="L17" s="7274"/>
      <c r="M17" s="7274"/>
      <c r="N17" s="7274"/>
      <c r="O17" s="7274"/>
      <c r="P17" s="7274"/>
      <c r="Q17" s="7274"/>
      <c r="R17" s="7274"/>
      <c r="S17" s="7274"/>
      <c r="T17" s="7274"/>
      <c r="U17" s="435" t="s">
        <v>1507</v>
      </c>
      <c r="AF17" s="651">
        <v>0</v>
      </c>
    </row>
    <row customHeight="1" ht="48.29999999999999">
      <c r="A18" s="651"/>
      <c r="C18" s="672"/>
      <c r="D18" s="667">
        <v>3</v>
      </c>
      <c r="E18" s="425" t="s">
        <v>876</v>
      </c>
      <c r="F18" s="667" t="s">
        <v>328</v>
      </c>
      <c r="G18" s="955" t="s">
        <v>328</v>
      </c>
      <c r="H18" s="956" t="s">
        <v>328</v>
      </c>
      <c r="I18" s="667" t="s">
        <v>328</v>
      </c>
      <c r="J18" s="724" t="s">
        <v>328</v>
      </c>
      <c r="K18" s="7599" t="s">
        <v>328</v>
      </c>
      <c r="L18" s="7277" t="s">
        <v>328</v>
      </c>
      <c r="M18" s="7599" t="s">
        <v>328</v>
      </c>
      <c r="N18" s="7277" t="s">
        <v>328</v>
      </c>
      <c r="O18" s="7599" t="s">
        <v>328</v>
      </c>
      <c r="P18" s="7277" t="s">
        <v>328</v>
      </c>
      <c r="Q18" s="7599" t="s">
        <v>328</v>
      </c>
      <c r="R18" s="7277" t="s">
        <v>328</v>
      </c>
      <c r="S18" s="7599" t="s">
        <v>328</v>
      </c>
      <c r="T18" s="7277" t="s">
        <v>328</v>
      </c>
      <c r="U18" s="435" t="s">
        <v>1508</v>
      </c>
      <c r="AF18" s="651">
        <v>46</v>
      </c>
    </row>
    <row customHeight="1" ht="35.699999999999996">
      <c r="A19" s="651"/>
      <c r="C19" s="672"/>
      <c r="D19" s="685" t="s">
        <v>346</v>
      </c>
      <c r="E19" s="705" t="s">
        <v>878</v>
      </c>
      <c r="F19" s="667" t="s">
        <v>879</v>
      </c>
      <c r="G19" s="963"/>
      <c r="H19" s="252"/>
      <c r="I19" s="963"/>
      <c r="J19" s="964"/>
      <c r="K19" s="6890"/>
      <c r="L19" s="7766"/>
      <c r="M19" s="6890"/>
      <c r="N19" s="7766"/>
      <c r="O19" s="6890"/>
      <c r="P19" s="7766"/>
      <c r="Q19" s="6890"/>
      <c r="R19" s="7766"/>
      <c r="S19" s="6890"/>
      <c r="T19" s="7766"/>
      <c r="U19" s="825"/>
      <c r="AF19" s="651">
        <v>34</v>
      </c>
    </row>
    <row customHeight="1" ht="35.699999999999996">
      <c r="A20" s="651"/>
      <c r="C20" s="672"/>
      <c r="D20" s="2033" t="s">
        <v>354</v>
      </c>
      <c r="E20" s="705" t="s">
        <v>880</v>
      </c>
      <c r="F20" s="667" t="s">
        <v>881</v>
      </c>
      <c r="G20" s="963"/>
      <c r="H20" s="252"/>
      <c r="I20" s="963"/>
      <c r="J20" s="252"/>
      <c r="K20" s="6890"/>
      <c r="L20" s="7766"/>
      <c r="M20" s="6890"/>
      <c r="N20" s="7766"/>
      <c r="O20" s="6890"/>
      <c r="P20" s="7766"/>
      <c r="Q20" s="6890"/>
      <c r="R20" s="7766"/>
      <c r="S20" s="6890"/>
      <c r="T20" s="7766"/>
      <c r="U20" s="825"/>
      <c r="AF20" s="651">
        <v>34</v>
      </c>
    </row>
    <row customHeight="1" ht="48.29999999999999">
      <c r="A21" s="651"/>
      <c r="C21" s="672"/>
      <c r="D21" s="2033" t="s">
        <v>356</v>
      </c>
      <c r="E21" s="705" t="s">
        <v>882</v>
      </c>
      <c r="F21" s="667" t="s">
        <v>598</v>
      </c>
      <c r="G21" s="826"/>
      <c r="H21" s="252"/>
      <c r="I21" s="826"/>
      <c r="J21" s="252"/>
      <c r="K21" s="6891"/>
      <c r="L21" s="7766"/>
      <c r="M21" s="6891"/>
      <c r="N21" s="7766"/>
      <c r="O21" s="6891"/>
      <c r="P21" s="7766"/>
      <c r="Q21" s="6891"/>
      <c r="R21" s="7766"/>
      <c r="S21" s="6891"/>
      <c r="T21" s="7766"/>
      <c r="U21" s="825"/>
      <c r="AF21" s="651">
        <v>46</v>
      </c>
    </row>
    <row customHeight="1" ht="67.5" hidden="1">
      <c r="A22" s="651"/>
      <c r="C22" s="672"/>
      <c r="D22" s="667">
        <v>5</v>
      </c>
      <c r="E22" s="425" t="s">
        <v>1509</v>
      </c>
      <c r="F22" s="667" t="s">
        <v>580</v>
      </c>
      <c r="G22" s="827"/>
      <c r="H22" s="828"/>
      <c r="I22" s="827"/>
      <c r="J22" s="828"/>
      <c r="K22" s="7280"/>
      <c r="L22" s="7281"/>
      <c r="M22" s="7280"/>
      <c r="N22" s="7281"/>
      <c r="O22" s="7280"/>
      <c r="P22" s="7281"/>
      <c r="Q22" s="7280"/>
      <c r="R22" s="7281"/>
      <c r="S22" s="7280"/>
      <c r="T22" s="7281"/>
      <c r="U22" s="435" t="s">
        <v>1510</v>
      </c>
      <c r="AF22" s="651">
        <v>0</v>
      </c>
    </row>
    <row customHeight="1" ht="33.75" hidden="1">
      <c r="C23" s="597"/>
      <c r="D23" s="667">
        <v>6</v>
      </c>
      <c r="E23" s="425" t="s">
        <v>1511</v>
      </c>
      <c r="F23" s="667" t="s">
        <v>1512</v>
      </c>
      <c r="G23" s="827"/>
      <c r="H23" s="827"/>
      <c r="I23" s="827"/>
      <c r="J23" s="827"/>
      <c r="K23" s="7280"/>
      <c r="L23" s="7280"/>
      <c r="M23" s="7280"/>
      <c r="N23" s="7280"/>
      <c r="O23" s="7280"/>
      <c r="P23" s="7280"/>
      <c r="Q23" s="7280"/>
      <c r="R23" s="7280"/>
      <c r="S23" s="7280"/>
      <c r="T23" s="7280"/>
      <c r="U23" s="435" t="s">
        <v>1513</v>
      </c>
      <c r="AF23" s="651">
        <v>0</v>
      </c>
    </row>
    <row customHeight="1" ht="15.75">
      <c r="K24" s="7235"/>
      <c r="L24" s="7235"/>
      <c r="M24" s="7235"/>
      <c r="N24" s="7235"/>
      <c r="O24" s="7235"/>
      <c r="P24" s="7235"/>
      <c r="Q24" s="7235"/>
      <c r="R24" s="7235"/>
      <c r="S24" s="7235"/>
      <c r="T24" s="7235"/>
      <c r="AF24" s="651">
        <v>15</v>
      </c>
    </row>
    <row customHeight="1" ht="15.75">
      <c r="K25" s="7235"/>
      <c r="L25" s="7235"/>
      <c r="M25" s="7235"/>
      <c r="N25" s="7235"/>
      <c r="O25" s="7235"/>
      <c r="P25" s="7235"/>
      <c r="Q25" s="7235"/>
      <c r="R25" s="7235"/>
      <c r="S25" s="7235"/>
      <c r="T25" s="7235"/>
      <c r="AF25" s="651">
        <v>15</v>
      </c>
    </row>
    <row customHeight="1" ht="15.75">
      <c r="K26" s="7235"/>
      <c r="L26" s="7235"/>
      <c r="M26" s="7235"/>
      <c r="N26" s="7235"/>
      <c r="O26" s="7235"/>
      <c r="P26" s="7235"/>
      <c r="Q26" s="7235"/>
      <c r="R26" s="7235"/>
      <c r="S26" s="7235"/>
      <c r="T26" s="7235"/>
      <c r="AF26" s="651">
        <v>15</v>
      </c>
    </row>
    <row customHeight="1" ht="15.75">
      <c r="K27" s="7235"/>
      <c r="L27" s="7235"/>
      <c r="M27" s="7235"/>
      <c r="N27" s="7235"/>
      <c r="O27" s="7235"/>
      <c r="P27" s="7235"/>
      <c r="Q27" s="7235"/>
      <c r="R27" s="7235"/>
      <c r="S27" s="7235"/>
      <c r="T27" s="7235"/>
      <c r="AF27" s="651">
        <v>15</v>
      </c>
    </row>
    <row customHeight="1" ht="15.75">
      <c r="K28" s="7235"/>
      <c r="L28" s="7235"/>
      <c r="M28" s="7235"/>
      <c r="N28" s="7235"/>
      <c r="O28" s="7235"/>
      <c r="P28" s="7235"/>
      <c r="Q28" s="7235"/>
      <c r="R28" s="7235"/>
      <c r="S28" s="7235"/>
      <c r="T28" s="7235"/>
      <c r="AF28" s="651">
        <v>15</v>
      </c>
    </row>
    <row customHeight="1" ht="15.75">
      <c r="J29" s="965"/>
      <c r="K29" s="7235"/>
      <c r="L29" s="7235"/>
      <c r="M29" s="7235"/>
      <c r="N29" s="7235"/>
      <c r="O29" s="7235"/>
      <c r="P29" s="7235"/>
      <c r="Q29" s="7235"/>
      <c r="R29" s="7235"/>
      <c r="S29" s="7235"/>
      <c r="T29" s="7235"/>
      <c r="AF29" s="651">
        <v>15</v>
      </c>
    </row>
    <row customHeight="1" ht="22.5" hidden="1">
      <c r="A30" s="595" t="s">
        <v>83</v>
      </c>
      <c r="B30" s="651">
        <v>0</v>
      </c>
      <c r="C30" s="829">
        <v>4</v>
      </c>
      <c r="D30" s="651">
        <v>6</v>
      </c>
      <c r="E30" s="651">
        <v>47</v>
      </c>
      <c r="F30" s="651">
        <v>9</v>
      </c>
      <c r="G30" s="904">
        <v>0</v>
      </c>
      <c r="H30" s="904">
        <v>0</v>
      </c>
      <c r="I30" s="651">
        <v>25</v>
      </c>
      <c r="J30" s="651">
        <v>33</v>
      </c>
      <c r="K30" s="7235">
        <v>0</v>
      </c>
      <c r="L30" s="7235">
        <v>0</v>
      </c>
      <c r="M30" s="7235">
        <v>0</v>
      </c>
      <c r="N30" s="7235">
        <v>0</v>
      </c>
      <c r="O30" s="7235">
        <v>0</v>
      </c>
      <c r="P30" s="7235">
        <v>0</v>
      </c>
      <c r="Q30" s="7235">
        <v>0</v>
      </c>
      <c r="R30" s="7235">
        <v>0</v>
      </c>
      <c r="S30" s="7235">
        <v>0</v>
      </c>
      <c r="T30" s="7235">
        <v>0</v>
      </c>
      <c r="U30" s="563">
        <v>50</v>
      </c>
      <c r="V30" s="651">
        <v>10</v>
      </c>
      <c r="W30" s="651">
        <v>10</v>
      </c>
      <c r="X30" s="651">
        <v>10</v>
      </c>
      <c r="Y30" s="651">
        <v>10</v>
      </c>
      <c r="Z30" s="651">
        <v>10</v>
      </c>
      <c r="AA30" s="651">
        <v>10</v>
      </c>
      <c r="AB30" s="651">
        <v>10</v>
      </c>
      <c r="AC30" s="651">
        <v>10</v>
      </c>
      <c r="AD30" s="651">
        <v>10</v>
      </c>
      <c r="AE30" s="821">
        <v>10</v>
      </c>
      <c r="AF30" s="651">
        <v>23</v>
      </c>
    </row>
  </sheetData>
  <sheetProtection formatColumns="0" formatRows="0" autoFilter="0" sort="0" insertRows="0" insertColumns="1" deleteRows="0" deleteColumns="0"/>
  <mergeCells count="28">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formula1>900</formula1>
    </dataValidation>
    <dataValidation type="whole" allowBlank="1" showErrorMessage="1" errorTitle="Ошибка" error="Допускается ввод только неотрицательных целых чисел!" sqref="G19:G20 I19:I20 K19 K20 M19 M20 O19 O20 Q19 Q20 S19 S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FAA28B9-0956-9515-C7D8-0.D918F39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7381" width="32.57421875" customWidth="1"/>
    <col min="2" max="2" style="7976" width="11.00390625" customWidth="1"/>
    <col min="3" max="3" style="7976" width="9.140625"/>
    <col min="4" max="4" style="7976" width="26.57421875" customWidth="1"/>
    <col min="5" max="5" style="7711" width="36.8515625" customWidth="1"/>
    <col min="6" max="6" style="7711" width="23.57421875" customWidth="1"/>
    <col min="7" max="7" style="7711" width="31.421875" customWidth="1"/>
    <col min="8" max="8" style="7711" width="40.8515625" customWidth="1"/>
    <col min="9" max="9" style="7711" width="14.57421875" customWidth="1"/>
    <col min="10" max="10" style="7711" width="26.8515625" customWidth="1"/>
    <col min="11" max="11" style="7711" width="50.00390625" customWidth="1"/>
    <col min="12" max="12" style="7711" width="52.421875" customWidth="1"/>
    <col min="13" max="13" style="7711" width="10.7109375" customWidth="1"/>
    <col min="14" max="14" style="7711" width="55.140625" customWidth="1"/>
    <col min="15" max="15" style="7711" width="31.8515625" customWidth="1"/>
    <col min="16" max="16" style="7711" width="23.8515625" customWidth="1"/>
    <col min="17" max="17" style="7711" width="46.57421875" customWidth="1"/>
    <col min="18" max="18" style="7711" width="24.00390625" customWidth="1"/>
    <col min="19" max="19" style="7711" width="20.57421875" customWidth="1"/>
    <col min="20" max="20" style="7711" width="22.00390625" customWidth="1"/>
    <col min="21" max="22" style="7711" width="26.421875" customWidth="1"/>
    <col min="23" max="23" style="7711" width="8.28125" hidden="1" customWidth="1"/>
    <col min="24" max="24" style="7711" width="59.7109375" customWidth="1"/>
    <col min="25" max="25" style="7711" width="49.140625" customWidth="1"/>
    <col min="26" max="26" style="7711" width="11.140625" customWidth="1"/>
    <col min="27" max="30" style="7711" width="29.00390625" customWidth="1"/>
    <col min="31" max="31" style="7711" width="9.140625"/>
    <col min="32" max="32" style="7711" width="34.7109375" customWidth="1"/>
    <col min="33" max="33" style="7711" width="9.140625"/>
    <col min="34" max="35" style="7711" width="34.421875" customWidth="1"/>
    <col min="36" max="36" style="7711" width="9.140625"/>
    <col min="37" max="37" style="7711" width="24.57421875" customWidth="1"/>
    <col min="38" max="38" style="7711" width="9.140625"/>
    <col min="39" max="39" style="7711" width="26.140625" customWidth="1"/>
    <col min="40" max="40" style="7711" width="1.7109375" customWidth="1"/>
    <col min="41" max="41" style="7711" width="9.140625"/>
    <col min="42" max="43" style="7711" width="47.8515625" customWidth="1"/>
    <col min="44" max="44" style="7711" width="1.7109375" customWidth="1"/>
    <col min="45" max="45" style="7711" width="21.421875" customWidth="1"/>
    <col min="46" max="46" style="7711" width="1.7109375" customWidth="1"/>
    <col min="47" max="47" style="7711" width="31.28125" customWidth="1"/>
    <col min="48" max="48" style="7711" width="1.7109375" customWidth="1"/>
    <col min="49" max="50" style="7711" width="9.140625"/>
    <col min="51" max="51" style="7711" width="3.7109375" customWidth="1"/>
    <col min="52" max="52" style="7711" width="60.8515625" customWidth="1"/>
    <col min="53" max="53" style="7711" width="49.28125" customWidth="1"/>
    <col min="54" max="54" style="7711" width="35.140625" customWidth="1"/>
    <col min="55" max="55" style="7711" width="9.140625"/>
    <col min="56" max="56" style="7711" width="1.7109375" customWidth="1"/>
    <col min="57" max="58" style="7382" width="34.57421875" customWidth="1"/>
    <col min="59" max="59" style="7711" width="30.7109375" customWidth="1"/>
    <col min="60" max="60" style="7757" width="40.7109375" customWidth="1"/>
    <col min="61" max="61" style="7757" width="15.00390625" customWidth="1"/>
    <col min="62" max="62" style="7757" width="40.7109375" customWidth="1"/>
    <col min="63" max="63" style="7757" width="2.7109375" customWidth="1"/>
    <col min="64" max="64" style="7757" width="44.7109375" customWidth="1"/>
    <col min="65" max="65" style="7757" width="2.7109375" customWidth="1"/>
    <col min="66" max="66" style="7757" width="40.7109375" customWidth="1"/>
    <col min="67" max="68" style="7711" width="9.140625"/>
    <col min="69" max="69" style="7711" width="18.140625" customWidth="1"/>
    <col min="70" max="70" style="7711" width="57.8515625" customWidth="1"/>
    <col min="71" max="71" style="7711" width="1.7109375" customWidth="1"/>
    <col min="72" max="72" style="7711" width="22.57421875" customWidth="1"/>
    <col min="73" max="73" style="7711" width="57.8515625" customWidth="1"/>
    <col min="74" max="74" style="7711" width="1.7109375" customWidth="1"/>
    <col min="75" max="75" style="7711" width="22.57421875" customWidth="1"/>
    <col min="76" max="76" style="7711" width="57.8515625" customWidth="1"/>
    <col min="77" max="77" style="7711" width="1.7109375" customWidth="1"/>
    <col min="78" max="78" style="7711" width="22.57421875" customWidth="1"/>
    <col min="79" max="79" style="7711" width="57.8515625" customWidth="1"/>
    <col min="80" max="81" style="7711" width="9.140625"/>
    <col min="82" max="82" style="7711" width="49.57421875" customWidth="1"/>
  </cols>
  <sheetData>
    <row s="7292" customFormat="1" customHeight="1" ht="11.25">
      <c r="A1" s="1213" t="s">
        <v>1514</v>
      </c>
      <c r="B1" s="1213" t="s">
        <v>1515</v>
      </c>
      <c r="C1" s="1213" t="s">
        <v>1516</v>
      </c>
      <c r="D1" s="1213" t="s">
        <v>1517</v>
      </c>
      <c r="E1" s="1213" t="s">
        <v>1518</v>
      </c>
      <c r="F1" s="1213" t="s">
        <v>1519</v>
      </c>
      <c r="G1" s="1213" t="s">
        <v>1520</v>
      </c>
      <c r="H1" s="1213" t="s">
        <v>1521</v>
      </c>
      <c r="I1" s="1213" t="s">
        <v>1522</v>
      </c>
      <c r="J1" s="1213" t="s">
        <v>1523</v>
      </c>
      <c r="K1" s="1213" t="s">
        <v>1524</v>
      </c>
      <c r="L1" s="1213" t="s">
        <v>1525</v>
      </c>
      <c r="M1" s="1213"/>
      <c r="N1" s="1213" t="s">
        <v>1526</v>
      </c>
      <c r="O1" s="1213" t="s">
        <v>1527</v>
      </c>
      <c r="P1" s="1213" t="s">
        <v>1528</v>
      </c>
      <c r="Q1" s="1213" t="s">
        <v>1529</v>
      </c>
      <c r="R1" s="1213" t="s">
        <v>1530</v>
      </c>
      <c r="S1" s="1213" t="s">
        <v>1531</v>
      </c>
      <c r="T1" s="1213" t="s">
        <v>1532</v>
      </c>
      <c r="U1" s="1213" t="s">
        <v>1533</v>
      </c>
      <c r="V1" s="1213"/>
      <c r="W1" s="943" t="s">
        <v>1534</v>
      </c>
      <c r="X1" s="1213" t="s">
        <v>1535</v>
      </c>
      <c r="Y1" s="1213" t="s">
        <v>1536</v>
      </c>
      <c r="Z1" s="1213"/>
      <c r="AA1" s="1213" t="s">
        <v>1537</v>
      </c>
      <c r="AB1" s="1213"/>
      <c r="AC1" s="1213" t="s">
        <v>1538</v>
      </c>
      <c r="AD1" s="1213"/>
      <c r="AF1" s="1213" t="s">
        <v>1539</v>
      </c>
      <c r="AH1" s="1213" t="s">
        <v>1540</v>
      </c>
      <c r="AI1" s="1213" t="s">
        <v>1541</v>
      </c>
      <c r="AK1" s="1213" t="s">
        <v>1542</v>
      </c>
      <c r="AM1" s="1213" t="s">
        <v>1543</v>
      </c>
      <c r="AP1" s="1213" t="s">
        <v>1544</v>
      </c>
      <c r="AQ1" s="1213" t="s">
        <v>1545</v>
      </c>
      <c r="AS1" s="1213" t="s">
        <v>1546</v>
      </c>
      <c r="AU1" s="1213" t="s">
        <v>1547</v>
      </c>
      <c r="AW1" s="1213" t="s">
        <v>1548</v>
      </c>
      <c r="AX1" s="1213" t="s">
        <v>1549</v>
      </c>
      <c r="AZ1" s="1298" t="s">
        <v>1550</v>
      </c>
      <c r="BB1" s="1213" t="s">
        <v>1551</v>
      </c>
      <c r="BC1" s="1213"/>
      <c r="BE1" s="1213" t="s">
        <v>1552</v>
      </c>
      <c r="BF1" s="1213" t="s">
        <v>1553</v>
      </c>
      <c r="BH1" s="1215" t="s">
        <v>869</v>
      </c>
      <c r="BI1" s="1216"/>
      <c r="BJ1" s="1217" t="s">
        <v>1554</v>
      </c>
      <c r="BK1" s="1216"/>
      <c r="BL1" s="1218" t="s">
        <v>971</v>
      </c>
      <c r="BM1" s="1216"/>
      <c r="BN1" s="1219" t="s">
        <v>1555</v>
      </c>
      <c r="BS1" s="1573"/>
    </row>
    <row customHeight="1" ht="11.25">
      <c r="A2" s="1220" t="s">
        <v>1556</v>
      </c>
      <c r="B2" s="1221">
        <v>2000</v>
      </c>
      <c r="C2" s="1221">
        <v>2022</v>
      </c>
      <c r="D2" s="1221" t="s">
        <v>63</v>
      </c>
      <c r="E2" s="1222" t="s">
        <v>1557</v>
      </c>
      <c r="F2" s="1222" t="s">
        <v>1558</v>
      </c>
      <c r="G2" s="1222" t="s">
        <v>1559</v>
      </c>
      <c r="H2" s="1223" t="s">
        <v>55</v>
      </c>
      <c r="I2" s="1222" t="s">
        <v>121</v>
      </c>
      <c r="J2" s="1222" t="s">
        <v>1560</v>
      </c>
      <c r="K2" s="1224" t="s">
        <v>1561</v>
      </c>
      <c r="L2" s="1225"/>
      <c r="M2" s="1224">
        <v>1</v>
      </c>
      <c r="N2" s="1308" t="s">
        <v>1562</v>
      </c>
      <c r="O2" s="1223" t="s">
        <v>1563</v>
      </c>
      <c r="P2" s="1226" t="s">
        <v>37</v>
      </c>
      <c r="Q2" s="1227" t="s">
        <v>1564</v>
      </c>
      <c r="R2" s="289" t="s">
        <v>1565</v>
      </c>
      <c r="S2" s="289" t="s">
        <v>1566</v>
      </c>
      <c r="T2" s="1228" t="s">
        <v>1567</v>
      </c>
      <c r="U2" s="1225" t="s">
        <v>1568</v>
      </c>
      <c r="V2" s="1229">
        <v>1</v>
      </c>
      <c r="W2" s="1230"/>
      <c r="X2" s="1230" t="s">
        <v>1569</v>
      </c>
      <c r="Y2" s="1221" t="s">
        <v>1570</v>
      </c>
      <c r="Z2" s="1231"/>
      <c r="AA2" s="1221" t="s">
        <v>1571</v>
      </c>
      <c r="AB2" s="1232" t="s">
        <v>1571</v>
      </c>
      <c r="AC2" s="1221" t="s">
        <v>1572</v>
      </c>
      <c r="AD2" s="1232" t="s">
        <v>1572</v>
      </c>
      <c r="AF2" s="1223" t="s">
        <v>1568</v>
      </c>
      <c r="AH2" s="1222" t="s">
        <v>1573</v>
      </c>
      <c r="AI2" s="1222" t="s">
        <v>1573</v>
      </c>
      <c r="AK2" s="1222" t="s">
        <v>1574</v>
      </c>
      <c r="AM2" s="1222" t="s">
        <v>1575</v>
      </c>
      <c r="AP2" s="1233" t="s">
        <v>1569</v>
      </c>
      <c r="AQ2" s="1234" t="s">
        <v>1569</v>
      </c>
      <c r="AS2" s="1221" t="s">
        <v>1576</v>
      </c>
      <c r="AU2" s="1266" t="s">
        <v>1577</v>
      </c>
      <c r="AW2" s="1266" t="s">
        <v>1578</v>
      </c>
      <c r="AX2" s="1266" t="s">
        <v>1578</v>
      </c>
      <c r="AZ2" s="1266" t="s">
        <v>53</v>
      </c>
      <c r="BB2" s="1266" t="s">
        <v>1579</v>
      </c>
      <c r="BC2" s="1266" t="s">
        <v>1580</v>
      </c>
      <c r="BE2" s="2231" t="s">
        <v>1105</v>
      </c>
      <c r="BF2" s="2231" t="s">
        <v>1105</v>
      </c>
    </row>
    <row customHeight="1" ht="11.25">
      <c r="A3" s="1220" t="s">
        <v>1581</v>
      </c>
      <c r="B3" s="1221">
        <v>2001</v>
      </c>
      <c r="C3" s="1221">
        <v>2023</v>
      </c>
      <c r="D3" s="1221" t="s">
        <v>19</v>
      </c>
      <c r="E3" s="1222" t="s">
        <v>1582</v>
      </c>
      <c r="F3" s="1222" t="s">
        <v>1583</v>
      </c>
      <c r="G3" s="1222" t="s">
        <v>1584</v>
      </c>
      <c r="H3" s="1223" t="s">
        <v>1585</v>
      </c>
      <c r="I3" s="1222" t="s">
        <v>105</v>
      </c>
      <c r="J3" s="1222" t="s">
        <v>578</v>
      </c>
      <c r="K3" s="1224" t="s">
        <v>1586</v>
      </c>
      <c r="L3" s="1225">
        <f>_xlfn.IFERROR(MATCH(K3,OFFER_METHOD,0),0)</f>
        <v>0</v>
      </c>
      <c r="M3" s="1224">
        <v>2</v>
      </c>
      <c r="N3" s="1308" t="s">
        <v>1587</v>
      </c>
      <c r="O3" s="1223" t="s">
        <v>1588</v>
      </c>
      <c r="P3" s="1226" t="s">
        <v>1589</v>
      </c>
      <c r="Q3" s="1227" t="s">
        <v>1590</v>
      </c>
      <c r="R3" s="289" t="s">
        <v>1591</v>
      </c>
      <c r="S3" s="289" t="s">
        <v>1592</v>
      </c>
      <c r="T3" s="1228" t="s">
        <v>1593</v>
      </c>
      <c r="U3" s="1225" t="s">
        <v>1594</v>
      </c>
      <c r="V3" s="1229">
        <v>2</v>
      </c>
      <c r="W3" s="1230"/>
      <c r="X3" s="1230" t="s">
        <v>1595</v>
      </c>
      <c r="Y3" s="1221" t="s">
        <v>1570</v>
      </c>
      <c r="Z3" s="1231"/>
      <c r="AA3" s="1221" t="s">
        <v>1596</v>
      </c>
      <c r="AB3" s="1232" t="s">
        <v>1596</v>
      </c>
      <c r="AC3" s="1221" t="s">
        <v>1597</v>
      </c>
      <c r="AD3" s="1232" t="s">
        <v>1597</v>
      </c>
      <c r="AF3" s="1223" t="s">
        <v>1594</v>
      </c>
      <c r="AH3" s="1222" t="s">
        <v>1598</v>
      </c>
      <c r="AI3" s="1222" t="s">
        <v>1599</v>
      </c>
      <c r="AK3" s="1222" t="s">
        <v>1600</v>
      </c>
      <c r="AM3" s="1222" t="s">
        <v>1601</v>
      </c>
      <c r="AP3" s="1233" t="s">
        <v>1602</v>
      </c>
      <c r="AQ3" s="1234" t="s">
        <v>1602</v>
      </c>
      <c r="AS3" s="1221" t="s">
        <v>1603</v>
      </c>
      <c r="AU3" s="1266" t="s">
        <v>1604</v>
      </c>
      <c r="AW3" s="1266" t="s">
        <v>1605</v>
      </c>
      <c r="AX3" s="1266" t="s">
        <v>1605</v>
      </c>
      <c r="AZ3" s="1266" t="s">
        <v>1606</v>
      </c>
      <c r="BB3" s="1266" t="s">
        <v>1607</v>
      </c>
      <c r="BC3" s="1266" t="s">
        <v>1580</v>
      </c>
      <c r="BE3" s="2231" t="s">
        <v>1152</v>
      </c>
      <c r="BF3" s="2231" t="s">
        <v>1152</v>
      </c>
      <c r="BH3" s="1213" t="s">
        <v>1608</v>
      </c>
      <c r="BJ3" s="1213" t="s">
        <v>1609</v>
      </c>
      <c r="BL3" s="1213" t="s">
        <v>1610</v>
      </c>
      <c r="BN3" s="1213" t="s">
        <v>1611</v>
      </c>
      <c r="BR3" s="1213" t="s">
        <v>1612</v>
      </c>
      <c r="BS3" s="1574"/>
      <c r="BT3" s="1216"/>
      <c r="BU3" s="1213" t="s">
        <v>1613</v>
      </c>
      <c r="BV3" s="1216"/>
      <c r="BW3" s="1835"/>
      <c r="BX3" s="1837" t="s">
        <v>1614</v>
      </c>
      <c r="CA3" s="1213" t="s">
        <v>1615</v>
      </c>
    </row>
    <row customHeight="1" ht="11.25">
      <c r="A4" s="1220" t="s">
        <v>1616</v>
      </c>
      <c r="B4" s="1221">
        <v>2002</v>
      </c>
      <c r="C4" s="1221">
        <v>2024</v>
      </c>
      <c r="E4" s="1222" t="s">
        <v>1617</v>
      </c>
      <c r="F4" s="1222" t="s">
        <v>1618</v>
      </c>
      <c r="H4" s="1223" t="s">
        <v>1619</v>
      </c>
      <c r="I4" s="1222" t="s">
        <v>91</v>
      </c>
      <c r="J4" s="1222" t="s">
        <v>1620</v>
      </c>
      <c r="K4" s="1224" t="s">
        <v>1621</v>
      </c>
      <c r="L4" s="1225">
        <f>_xlfn.IFERROR(MATCH(K4,OFFER_METHOD,0),0)</f>
        <v>0</v>
      </c>
      <c r="M4" s="1224">
        <v>3</v>
      </c>
      <c r="N4" s="1308" t="s">
        <v>1622</v>
      </c>
      <c r="O4" s="1222" t="s">
        <v>1623</v>
      </c>
      <c r="Q4" s="1227" t="s">
        <v>1624</v>
      </c>
      <c r="R4" s="289" t="s">
        <v>1625</v>
      </c>
      <c r="S4" s="289" t="s">
        <v>1626</v>
      </c>
      <c r="T4" s="1228" t="s">
        <v>1627</v>
      </c>
      <c r="U4" s="1225" t="s">
        <v>1628</v>
      </c>
      <c r="V4" s="1229">
        <v>3</v>
      </c>
      <c r="W4" s="1230"/>
      <c r="X4" s="1230" t="s">
        <v>1629</v>
      </c>
      <c r="Y4" s="1221" t="s">
        <v>1570</v>
      </c>
      <c r="Z4" s="1237"/>
      <c r="AC4" s="1221" t="s">
        <v>1630</v>
      </c>
      <c r="AD4" s="1232" t="s">
        <v>1630</v>
      </c>
      <c r="AF4" s="1223" t="s">
        <v>1628</v>
      </c>
      <c r="AH4" s="1223" t="s">
        <v>1631</v>
      </c>
      <c r="AK4" s="1222" t="s">
        <v>1632</v>
      </c>
      <c r="AM4" s="1222" t="s">
        <v>1633</v>
      </c>
      <c r="AP4" s="1233" t="s">
        <v>1595</v>
      </c>
      <c r="AQ4" s="1234" t="s">
        <v>1595</v>
      </c>
      <c r="AS4" s="1221" t="s">
        <v>1634</v>
      </c>
      <c r="AU4" s="1266" t="s">
        <v>1635</v>
      </c>
      <c r="AW4" s="1266" t="s">
        <v>1636</v>
      </c>
      <c r="AX4" s="1266" t="s">
        <v>1636</v>
      </c>
      <c r="AZ4" s="1266" t="s">
        <v>1637</v>
      </c>
      <c r="BB4" s="1266" t="s">
        <v>1638</v>
      </c>
      <c r="BC4" s="1266" t="s">
        <v>1639</v>
      </c>
      <c r="BE4" s="1266">
        <v>2000</v>
      </c>
      <c r="BF4" s="1266" t="s">
        <v>1640</v>
      </c>
      <c r="BH4" s="1214" t="s">
        <v>1641</v>
      </c>
      <c r="BJ4" s="1214" t="s">
        <v>1641</v>
      </c>
      <c r="BL4" s="1214" t="s">
        <v>1641</v>
      </c>
      <c r="BN4" s="1214" t="s">
        <v>1641</v>
      </c>
      <c r="BQ4" s="1578" t="s">
        <v>1642</v>
      </c>
      <c r="BR4" s="1305" t="s">
        <v>1643</v>
      </c>
      <c r="BS4" s="420"/>
      <c r="BT4" s="1578" t="s">
        <v>1644</v>
      </c>
      <c r="BU4" s="1305" t="s">
        <v>1645</v>
      </c>
      <c r="BV4" s="1216"/>
      <c r="BW4" s="1842" t="s">
        <v>1646</v>
      </c>
      <c r="BX4" s="1836" t="s">
        <v>1647</v>
      </c>
      <c r="BZ4" s="1578" t="s">
        <v>1648</v>
      </c>
      <c r="CA4" s="1305" t="s">
        <v>1649</v>
      </c>
    </row>
    <row customHeight="1" ht="11.25">
      <c r="A5" s="1220" t="s">
        <v>1650</v>
      </c>
      <c r="B5" s="1221">
        <v>2003</v>
      </c>
      <c r="C5" s="1221">
        <v>2025</v>
      </c>
      <c r="E5" s="1222" t="s">
        <v>1651</v>
      </c>
      <c r="F5" s="1222" t="s">
        <v>1652</v>
      </c>
      <c r="H5" s="1223" t="s">
        <v>1653</v>
      </c>
      <c r="I5" s="1222" t="s">
        <v>92</v>
      </c>
      <c r="K5" s="1224" t="s">
        <v>1654</v>
      </c>
      <c r="L5" s="1225">
        <f>_xlfn.IFERROR(MATCH(K5,OFFER_METHOD,0),0)</f>
        <v>0</v>
      </c>
      <c r="M5" s="1224">
        <v>4</v>
      </c>
      <c r="N5" s="1238" t="s">
        <v>1655</v>
      </c>
      <c r="O5" s="1222" t="s">
        <v>1656</v>
      </c>
      <c r="Q5" s="1227" t="s">
        <v>1657</v>
      </c>
      <c r="R5" s="289" t="s">
        <v>1658</v>
      </c>
      <c r="T5" s="1223" t="s">
        <v>1659</v>
      </c>
      <c r="U5" s="1225" t="s">
        <v>1660</v>
      </c>
      <c r="V5" s="1229">
        <v>4</v>
      </c>
      <c r="W5" s="1230"/>
      <c r="X5" s="1230" t="s">
        <v>190</v>
      </c>
      <c r="Y5" s="1221" t="s">
        <v>1661</v>
      </c>
      <c r="Z5" s="1237">
        <v>1</v>
      </c>
      <c r="AF5" s="1223" t="s">
        <v>1662</v>
      </c>
      <c r="AH5" s="1222" t="s">
        <v>1663</v>
      </c>
      <c r="AK5" s="1222" t="s">
        <v>1664</v>
      </c>
      <c r="AM5" s="1222" t="s">
        <v>1665</v>
      </c>
      <c r="AP5" s="1233" t="s">
        <v>190</v>
      </c>
      <c r="AQ5" s="1234" t="s">
        <v>190</v>
      </c>
      <c r="AU5" s="1266" t="s">
        <v>1666</v>
      </c>
      <c r="AW5" s="1266" t="s">
        <v>1667</v>
      </c>
      <c r="AX5" s="1266" t="s">
        <v>1667</v>
      </c>
      <c r="AZ5" s="1266" t="s">
        <v>1668</v>
      </c>
      <c r="BB5" s="1266" t="s">
        <v>1669</v>
      </c>
      <c r="BC5" s="1266" t="s">
        <v>592</v>
      </c>
      <c r="BE5" s="1266">
        <v>2001</v>
      </c>
      <c r="BF5" s="1266" t="s">
        <v>1670</v>
      </c>
      <c r="BH5" s="1214" t="s">
        <v>1106</v>
      </c>
      <c r="BJ5" s="1214" t="s">
        <v>1106</v>
      </c>
      <c r="BL5" s="1214" t="s">
        <v>1106</v>
      </c>
      <c r="BN5" s="1214" t="s">
        <v>1671</v>
      </c>
      <c r="BQ5" s="1427">
        <v>4213775</v>
      </c>
      <c r="BR5" s="1214" t="s">
        <v>1569</v>
      </c>
      <c r="BS5" s="1575"/>
      <c r="BT5" s="1427">
        <v>64236871</v>
      </c>
      <c r="BU5" s="1214" t="s">
        <v>251</v>
      </c>
      <c r="BV5" s="1216"/>
      <c r="BW5" s="1840">
        <v>4213767</v>
      </c>
      <c r="BX5" s="1838" t="s">
        <v>1672</v>
      </c>
      <c r="BZ5" s="1427">
        <v>64237509</v>
      </c>
      <c r="CA5" s="1441" t="s">
        <v>1673</v>
      </c>
    </row>
    <row customHeight="1" ht="11.25">
      <c r="A6" s="1220" t="s">
        <v>1674</v>
      </c>
      <c r="B6" s="1221">
        <v>2004</v>
      </c>
      <c r="C6" s="1221">
        <v>2026</v>
      </c>
      <c r="E6" s="1222" t="s">
        <v>1675</v>
      </c>
      <c r="F6" s="1239"/>
      <c r="H6" s="1223" t="s">
        <v>1676</v>
      </c>
      <c r="I6" s="1222" t="s">
        <v>122</v>
      </c>
      <c r="J6" s="1213" t="s">
        <v>1677</v>
      </c>
      <c r="L6" s="1225">
        <f>SUM(kind_of_control_method_filter)</f>
        <v>0</v>
      </c>
      <c r="N6" s="1238" t="s">
        <v>1678</v>
      </c>
      <c r="O6" s="1222" t="s">
        <v>1679</v>
      </c>
      <c r="R6" s="289" t="s">
        <v>1564</v>
      </c>
      <c r="T6" s="1223" t="s">
        <v>1680</v>
      </c>
      <c r="U6" s="1225" t="s">
        <v>1662</v>
      </c>
      <c r="V6" s="1229">
        <v>5</v>
      </c>
      <c r="W6" s="1230"/>
      <c r="X6" s="1221" t="s">
        <v>196</v>
      </c>
      <c r="Y6" s="1221" t="s">
        <v>1681</v>
      </c>
      <c r="Z6" s="1237"/>
      <c r="AA6" s="1240"/>
      <c r="AH6" s="1222" t="s">
        <v>1682</v>
      </c>
      <c r="AK6" s="1222" t="s">
        <v>1683</v>
      </c>
      <c r="AM6" s="1222" t="s">
        <v>1684</v>
      </c>
      <c r="AP6" s="1233" t="s">
        <v>196</v>
      </c>
      <c r="AQ6" s="1234" t="s">
        <v>196</v>
      </c>
      <c r="AU6" s="1266" t="s">
        <v>1685</v>
      </c>
      <c r="AW6" s="1266" t="s">
        <v>1686</v>
      </c>
      <c r="AX6" s="1266" t="s">
        <v>1686</v>
      </c>
      <c r="BB6" s="1266" t="s">
        <v>1687</v>
      </c>
      <c r="BC6" s="1266" t="s">
        <v>592</v>
      </c>
      <c r="BE6" s="1266">
        <v>2002</v>
      </c>
      <c r="BF6" s="1266" t="s">
        <v>1688</v>
      </c>
      <c r="BH6" s="1214" t="s">
        <v>1689</v>
      </c>
      <c r="BJ6" s="1214" t="s">
        <v>1690</v>
      </c>
      <c r="BL6" s="1214" t="s">
        <v>1690</v>
      </c>
      <c r="BN6" s="1214" t="s">
        <v>1691</v>
      </c>
      <c r="BQ6" s="1427">
        <v>4213784</v>
      </c>
      <c r="BR6" s="1441" t="s">
        <v>1602</v>
      </c>
      <c r="BS6" s="1576"/>
      <c r="BT6" s="1427">
        <v>64236872</v>
      </c>
      <c r="BU6" s="1214" t="s">
        <v>256</v>
      </c>
      <c r="BV6" s="1216"/>
      <c r="BW6" s="1840">
        <v>4213768</v>
      </c>
      <c r="BX6" s="1838" t="s">
        <v>276</v>
      </c>
      <c r="BZ6" s="1427">
        <v>64237510</v>
      </c>
      <c r="CA6" s="1214" t="s">
        <v>1692</v>
      </c>
    </row>
    <row customHeight="1" ht="11.25">
      <c r="A7" s="1220" t="s">
        <v>1693</v>
      </c>
      <c r="B7" s="1221">
        <v>2005</v>
      </c>
      <c r="E7" s="1222" t="s">
        <v>1694</v>
      </c>
      <c r="F7" s="1239"/>
      <c r="H7" s="1223" t="s">
        <v>1695</v>
      </c>
      <c r="I7" s="1222" t="s">
        <v>93</v>
      </c>
      <c r="J7" s="1222" t="s">
        <v>1696</v>
      </c>
      <c r="N7" s="1242" t="s">
        <v>1697</v>
      </c>
      <c r="O7" s="1222" t="s">
        <v>1698</v>
      </c>
      <c r="U7" s="1225" t="s">
        <v>19</v>
      </c>
      <c r="V7" s="516" t="s">
        <v>93</v>
      </c>
      <c r="W7" s="1230"/>
      <c r="X7" s="1221" t="s">
        <v>202</v>
      </c>
      <c r="Y7" s="1221" t="s">
        <v>1661</v>
      </c>
      <c r="Z7" s="1237"/>
      <c r="AA7" s="1240"/>
      <c r="AH7" s="1222" t="s">
        <v>1699</v>
      </c>
      <c r="AK7" s="1222" t="s">
        <v>1700</v>
      </c>
      <c r="AM7" s="1222" t="s">
        <v>1701</v>
      </c>
      <c r="AP7" s="1233" t="s">
        <v>202</v>
      </c>
      <c r="AQ7" s="1234" t="s">
        <v>202</v>
      </c>
      <c r="AU7" s="1266" t="s">
        <v>1702</v>
      </c>
      <c r="AW7" s="1266" t="s">
        <v>1703</v>
      </c>
      <c r="AX7" s="1266" t="s">
        <v>1703</v>
      </c>
      <c r="AZ7" s="1213" t="s">
        <v>1704</v>
      </c>
      <c r="BB7" s="1266" t="s">
        <v>594</v>
      </c>
      <c r="BC7" s="1266" t="s">
        <v>592</v>
      </c>
      <c r="BE7" s="1266">
        <v>2003</v>
      </c>
      <c r="BF7" s="1266" t="s">
        <v>1705</v>
      </c>
      <c r="BH7" s="1214" t="s">
        <v>1706</v>
      </c>
      <c r="BJ7" s="1214" t="s">
        <v>1689</v>
      </c>
      <c r="BL7" s="1214" t="s">
        <v>1689</v>
      </c>
      <c r="BN7" s="1214" t="s">
        <v>1707</v>
      </c>
      <c r="BQ7" s="1427">
        <v>4213781</v>
      </c>
      <c r="BR7" s="1214" t="s">
        <v>1595</v>
      </c>
      <c r="BS7" s="1575"/>
      <c r="BT7" s="1427">
        <v>64236873</v>
      </c>
      <c r="BU7" s="1214" t="s">
        <v>261</v>
      </c>
      <c r="BV7" s="1216"/>
      <c r="BW7" s="1840">
        <v>4213769</v>
      </c>
      <c r="BX7" s="1838" t="s">
        <v>1708</v>
      </c>
      <c r="BZ7" s="1427">
        <v>64237511</v>
      </c>
      <c r="CA7" s="1214" t="s">
        <v>291</v>
      </c>
    </row>
    <row customHeight="1" ht="11.25">
      <c r="A8" s="1220" t="s">
        <v>1709</v>
      </c>
      <c r="B8" s="1221">
        <v>2006</v>
      </c>
      <c r="E8" s="1222" t="s">
        <v>1710</v>
      </c>
      <c r="F8" s="1239"/>
      <c r="H8" s="1223" t="s">
        <v>1711</v>
      </c>
      <c r="I8" s="1222" t="s">
        <v>94</v>
      </c>
      <c r="J8" s="1222" t="s">
        <v>1712</v>
      </c>
      <c r="N8" s="1309" t="s">
        <v>1713</v>
      </c>
      <c r="O8" s="1222" t="s">
        <v>1714</v>
      </c>
      <c r="V8" s="516" t="s">
        <v>94</v>
      </c>
      <c r="W8" s="1230"/>
      <c r="X8" s="1221" t="s">
        <v>208</v>
      </c>
      <c r="Y8" s="1221" t="s">
        <v>1661</v>
      </c>
      <c r="Z8" s="1237"/>
      <c r="AA8" s="1240"/>
      <c r="AK8" s="1222" t="s">
        <v>1715</v>
      </c>
      <c r="AP8" s="1233" t="s">
        <v>208</v>
      </c>
      <c r="AQ8" s="1234" t="s">
        <v>208</v>
      </c>
      <c r="AU8" s="1266" t="s">
        <v>1716</v>
      </c>
      <c r="AW8" s="1266" t="s">
        <v>1717</v>
      </c>
      <c r="AX8" s="1266" t="s">
        <v>1717</v>
      </c>
      <c r="AZ8" s="1266" t="s">
        <v>1718</v>
      </c>
      <c r="BB8" s="1266" t="s">
        <v>1719</v>
      </c>
      <c r="BC8" s="1266" t="s">
        <v>592</v>
      </c>
      <c r="BE8" s="1266">
        <v>2004</v>
      </c>
      <c r="BF8" s="1266" t="s">
        <v>1720</v>
      </c>
      <c r="BH8" s="1214" t="s">
        <v>1131</v>
      </c>
      <c r="BJ8" s="1214" t="s">
        <v>1721</v>
      </c>
      <c r="BL8" s="1214" t="s">
        <v>1721</v>
      </c>
      <c r="BN8" s="1214" t="s">
        <v>1210</v>
      </c>
      <c r="BQ8" s="1427">
        <v>4213776</v>
      </c>
      <c r="BR8" s="1214" t="s">
        <v>190</v>
      </c>
      <c r="BS8" s="1575"/>
      <c r="BT8" s="1427">
        <v>64236874</v>
      </c>
      <c r="BU8" s="1441" t="s">
        <v>1722</v>
      </c>
      <c r="BV8" s="1216"/>
      <c r="BW8" s="1840">
        <v>4213770</v>
      </c>
      <c r="BX8" s="1841" t="s">
        <v>1723</v>
      </c>
      <c r="BZ8" s="1427">
        <v>64237512</v>
      </c>
      <c r="CA8" s="1214" t="s">
        <v>286</v>
      </c>
    </row>
    <row customHeight="1" ht="11.25">
      <c r="A9" s="1220" t="s">
        <v>1724</v>
      </c>
      <c r="B9" s="1221">
        <v>2007</v>
      </c>
      <c r="E9" s="1222" t="s">
        <v>1725</v>
      </c>
      <c r="F9" s="1239"/>
      <c r="G9" s="1213" t="s">
        <v>1726</v>
      </c>
      <c r="H9" s="1213" t="s">
        <v>1727</v>
      </c>
      <c r="I9" s="1222" t="s">
        <v>123</v>
      </c>
      <c r="O9" s="1222" t="s">
        <v>1728</v>
      </c>
      <c r="V9" s="516" t="s">
        <v>123</v>
      </c>
      <c r="W9" s="1230"/>
      <c r="X9" s="1221" t="s">
        <v>214</v>
      </c>
      <c r="Y9" s="1221" t="s">
        <v>1570</v>
      </c>
      <c r="Z9" s="1237">
        <v>1</v>
      </c>
      <c r="AA9" s="1240"/>
      <c r="AK9" s="1222" t="s">
        <v>1729</v>
      </c>
      <c r="AP9" s="1233" t="s">
        <v>1730</v>
      </c>
      <c r="AQ9" s="1234" t="s">
        <v>1730</v>
      </c>
      <c r="AW9" s="1266" t="s">
        <v>1731</v>
      </c>
      <c r="AX9" s="1266" t="s">
        <v>1731</v>
      </c>
      <c r="AZ9" s="1266" t="s">
        <v>1732</v>
      </c>
      <c r="BB9" s="1266" t="s">
        <v>595</v>
      </c>
      <c r="BC9" s="1266" t="s">
        <v>592</v>
      </c>
      <c r="BE9" s="1266">
        <v>2005</v>
      </c>
      <c r="BF9" s="1266" t="s">
        <v>1733</v>
      </c>
      <c r="BH9" s="1214" t="s">
        <v>1734</v>
      </c>
      <c r="BJ9" s="1214" t="s">
        <v>1735</v>
      </c>
      <c r="BL9" s="1214" t="s">
        <v>1735</v>
      </c>
      <c r="BN9" s="1214" t="s">
        <v>1736</v>
      </c>
      <c r="BQ9" s="1427">
        <v>4213777</v>
      </c>
      <c r="BR9" s="1214" t="s">
        <v>196</v>
      </c>
      <c r="BS9" s="1575"/>
      <c r="BT9" s="1427">
        <v>64236875</v>
      </c>
      <c r="BU9" s="1214" t="s">
        <v>266</v>
      </c>
      <c r="BV9" s="1216"/>
      <c r="BW9" s="1835"/>
      <c r="BX9" s="1835"/>
    </row>
    <row customHeight="1" ht="11.25">
      <c r="A10" s="1220" t="s">
        <v>1737</v>
      </c>
      <c r="B10" s="1221">
        <v>2008</v>
      </c>
      <c r="E10" s="1222" t="s">
        <v>1738</v>
      </c>
      <c r="F10" s="1239"/>
      <c r="G10" s="1222" t="s">
        <v>1739</v>
      </c>
      <c r="H10" s="1222" t="s">
        <v>1740</v>
      </c>
      <c r="I10" s="1222" t="s">
        <v>172</v>
      </c>
      <c r="J10" s="1213" t="s">
        <v>1741</v>
      </c>
      <c r="K10" s="1213" t="s">
        <v>1742</v>
      </c>
      <c r="O10" s="1222" t="s">
        <v>1743</v>
      </c>
      <c r="V10" s="517" t="s">
        <v>172</v>
      </c>
      <c r="W10" s="1243"/>
      <c r="X10" s="1243" t="s">
        <v>1744</v>
      </c>
      <c r="Y10" s="1244" t="s">
        <v>1745</v>
      </c>
      <c r="Z10" s="1237"/>
      <c r="AP10" s="1233" t="s">
        <v>1744</v>
      </c>
      <c r="AQ10" s="1234" t="s">
        <v>1744</v>
      </c>
      <c r="AW10" s="1266" t="s">
        <v>1746</v>
      </c>
      <c r="AX10" s="1266" t="s">
        <v>1746</v>
      </c>
      <c r="AZ10" s="1266" t="s">
        <v>1459</v>
      </c>
      <c r="BB10" s="1266" t="s">
        <v>591</v>
      </c>
      <c r="BC10" s="1266" t="s">
        <v>592</v>
      </c>
      <c r="BE10" s="1266">
        <v>2006</v>
      </c>
      <c r="BF10" s="1266" t="s">
        <v>1747</v>
      </c>
      <c r="BH10" s="1214" t="s">
        <v>1172</v>
      </c>
      <c r="BJ10" s="1214" t="s">
        <v>1748</v>
      </c>
      <c r="BL10" s="1214" t="s">
        <v>1748</v>
      </c>
      <c r="BN10" s="1214" t="s">
        <v>1749</v>
      </c>
      <c r="BQ10" s="1427">
        <v>4213778</v>
      </c>
      <c r="BR10" s="1214" t="s">
        <v>202</v>
      </c>
      <c r="BS10" s="1575"/>
      <c r="BT10" s="1427">
        <v>64236876</v>
      </c>
      <c r="BU10" s="1214" t="s">
        <v>246</v>
      </c>
      <c r="BV10" s="1216"/>
      <c r="BW10" s="1835"/>
      <c r="BX10" s="1835"/>
    </row>
    <row customHeight="1" ht="11.25">
      <c r="A11" s="1220" t="s">
        <v>1750</v>
      </c>
      <c r="B11" s="1221">
        <v>2009</v>
      </c>
      <c r="E11" s="1222" t="s">
        <v>1751</v>
      </c>
      <c r="F11" s="1239"/>
      <c r="G11" s="1222" t="s">
        <v>1752</v>
      </c>
      <c r="H11" s="1222" t="s">
        <v>1753</v>
      </c>
      <c r="I11" s="1222" t="s">
        <v>173</v>
      </c>
      <c r="J11" s="1223" t="s">
        <v>1754</v>
      </c>
      <c r="K11" s="1245" t="s">
        <v>593</v>
      </c>
      <c r="O11" s="1223" t="s">
        <v>1755</v>
      </c>
      <c r="V11" s="516" t="s">
        <v>173</v>
      </c>
      <c r="W11" s="421"/>
      <c r="X11" s="1230" t="s">
        <v>1730</v>
      </c>
      <c r="Y11" s="1221" t="s">
        <v>1756</v>
      </c>
      <c r="Z11" s="1237"/>
      <c r="AP11" s="1233" t="s">
        <v>214</v>
      </c>
      <c r="AQ11" s="1235" t="s">
        <v>214</v>
      </c>
      <c r="AW11" s="1266" t="s">
        <v>1757</v>
      </c>
      <c r="AX11" s="1266" t="s">
        <v>1757</v>
      </c>
      <c r="AZ11" s="1266" t="s">
        <v>1758</v>
      </c>
      <c r="BB11" s="1266" t="s">
        <v>1759</v>
      </c>
      <c r="BC11" s="1266" t="s">
        <v>592</v>
      </c>
      <c r="BE11" s="1266">
        <v>2007</v>
      </c>
      <c r="BF11" s="1266" t="s">
        <v>1760</v>
      </c>
      <c r="BH11" s="1214" t="s">
        <v>1761</v>
      </c>
      <c r="BJ11" s="1214" t="s">
        <v>1734</v>
      </c>
      <c r="BL11" s="1214" t="s">
        <v>1734</v>
      </c>
      <c r="BN11" s="1214" t="s">
        <v>1762</v>
      </c>
      <c r="BQ11" s="1427">
        <v>4213780</v>
      </c>
      <c r="BR11" s="1214" t="s">
        <v>208</v>
      </c>
      <c r="BS11" s="1575"/>
      <c r="BW11" s="1835"/>
      <c r="BX11" s="1835"/>
    </row>
    <row customHeight="1" ht="11.25">
      <c r="A12" s="1220" t="s">
        <v>1763</v>
      </c>
      <c r="B12" s="1221">
        <v>2010</v>
      </c>
      <c r="E12" s="1222" t="s">
        <v>1764</v>
      </c>
      <c r="F12" s="1239"/>
      <c r="G12" s="1222" t="s">
        <v>1753</v>
      </c>
      <c r="I12" s="1222" t="s">
        <v>174</v>
      </c>
      <c r="J12" s="1223" t="s">
        <v>1765</v>
      </c>
      <c r="K12" s="1245" t="s">
        <v>1766</v>
      </c>
      <c r="O12" s="1223" t="s">
        <v>1564</v>
      </c>
      <c r="V12" s="516" t="s">
        <v>174</v>
      </c>
      <c r="W12" s="1235"/>
      <c r="X12" s="1230" t="s">
        <v>1767</v>
      </c>
      <c r="Y12" s="1221" t="s">
        <v>1570</v>
      </c>
      <c r="AP12" s="1233"/>
      <c r="AW12" s="1266" t="s">
        <v>173</v>
      </c>
      <c r="AX12" s="1266" t="s">
        <v>173</v>
      </c>
      <c r="AZ12" s="1266" t="s">
        <v>1768</v>
      </c>
      <c r="BB12" s="1266" t="s">
        <v>1769</v>
      </c>
      <c r="BC12" s="1266" t="s">
        <v>592</v>
      </c>
      <c r="BE12" s="1266">
        <v>2008</v>
      </c>
      <c r="BF12" s="1266" t="s">
        <v>1770</v>
      </c>
      <c r="BH12" s="1214" t="s">
        <v>1771</v>
      </c>
      <c r="BJ12" s="1214" t="s">
        <v>1772</v>
      </c>
      <c r="BL12" s="1214" t="s">
        <v>1772</v>
      </c>
      <c r="BN12" s="1214" t="s">
        <v>1773</v>
      </c>
      <c r="BQ12" s="1427">
        <v>4213779</v>
      </c>
      <c r="BR12" s="1214" t="s">
        <v>1730</v>
      </c>
      <c r="BS12" s="1575"/>
      <c r="BT12" s="1216"/>
      <c r="BU12" s="1216"/>
      <c r="BV12" s="1216"/>
      <c r="BW12" s="1835"/>
      <c r="BX12" s="1835"/>
    </row>
    <row customHeight="1" ht="11.25">
      <c r="A13" s="1220" t="s">
        <v>1774</v>
      </c>
      <c r="B13" s="1221">
        <v>2011</v>
      </c>
      <c r="E13" s="1222" t="s">
        <v>1775</v>
      </c>
      <c r="F13" s="1239"/>
      <c r="I13" s="1222" t="s">
        <v>175</v>
      </c>
      <c r="K13" s="1245" t="s">
        <v>1729</v>
      </c>
      <c r="V13" s="516" t="s">
        <v>175</v>
      </c>
      <c r="W13" s="1235"/>
      <c r="X13" s="1235"/>
      <c r="Y13" s="1235"/>
      <c r="AW13" s="1266" t="s">
        <v>174</v>
      </c>
      <c r="AX13" s="1266" t="s">
        <v>174</v>
      </c>
      <c r="BB13" s="1266" t="s">
        <v>1776</v>
      </c>
      <c r="BC13" s="1266" t="s">
        <v>1777</v>
      </c>
      <c r="BE13" s="1266">
        <v>2009</v>
      </c>
      <c r="BF13" s="1266" t="s">
        <v>1778</v>
      </c>
      <c r="BH13" s="1214" t="s">
        <v>1779</v>
      </c>
      <c r="BJ13" s="1214" t="s">
        <v>1761</v>
      </c>
      <c r="BL13" s="1214" t="s">
        <v>1761</v>
      </c>
      <c r="BN13" s="1214" t="s">
        <v>1780</v>
      </c>
      <c r="BQ13" s="1427">
        <v>4213783</v>
      </c>
      <c r="BR13" s="1214" t="s">
        <v>1744</v>
      </c>
      <c r="BS13" s="1575"/>
      <c r="BT13" s="1216"/>
      <c r="BU13" s="1216"/>
      <c r="BV13" s="1216"/>
      <c r="BW13" s="1839"/>
      <c r="BX13" s="1835"/>
    </row>
    <row customHeight="1" ht="11.25">
      <c r="A14" s="1220" t="s">
        <v>1781</v>
      </c>
      <c r="B14" s="1221">
        <v>2012</v>
      </c>
      <c r="I14" s="1222" t="s">
        <v>176</v>
      </c>
      <c r="J14" s="1213" t="s">
        <v>1782</v>
      </c>
      <c r="N14" s="1213" t="s">
        <v>1783</v>
      </c>
      <c r="V14" s="1229">
        <v>13</v>
      </c>
      <c r="W14" s="1230"/>
      <c r="X14" s="1230" t="s">
        <v>1602</v>
      </c>
      <c r="Y14" s="1221" t="s">
        <v>1570</v>
      </c>
      <c r="AW14" s="1266" t="s">
        <v>175</v>
      </c>
      <c r="AX14" s="1266" t="s">
        <v>175</v>
      </c>
      <c r="AZ14" s="1213" t="s">
        <v>1784</v>
      </c>
      <c r="BB14" s="1266" t="s">
        <v>1785</v>
      </c>
      <c r="BC14" s="1266" t="s">
        <v>1777</v>
      </c>
      <c r="BE14" s="1266">
        <v>2010</v>
      </c>
      <c r="BF14" s="1266" t="s">
        <v>1786</v>
      </c>
      <c r="BH14" s="1214" t="s">
        <v>1707</v>
      </c>
      <c r="BJ14" s="1363" t="s">
        <v>1787</v>
      </c>
      <c r="BL14" s="1363" t="s">
        <v>1787</v>
      </c>
      <c r="BN14" s="1214" t="s">
        <v>1788</v>
      </c>
      <c r="BQ14" s="1427">
        <v>4213782</v>
      </c>
      <c r="BR14" s="1214" t="s">
        <v>214</v>
      </c>
      <c r="BS14" s="1575"/>
      <c r="BT14" s="1216"/>
      <c r="BU14" s="1216"/>
      <c r="BV14" s="1216"/>
      <c r="BW14" s="1839"/>
      <c r="BX14" s="1835"/>
    </row>
    <row customHeight="1" ht="19.5">
      <c r="A15" s="1220" t="s">
        <v>1789</v>
      </c>
      <c r="B15" s="1221">
        <v>2013</v>
      </c>
      <c r="E15" s="1843" t="s">
        <v>1790</v>
      </c>
      <c r="G15" s="1213" t="s">
        <v>1791</v>
      </c>
      <c r="H15" s="1213" t="s">
        <v>1792</v>
      </c>
      <c r="I15" s="1224" t="s">
        <v>177</v>
      </c>
      <c r="J15" s="1235" t="s">
        <v>621</v>
      </c>
      <c r="N15" s="1304" t="s">
        <v>1793</v>
      </c>
      <c r="X15" s="1233"/>
      <c r="AW15" s="1266" t="s">
        <v>176</v>
      </c>
      <c r="AX15" s="1266" t="s">
        <v>176</v>
      </c>
      <c r="AZ15" s="1266" t="s">
        <v>1718</v>
      </c>
      <c r="BB15" s="1266" t="s">
        <v>1794</v>
      </c>
      <c r="BC15" s="1266" t="s">
        <v>1777</v>
      </c>
      <c r="BE15" s="1266">
        <v>2011</v>
      </c>
      <c r="BF15" s="1266" t="s">
        <v>1103</v>
      </c>
      <c r="BH15" s="1214" t="s">
        <v>1210</v>
      </c>
      <c r="BJ15" s="1363" t="s">
        <v>1795</v>
      </c>
      <c r="BL15" s="1363" t="s">
        <v>1795</v>
      </c>
      <c r="BN15" s="1214" t="s">
        <v>1796</v>
      </c>
      <c r="BR15" s="1216"/>
      <c r="BS15" s="1577"/>
      <c r="BT15" s="1216"/>
      <c r="BU15" s="1216"/>
      <c r="BV15" s="1216"/>
      <c r="BW15" s="1839"/>
      <c r="BX15" s="1835"/>
    </row>
    <row customHeight="1" ht="21">
      <c r="A16" s="2013" t="s">
        <v>1797</v>
      </c>
      <c r="B16" s="1221">
        <v>2014</v>
      </c>
      <c r="E16" s="1844" t="s">
        <v>1798</v>
      </c>
      <c r="G16" s="1222" t="s">
        <v>1799</v>
      </c>
      <c r="H16" s="1222" t="s">
        <v>1800</v>
      </c>
      <c r="I16" s="1224" t="s">
        <v>1190</v>
      </c>
      <c r="J16" s="1235" t="s">
        <v>578</v>
      </c>
      <c r="N16" s="1304" t="s">
        <v>1801</v>
      </c>
      <c r="AW16" s="1266" t="s">
        <v>177</v>
      </c>
      <c r="AX16" s="1266" t="s">
        <v>177</v>
      </c>
      <c r="AZ16" s="1266" t="s">
        <v>1732</v>
      </c>
      <c r="BB16" s="1266" t="s">
        <v>1802</v>
      </c>
      <c r="BC16" s="1266" t="s">
        <v>1777</v>
      </c>
      <c r="BE16" s="1266">
        <v>2012</v>
      </c>
      <c r="BH16" s="1214" t="s">
        <v>1736</v>
      </c>
      <c r="BJ16" s="1363" t="s">
        <v>1803</v>
      </c>
      <c r="BL16" s="1363" t="s">
        <v>1803</v>
      </c>
      <c r="BN16" s="1214" t="s">
        <v>1804</v>
      </c>
      <c r="BR16" s="1216"/>
      <c r="BS16" s="1577"/>
      <c r="BT16" s="1216"/>
      <c r="BU16" s="1216"/>
      <c r="BV16" s="1216"/>
      <c r="BW16" s="1839"/>
      <c r="BX16" s="1835"/>
    </row>
    <row customHeight="1" ht="21">
      <c r="A17" s="1220" t="s">
        <v>1805</v>
      </c>
      <c r="B17" s="1221">
        <v>2015</v>
      </c>
      <c r="G17" s="1222" t="s">
        <v>1753</v>
      </c>
      <c r="H17" s="1222" t="s">
        <v>1753</v>
      </c>
      <c r="I17" s="1222" t="s">
        <v>1196</v>
      </c>
      <c r="N17" s="1304" t="s">
        <v>1806</v>
      </c>
      <c r="X17" s="1233"/>
      <c r="AW17" s="1266" t="s">
        <v>1190</v>
      </c>
      <c r="AX17" s="1266" t="s">
        <v>1190</v>
      </c>
      <c r="AZ17" s="1266" t="s">
        <v>68</v>
      </c>
      <c r="BB17" s="1266" t="s">
        <v>1807</v>
      </c>
      <c r="BC17" s="1266" t="s">
        <v>592</v>
      </c>
      <c r="BE17" s="1266">
        <v>2013</v>
      </c>
      <c r="BH17" s="1214" t="s">
        <v>1749</v>
      </c>
      <c r="BJ17" s="1363" t="s">
        <v>1808</v>
      </c>
      <c r="BL17" s="1363" t="s">
        <v>1808</v>
      </c>
      <c r="BN17" s="1214" t="s">
        <v>1809</v>
      </c>
      <c r="BR17" s="1213" t="s">
        <v>1612</v>
      </c>
      <c r="BS17" s="1574"/>
      <c r="BU17" s="1213" t="s">
        <v>1810</v>
      </c>
      <c r="BV17" s="1216"/>
      <c r="BW17" s="1835"/>
      <c r="BX17" s="1837" t="s">
        <v>1811</v>
      </c>
      <c r="CA17" s="1213" t="s">
        <v>1812</v>
      </c>
      <c r="CD17" s="1213" t="s">
        <v>1813</v>
      </c>
    </row>
    <row customHeight="1" ht="21">
      <c r="A18" s="1220" t="s">
        <v>16</v>
      </c>
      <c r="B18" s="1221">
        <v>2016</v>
      </c>
      <c r="E18" s="2148" t="s">
        <v>1814</v>
      </c>
      <c r="I18" s="1222" t="s">
        <v>1199</v>
      </c>
      <c r="N18" s="1304" t="s">
        <v>1815</v>
      </c>
      <c r="X18" s="1233"/>
      <c r="AW18" s="1266" t="s">
        <v>1196</v>
      </c>
      <c r="AX18" s="1266" t="s">
        <v>1196</v>
      </c>
      <c r="BB18" s="1266" t="s">
        <v>1816</v>
      </c>
      <c r="BC18" s="1266" t="s">
        <v>592</v>
      </c>
      <c r="BE18" s="1266">
        <v>2014</v>
      </c>
      <c r="BH18" s="1214" t="s">
        <v>1762</v>
      </c>
      <c r="BJ18" s="1363" t="s">
        <v>1817</v>
      </c>
      <c r="BL18" s="1363" t="s">
        <v>1817</v>
      </c>
      <c r="BN18" s="1214" t="s">
        <v>1251</v>
      </c>
      <c r="BQ18" s="1578" t="s">
        <v>1642</v>
      </c>
      <c r="BR18" s="1305" t="s">
        <v>1643</v>
      </c>
      <c r="BS18" s="420"/>
      <c r="BT18" s="1578" t="s">
        <v>1818</v>
      </c>
      <c r="BU18" s="1305" t="s">
        <v>1819</v>
      </c>
      <c r="BV18" s="1216"/>
      <c r="BW18" s="1842" t="s">
        <v>1820</v>
      </c>
      <c r="BX18" s="1836" t="s">
        <v>1821</v>
      </c>
      <c r="BZ18" s="1578" t="s">
        <v>1822</v>
      </c>
      <c r="CA18" s="1305" t="s">
        <v>1823</v>
      </c>
      <c r="CC18" s="1578" t="s">
        <v>1824</v>
      </c>
      <c r="CD18" s="1305" t="s">
        <v>1825</v>
      </c>
    </row>
    <row customHeight="1" ht="21">
      <c r="A19" s="2013" t="s">
        <v>1826</v>
      </c>
      <c r="B19" s="1221">
        <v>2017</v>
      </c>
      <c r="E19" s="1220" t="s">
        <v>189</v>
      </c>
      <c r="I19" s="1222" t="s">
        <v>1141</v>
      </c>
      <c r="N19" s="1304" t="s">
        <v>1827</v>
      </c>
      <c r="X19" s="1233"/>
      <c r="AW19" s="1266" t="s">
        <v>1199</v>
      </c>
      <c r="AX19" s="1266" t="s">
        <v>1199</v>
      </c>
      <c r="AZ19" s="1213" t="s">
        <v>1828</v>
      </c>
      <c r="BB19" s="1266" t="s">
        <v>1829</v>
      </c>
      <c r="BC19" s="1266" t="s">
        <v>592</v>
      </c>
      <c r="BE19" s="1266">
        <v>2015</v>
      </c>
      <c r="BH19" s="1214" t="s">
        <v>1830</v>
      </c>
      <c r="BJ19" s="1363" t="s">
        <v>1831</v>
      </c>
      <c r="BL19" s="1363" t="s">
        <v>1831</v>
      </c>
      <c r="BQ19" s="1427">
        <v>4190064</v>
      </c>
      <c r="BR19" s="1214" t="s">
        <v>1832</v>
      </c>
      <c r="BS19" s="1575"/>
      <c r="BT19" s="1427">
        <v>4189671</v>
      </c>
      <c r="BU19" s="1214" t="s">
        <v>1833</v>
      </c>
      <c r="BV19" s="1216"/>
      <c r="BW19" s="1840">
        <v>4189706</v>
      </c>
      <c r="BX19" s="1838" t="s">
        <v>1834</v>
      </c>
      <c r="BZ19" s="1427">
        <v>4189714</v>
      </c>
      <c r="CA19" s="1214" t="s">
        <v>1835</v>
      </c>
      <c r="CC19" s="1427">
        <v>4189708</v>
      </c>
      <c r="CD19" s="1214" t="s">
        <v>1836</v>
      </c>
    </row>
    <row customHeight="1" ht="21">
      <c r="A20" s="1220" t="s">
        <v>1837</v>
      </c>
      <c r="B20" s="1221">
        <v>2018</v>
      </c>
      <c r="E20" s="1220" t="s">
        <v>1602</v>
      </c>
      <c r="I20" s="1222" t="s">
        <v>1204</v>
      </c>
      <c r="N20" s="1304" t="s">
        <v>1838</v>
      </c>
      <c r="AW20" s="1266" t="s">
        <v>1141</v>
      </c>
      <c r="AX20" s="1266" t="s">
        <v>1141</v>
      </c>
      <c r="AZ20" s="1266" t="s">
        <v>1839</v>
      </c>
      <c r="BB20" s="1266" t="s">
        <v>1840</v>
      </c>
      <c r="BC20" s="1266" t="s">
        <v>1777</v>
      </c>
      <c r="BE20" s="1266">
        <v>2016</v>
      </c>
      <c r="BH20" s="1214" t="s">
        <v>1773</v>
      </c>
      <c r="BJ20" s="1214" t="s">
        <v>1707</v>
      </c>
      <c r="BL20" s="1214" t="s">
        <v>1707</v>
      </c>
      <c r="BQ20" s="1427">
        <v>4190065</v>
      </c>
      <c r="BR20" s="1214" t="s">
        <v>1841</v>
      </c>
      <c r="BS20" s="1575"/>
      <c r="BT20" s="1427">
        <v>4189672</v>
      </c>
      <c r="BU20" s="1214" t="s">
        <v>1842</v>
      </c>
      <c r="BV20" s="1216"/>
      <c r="BW20" s="1840">
        <v>4189705</v>
      </c>
      <c r="BX20" s="1838" t="s">
        <v>1843</v>
      </c>
      <c r="BZ20" s="1427">
        <v>4189713</v>
      </c>
      <c r="CA20" s="1214" t="s">
        <v>1843</v>
      </c>
      <c r="CC20" s="1427">
        <v>4189709</v>
      </c>
      <c r="CD20" s="1214" t="s">
        <v>1844</v>
      </c>
    </row>
    <row customHeight="1" ht="21">
      <c r="A21" s="1220" t="s">
        <v>1845</v>
      </c>
      <c r="B21" s="1221">
        <v>2019</v>
      </c>
      <c r="I21" s="1222" t="s">
        <v>1157</v>
      </c>
      <c r="N21" s="1304" t="s">
        <v>1846</v>
      </c>
      <c r="AW21" s="1266" t="s">
        <v>1204</v>
      </c>
      <c r="AX21" s="1266" t="s">
        <v>1204</v>
      </c>
      <c r="AZ21" s="1266" t="s">
        <v>1847</v>
      </c>
      <c r="BB21" s="1266" t="s">
        <v>1848</v>
      </c>
      <c r="BC21" s="1266" t="s">
        <v>592</v>
      </c>
      <c r="BE21" s="1266">
        <v>2017</v>
      </c>
      <c r="BH21" s="1214" t="s">
        <v>1780</v>
      </c>
      <c r="BJ21" s="1214" t="s">
        <v>1210</v>
      </c>
      <c r="BL21" s="1214" t="s">
        <v>1210</v>
      </c>
      <c r="BQ21" s="1427">
        <v>4190066</v>
      </c>
      <c r="BR21" s="1214" t="s">
        <v>1849</v>
      </c>
      <c r="BS21" s="1575"/>
      <c r="BT21" s="1427">
        <v>4189673</v>
      </c>
      <c r="BU21" s="1214" t="s">
        <v>1850</v>
      </c>
      <c r="BV21" s="1216"/>
      <c r="BW21" s="1840">
        <v>4189707</v>
      </c>
      <c r="BX21" s="1838" t="s">
        <v>1851</v>
      </c>
      <c r="BZ21" s="1427">
        <v>4189712</v>
      </c>
      <c r="CA21" s="1214" t="s">
        <v>1852</v>
      </c>
      <c r="CC21" s="1427">
        <v>4189710</v>
      </c>
      <c r="CD21" s="1214" t="s">
        <v>1853</v>
      </c>
    </row>
    <row customHeight="1" ht="21">
      <c r="A22" s="1220" t="s">
        <v>1854</v>
      </c>
      <c r="B22" s="1221">
        <v>2020</v>
      </c>
      <c r="N22" s="1304" t="s">
        <v>1855</v>
      </c>
      <c r="AW22" s="1266" t="s">
        <v>1157</v>
      </c>
      <c r="AX22" s="1266" t="s">
        <v>1157</v>
      </c>
      <c r="AZ22" s="1266" t="s">
        <v>1856</v>
      </c>
      <c r="BB22" s="1266" t="s">
        <v>1857</v>
      </c>
      <c r="BC22" s="1266" t="s">
        <v>592</v>
      </c>
      <c r="BE22" s="1266">
        <v>2018</v>
      </c>
      <c r="BH22" s="1214" t="s">
        <v>1788</v>
      </c>
      <c r="BJ22" s="1214" t="s">
        <v>1736</v>
      </c>
      <c r="BL22" s="1214" t="s">
        <v>1736</v>
      </c>
      <c r="BQ22" s="1427">
        <v>4190067</v>
      </c>
      <c r="BR22" s="1214" t="s">
        <v>1858</v>
      </c>
      <c r="BS22" s="1575"/>
      <c r="BT22" s="1427">
        <v>4189674</v>
      </c>
      <c r="BU22" s="1214" t="s">
        <v>1859</v>
      </c>
      <c r="BV22" s="1216"/>
      <c r="BW22" s="1216"/>
      <c r="CC22" s="1427">
        <v>4189711</v>
      </c>
      <c r="CD22" s="1214" t="s">
        <v>315</v>
      </c>
    </row>
    <row customHeight="1" ht="21">
      <c r="A23" s="1220" t="s">
        <v>1860</v>
      </c>
      <c r="B23" s="1221">
        <v>2021</v>
      </c>
      <c r="AW23" s="1266" t="s">
        <v>1211</v>
      </c>
      <c r="AX23" s="1266" t="s">
        <v>1211</v>
      </c>
      <c r="AZ23" s="1266" t="s">
        <v>1861</v>
      </c>
      <c r="BB23" s="1266" t="s">
        <v>1862</v>
      </c>
      <c r="BC23" s="1266" t="s">
        <v>1580</v>
      </c>
      <c r="BE23" s="1266">
        <v>2019</v>
      </c>
      <c r="BH23" s="1214" t="s">
        <v>1796</v>
      </c>
      <c r="BJ23" s="1214" t="s">
        <v>1749</v>
      </c>
      <c r="BL23" s="1214" t="s">
        <v>1749</v>
      </c>
      <c r="BQ23" s="1427">
        <v>4190068</v>
      </c>
      <c r="BR23" s="1214" t="s">
        <v>1863</v>
      </c>
      <c r="BS23" s="1575"/>
      <c r="BT23" s="1427">
        <v>4189675</v>
      </c>
      <c r="BU23" s="1214" t="s">
        <v>1864</v>
      </c>
      <c r="BV23" s="1216"/>
      <c r="BW23" s="1216"/>
      <c r="CC23" s="1427">
        <v>5110778</v>
      </c>
      <c r="CD23" s="1214" t="s">
        <v>1865</v>
      </c>
    </row>
    <row customHeight="1" ht="21">
      <c r="A24" s="1220" t="s">
        <v>1866</v>
      </c>
      <c r="B24" s="1221">
        <v>2022</v>
      </c>
      <c r="AW24" s="1266" t="s">
        <v>1213</v>
      </c>
      <c r="AX24" s="1266" t="s">
        <v>1213</v>
      </c>
      <c r="AZ24" s="1266" t="s">
        <v>1867</v>
      </c>
      <c r="BB24" s="1266" t="s">
        <v>1868</v>
      </c>
      <c r="BC24" s="1266" t="s">
        <v>1869</v>
      </c>
      <c r="BE24" s="1266">
        <v>2020</v>
      </c>
      <c r="BH24" s="1214" t="s">
        <v>1804</v>
      </c>
      <c r="BJ24" s="1214" t="s">
        <v>1762</v>
      </c>
      <c r="BL24" s="1214" t="s">
        <v>1762</v>
      </c>
      <c r="BQ24" s="1427">
        <v>4190069</v>
      </c>
      <c r="BR24" s="1214" t="s">
        <v>1870</v>
      </c>
      <c r="BS24" s="1575"/>
      <c r="BT24" s="1427">
        <v>4189676</v>
      </c>
      <c r="BU24" s="1214" t="s">
        <v>1871</v>
      </c>
      <c r="BV24" s="1216"/>
      <c r="BW24" s="1216"/>
      <c r="CC24" s="1427">
        <v>25575374</v>
      </c>
      <c r="CD24" s="1214" t="s">
        <v>1872</v>
      </c>
    </row>
    <row customHeight="1" ht="11.25">
      <c r="A25" s="1220" t="s">
        <v>1873</v>
      </c>
      <c r="B25" s="1221">
        <v>2023</v>
      </c>
      <c r="AW25" s="1266" t="s">
        <v>1149</v>
      </c>
      <c r="AX25" s="1266" t="s">
        <v>1149</v>
      </c>
      <c r="AZ25" s="1266" t="s">
        <v>1874</v>
      </c>
      <c r="BB25" s="1266" t="s">
        <v>1875</v>
      </c>
      <c r="BC25" s="1266" t="s">
        <v>1869</v>
      </c>
      <c r="BE25" s="1266">
        <v>2021</v>
      </c>
      <c r="BH25" s="1214" t="s">
        <v>1809</v>
      </c>
      <c r="BJ25" s="1214" t="s">
        <v>1830</v>
      </c>
      <c r="BL25" s="1214" t="s">
        <v>1830</v>
      </c>
      <c r="BQ25" s="1427">
        <v>4190070</v>
      </c>
      <c r="BR25" s="1214" t="s">
        <v>1876</v>
      </c>
      <c r="BS25" s="1575"/>
      <c r="BT25" s="1427">
        <v>4189677</v>
      </c>
      <c r="BU25" s="1214" t="s">
        <v>1877</v>
      </c>
      <c r="BV25" s="1216"/>
      <c r="BW25" s="1216"/>
    </row>
    <row customHeight="1" ht="11.25">
      <c r="A26" s="1220" t="s">
        <v>1878</v>
      </c>
      <c r="B26" s="1221">
        <v>2024</v>
      </c>
      <c r="J26" s="1876" t="s">
        <v>1879</v>
      </c>
      <c r="AX26" s="1266" t="s">
        <v>1217</v>
      </c>
      <c r="AZ26" s="1266" t="s">
        <v>1755</v>
      </c>
      <c r="BB26" s="1266" t="s">
        <v>1880</v>
      </c>
      <c r="BC26" s="1266" t="s">
        <v>1869</v>
      </c>
      <c r="BE26" s="1266">
        <v>2022</v>
      </c>
      <c r="BH26" s="1214" t="s">
        <v>1251</v>
      </c>
      <c r="BJ26" s="1214" t="s">
        <v>1773</v>
      </c>
      <c r="BL26" s="1214" t="s">
        <v>1773</v>
      </c>
      <c r="BQ26" s="1427">
        <v>4190071</v>
      </c>
      <c r="BR26" s="1214" t="s">
        <v>1881</v>
      </c>
      <c r="BS26" s="1575"/>
      <c r="BV26" s="1216"/>
      <c r="BW26" s="1216"/>
    </row>
    <row customHeight="1" ht="11.25">
      <c r="A27" s="1220" t="s">
        <v>1882</v>
      </c>
      <c r="B27" s="1221">
        <v>2025</v>
      </c>
      <c r="J27" s="322" t="s">
        <v>106</v>
      </c>
      <c r="AX27" s="1266" t="s">
        <v>1167</v>
      </c>
      <c r="BB27" s="1266" t="s">
        <v>1883</v>
      </c>
      <c r="BC27" s="1266" t="s">
        <v>1869</v>
      </c>
      <c r="BE27" s="1266">
        <v>2023</v>
      </c>
      <c r="BH27" s="1216" t="s">
        <v>22</v>
      </c>
      <c r="BJ27" s="1214" t="s">
        <v>1780</v>
      </c>
      <c r="BL27" s="1214" t="s">
        <v>1780</v>
      </c>
      <c r="BN27" s="1216" t="s">
        <v>22</v>
      </c>
      <c r="BQ27" s="1427">
        <v>4190072</v>
      </c>
      <c r="BR27" s="1214" t="s">
        <v>1884</v>
      </c>
      <c r="BS27" s="1575"/>
      <c r="BV27" s="1216"/>
      <c r="BW27" s="1216"/>
    </row>
    <row customHeight="1" ht="11.25">
      <c r="A28" s="1220" t="s">
        <v>1885</v>
      </c>
      <c r="D28" s="1247"/>
      <c r="E28" s="1248"/>
      <c r="F28" s="1248"/>
      <c r="H28" s="1249" t="s">
        <v>1886</v>
      </c>
      <c r="AX28" s="1266" t="s">
        <v>1220</v>
      </c>
      <c r="AZ28" s="1213" t="s">
        <v>1887</v>
      </c>
      <c r="BB28" s="1266" t="s">
        <v>1888</v>
      </c>
      <c r="BC28" s="1266" t="s">
        <v>1889</v>
      </c>
      <c r="BE28" s="1266">
        <v>2024</v>
      </c>
      <c r="BH28" s="1216" t="s">
        <v>22</v>
      </c>
      <c r="BJ28" s="1214" t="s">
        <v>1788</v>
      </c>
      <c r="BL28" s="1214" t="s">
        <v>1788</v>
      </c>
      <c r="BN28" s="1216" t="s">
        <v>22</v>
      </c>
      <c r="BQ28" s="1427">
        <v>4190073</v>
      </c>
      <c r="BR28" s="1214" t="s">
        <v>1890</v>
      </c>
      <c r="BS28" s="1575"/>
      <c r="BV28" s="1216"/>
      <c r="BW28" s="1216"/>
    </row>
    <row customHeight="1" ht="11.25">
      <c r="A29" s="1220" t="s">
        <v>1891</v>
      </c>
      <c r="D29" s="1250" t="s">
        <v>1892</v>
      </c>
      <c r="E29" s="1251" t="str">
        <f>IF(TEMPLATE_GROUP="","",INDEX(StartDateList,MATCH(TEMPLATE_GROUP,CodeTemplateList,0),1))</f>
        <v>01.01.2025</v>
      </c>
      <c r="F29" s="1251" t="str">
        <f>IF(TEMPLATE_GROUP="","",INDEX(EndDateList,MATCH(TEMPLATE_GROUP,CodeTemplateList,0),1))</f>
        <v>31.12.2025</v>
      </c>
      <c r="H29" s="1252" t="s">
        <v>1893</v>
      </c>
      <c r="AX29" s="1266" t="s">
        <v>1222</v>
      </c>
      <c r="AZ29" s="1266" t="s">
        <v>1565</v>
      </c>
      <c r="BB29" s="1266" t="s">
        <v>1755</v>
      </c>
      <c r="BC29" s="1237"/>
      <c r="BE29" s="1266">
        <v>2025</v>
      </c>
      <c r="BJ29" s="1214" t="s">
        <v>1796</v>
      </c>
      <c r="BL29" s="1214" t="s">
        <v>1796</v>
      </c>
    </row>
    <row customHeight="1" ht="11.25">
      <c r="A30" s="1220" t="s">
        <v>1894</v>
      </c>
      <c r="D30" s="1253"/>
      <c r="E30" s="1254"/>
      <c r="F30" s="1254"/>
      <c r="AX30" s="1266" t="s">
        <v>1224</v>
      </c>
      <c r="AZ30" s="1266" t="s">
        <v>1591</v>
      </c>
      <c r="BE30" s="1266">
        <v>2026</v>
      </c>
      <c r="BJ30" s="1214" t="s">
        <v>1895</v>
      </c>
      <c r="BL30" s="1214" t="s">
        <v>1895</v>
      </c>
    </row>
    <row customHeight="1" ht="12.75">
      <c r="A31" s="1220" t="s">
        <v>1896</v>
      </c>
      <c r="D31" s="1247"/>
      <c r="E31" s="1248"/>
      <c r="F31" s="1248"/>
      <c r="H31" s="1255"/>
      <c r="AX31" s="1266" t="s">
        <v>1226</v>
      </c>
      <c r="AZ31" s="1266" t="s">
        <v>1897</v>
      </c>
      <c r="BE31" s="1266">
        <v>2027</v>
      </c>
      <c r="BJ31" s="1214" t="s">
        <v>1898</v>
      </c>
      <c r="BL31" s="1214" t="s">
        <v>1898</v>
      </c>
    </row>
    <row customHeight="1" ht="11.25">
      <c r="A32" s="1220" t="s">
        <v>1899</v>
      </c>
      <c r="D32" s="1250" t="s">
        <v>1900</v>
      </c>
      <c r="E32" s="1251" t="str">
        <f>IF(TEMPLATE_GROUP="","",INDEX(StartDateList,MATCH(TEMPLATE_GROUP,CodeTemplateList,0),1))</f>
        <v>01.01.2025</v>
      </c>
      <c r="F32" s="1251" t="str">
        <f>IF(TEMPLATE_GROUP="","",INDEX(EndDateList,MATCH(TEMPLATE_GROUP,CodeTemplateList,0),1))</f>
        <v>31.12.2025</v>
      </c>
      <c r="H32" s="1256" t="s">
        <v>1901</v>
      </c>
      <c r="O32" s="1220" t="s">
        <v>1563</v>
      </c>
      <c r="AX32" s="1266" t="s">
        <v>1229</v>
      </c>
      <c r="AZ32" s="1266" t="s">
        <v>1658</v>
      </c>
      <c r="BE32" s="1266">
        <v>2028</v>
      </c>
      <c r="BJ32" s="1214" t="s">
        <v>1804</v>
      </c>
      <c r="BL32" s="1214" t="s">
        <v>1804</v>
      </c>
    </row>
    <row customHeight="1" ht="11.25">
      <c r="A33" s="1220" t="s">
        <v>1902</v>
      </c>
      <c r="O33" s="1220" t="s">
        <v>1588</v>
      </c>
      <c r="AX33" s="1266" t="s">
        <v>1145</v>
      </c>
      <c r="AZ33" s="1266" t="s">
        <v>1564</v>
      </c>
      <c r="BE33" s="1266">
        <v>2029</v>
      </c>
      <c r="BJ33" s="1214" t="s">
        <v>1809</v>
      </c>
      <c r="BL33" s="1214" t="s">
        <v>1809</v>
      </c>
    </row>
    <row customHeight="1" ht="11.25">
      <c r="A34" s="1220" t="s">
        <v>1903</v>
      </c>
      <c r="O34" s="1220" t="s">
        <v>1623</v>
      </c>
      <c r="AX34" s="1266" t="s">
        <v>1232</v>
      </c>
      <c r="BE34" s="1266">
        <v>2030</v>
      </c>
      <c r="BJ34" s="1214" t="s">
        <v>1251</v>
      </c>
      <c r="BL34" s="1214" t="s">
        <v>1251</v>
      </c>
    </row>
    <row customHeight="1" ht="11.25">
      <c r="A35" s="1220" t="s">
        <v>1904</v>
      </c>
      <c r="O35" s="1220" t="s">
        <v>1656</v>
      </c>
      <c r="AX35" s="1266" t="s">
        <v>1234</v>
      </c>
      <c r="AZ35" s="1213" t="s">
        <v>1905</v>
      </c>
      <c r="BE35" s="1266">
        <v>2031</v>
      </c>
      <c r="BL35" s="1214" t="s">
        <v>1906</v>
      </c>
    </row>
    <row customHeight="1" ht="11.25">
      <c r="A36" s="2013" t="s">
        <v>1907</v>
      </c>
      <c r="D36" s="1257" t="s">
        <v>1908</v>
      </c>
      <c r="E36" s="1258" t="s">
        <v>869</v>
      </c>
      <c r="F36" s="1259" t="str">
        <f>INDEX(E37:E41,MATCH(TEMPLATE_SPHERE,F37:F41,0))</f>
        <v>теплоснабжения</v>
      </c>
      <c r="G36" s="1259" t="str">
        <f>INDEX(G37:G41,MATCH(TEMPLATE_SPHERE,F37:F41,0))</f>
        <v>теплоснабжение</v>
      </c>
      <c r="O36" s="1220" t="s">
        <v>1679</v>
      </c>
      <c r="AX36" s="1266" t="s">
        <v>1236</v>
      </c>
      <c r="AZ36" s="1266" t="s">
        <v>1564</v>
      </c>
      <c r="BE36" s="1266">
        <v>2032</v>
      </c>
      <c r="BL36" s="1214" t="s">
        <v>1909</v>
      </c>
    </row>
    <row customHeight="1" ht="11.25">
      <c r="A37" s="1220" t="s">
        <v>1910</v>
      </c>
      <c r="E37" s="553" t="s">
        <v>1911</v>
      </c>
      <c r="F37" s="1260" t="s">
        <v>869</v>
      </c>
      <c r="G37" s="553" t="s">
        <v>1912</v>
      </c>
      <c r="O37" s="1220" t="s">
        <v>1698</v>
      </c>
      <c r="AX37" s="1266" t="s">
        <v>1241</v>
      </c>
      <c r="AZ37" s="1266" t="s">
        <v>1590</v>
      </c>
      <c r="BE37" s="1266">
        <v>2033</v>
      </c>
    </row>
    <row customHeight="1" ht="11.25">
      <c r="A38" s="1220" t="s">
        <v>1913</v>
      </c>
      <c r="E38" s="553" t="s">
        <v>1914</v>
      </c>
      <c r="F38" s="1261" t="s">
        <v>918</v>
      </c>
      <c r="G38" s="553" t="s">
        <v>1915</v>
      </c>
      <c r="O38" s="1220" t="s">
        <v>1714</v>
      </c>
      <c r="AX38" s="1266" t="s">
        <v>1243</v>
      </c>
      <c r="AZ38" s="1266" t="s">
        <v>1624</v>
      </c>
      <c r="BE38" s="1266">
        <v>2034</v>
      </c>
      <c r="BH38" s="1213" t="s">
        <v>1916</v>
      </c>
      <c r="BJ38" s="1213" t="s">
        <v>1917</v>
      </c>
      <c r="BL38" s="1213" t="s">
        <v>1918</v>
      </c>
      <c r="BN38" s="1213" t="s">
        <v>1919</v>
      </c>
    </row>
    <row customHeight="1" ht="11.25">
      <c r="A39" s="1220" t="s">
        <v>1920</v>
      </c>
      <c r="E39" s="553" t="s">
        <v>1921</v>
      </c>
      <c r="F39" s="1261" t="s">
        <v>971</v>
      </c>
      <c r="G39" s="553" t="s">
        <v>1922</v>
      </c>
      <c r="O39" s="1220" t="s">
        <v>1728</v>
      </c>
      <c r="AX39" s="1266" t="s">
        <v>1245</v>
      </c>
      <c r="AZ39" s="1266" t="s">
        <v>1657</v>
      </c>
      <c r="BE39" s="1266">
        <v>2035</v>
      </c>
      <c r="BH39" s="1214" t="s">
        <v>1923</v>
      </c>
      <c r="BJ39" s="1363" t="s">
        <v>1923</v>
      </c>
      <c r="BL39" s="1363" t="s">
        <v>1923</v>
      </c>
      <c r="BN39" s="1214" t="s">
        <v>1924</v>
      </c>
    </row>
    <row customHeight="1" ht="11.25">
      <c r="A40" s="1220" t="s">
        <v>1925</v>
      </c>
      <c r="E40" s="553" t="s">
        <v>1926</v>
      </c>
      <c r="F40" s="1261" t="s">
        <v>958</v>
      </c>
      <c r="G40" s="553" t="s">
        <v>1927</v>
      </c>
      <c r="O40" s="1220" t="s">
        <v>1743</v>
      </c>
      <c r="AX40" s="1266" t="s">
        <v>1247</v>
      </c>
      <c r="BE40" s="1266">
        <v>2036</v>
      </c>
      <c r="BH40" s="1214" t="s">
        <v>1928</v>
      </c>
      <c r="BJ40" s="1363" t="s">
        <v>1371</v>
      </c>
      <c r="BL40" s="1363" t="s">
        <v>1371</v>
      </c>
      <c r="BN40" s="1214" t="s">
        <v>1405</v>
      </c>
    </row>
    <row customHeight="1" ht="11.25">
      <c r="A41" s="1220" t="s">
        <v>1929</v>
      </c>
      <c r="E41" s="553" t="s">
        <v>1930</v>
      </c>
      <c r="F41" s="1261" t="s">
        <v>1931</v>
      </c>
      <c r="G41" s="553" t="s">
        <v>1930</v>
      </c>
      <c r="O41" s="1220" t="s">
        <v>1755</v>
      </c>
      <c r="AX41" s="1266" t="s">
        <v>1249</v>
      </c>
      <c r="AZ41" s="1213" t="s">
        <v>1932</v>
      </c>
      <c r="BE41" s="1266">
        <v>2037</v>
      </c>
      <c r="BH41" s="1214" t="s">
        <v>1933</v>
      </c>
      <c r="BJ41" s="1363" t="s">
        <v>1367</v>
      </c>
      <c r="BL41" s="1363" t="s">
        <v>1367</v>
      </c>
      <c r="BN41" s="1214" t="s">
        <v>1392</v>
      </c>
    </row>
    <row customHeight="1" ht="11.25">
      <c r="A42" s="1220" t="s">
        <v>1934</v>
      </c>
      <c r="AX42" s="1266" t="s">
        <v>1252</v>
      </c>
      <c r="AZ42" s="1266" t="s">
        <v>1563</v>
      </c>
      <c r="BE42" s="1266">
        <v>2038</v>
      </c>
      <c r="BH42" s="1214" t="s">
        <v>1389</v>
      </c>
      <c r="BJ42" s="1363" t="s">
        <v>1369</v>
      </c>
      <c r="BL42" s="1363" t="s">
        <v>1369</v>
      </c>
      <c r="BN42" s="1214" t="s">
        <v>1935</v>
      </c>
    </row>
    <row customHeight="1" ht="11.25">
      <c r="A43" s="1220" t="s">
        <v>1936</v>
      </c>
      <c r="AX43" s="1266" t="s">
        <v>1254</v>
      </c>
      <c r="AZ43" s="1266" t="s">
        <v>1588</v>
      </c>
      <c r="BE43" s="1266">
        <v>2039</v>
      </c>
      <c r="BH43" s="1214" t="s">
        <v>1937</v>
      </c>
      <c r="BJ43" s="1363" t="s">
        <v>1933</v>
      </c>
      <c r="BL43" s="1363" t="s">
        <v>1933</v>
      </c>
      <c r="BN43" s="1214" t="s">
        <v>1938</v>
      </c>
    </row>
    <row customHeight="1" ht="11.25">
      <c r="A44" s="1220" t="s">
        <v>1939</v>
      </c>
      <c r="G44" s="1240">
        <f>YEAR(TODAY())</f>
        <v>2026</v>
      </c>
      <c r="I44" s="945" t="s">
        <v>1940</v>
      </c>
      <c r="J44" s="1235" t="s">
        <v>1941</v>
      </c>
      <c r="K44" s="1235" t="s">
        <v>1942</v>
      </c>
      <c r="AX44" s="1266" t="s">
        <v>1256</v>
      </c>
      <c r="AZ44" s="1266" t="s">
        <v>1623</v>
      </c>
      <c r="BE44" s="1266">
        <v>2040</v>
      </c>
      <c r="BH44" s="1214" t="s">
        <v>1943</v>
      </c>
      <c r="BJ44" s="1363" t="s">
        <v>1389</v>
      </c>
      <c r="BL44" s="1363" t="s">
        <v>1389</v>
      </c>
      <c r="BN44" s="1214" t="s">
        <v>1944</v>
      </c>
    </row>
    <row customHeight="1" ht="11.25">
      <c r="A45" s="1220" t="s">
        <v>1945</v>
      </c>
      <c r="D45" s="1257" t="s">
        <v>1946</v>
      </c>
      <c r="E45" s="1258" t="s">
        <v>1947</v>
      </c>
      <c r="F45" s="943" t="s">
        <v>1948</v>
      </c>
      <c r="G45" s="942" t="s">
        <v>1949</v>
      </c>
      <c r="H45" s="945" t="s">
        <v>1950</v>
      </c>
      <c r="I45" s="1886">
        <f>INDEX(PeriodIsEmptyList,MATCH(TEMPLATE_GROUP,CodeTemplateList,0),1)</f>
        <v>0</v>
      </c>
      <c r="J45" s="188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88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266" t="s">
        <v>100</v>
      </c>
      <c r="AZ45" s="1266" t="s">
        <v>1656</v>
      </c>
      <c r="BE45" s="1266">
        <v>2041</v>
      </c>
      <c r="BH45" s="1214" t="s">
        <v>1951</v>
      </c>
      <c r="BJ45" s="1363" t="s">
        <v>1383</v>
      </c>
      <c r="BL45" s="1363" t="s">
        <v>1383</v>
      </c>
      <c r="BN45" s="1214" t="s">
        <v>1952</v>
      </c>
    </row>
    <row customHeight="1" ht="11.25">
      <c r="A46" s="1220" t="s">
        <v>1953</v>
      </c>
      <c r="E46" s="553" t="s">
        <v>27</v>
      </c>
      <c r="F46" s="1260" t="s">
        <v>1954</v>
      </c>
      <c r="G46" s="1262" t="str">
        <f>_xlfn.IFERROR(IF(TITLE_DATE_FIL="","01.01."&amp;CURRENT_YEAR,"01.01."&amp;YEAR(TITLE_DATE_FIL)),"01.01."&amp;CURRENT_YEAR)</f>
        <v>01.01.2026</v>
      </c>
      <c r="H46" s="1262" t="str">
        <f>_xlfn.IFERROR(IF(TITLE_DATE_FIL="","31.12."&amp;CURRENT_YEAR,"31.12."&amp;YEAR(TITLE_DATE_FIL)),"31.12."&amp;CURRENT_YEAR)</f>
        <v>31.12.2026</v>
      </c>
      <c r="I46" s="1887">
        <f>IF(TITLE_DATE_FIL="",TRUE,FALSE)</f>
        <v>1</v>
      </c>
      <c r="J46" s="1890" t="str">
        <f>"Общая информация о регулируемой организации ("&amp;TEMPLATE_SPHERE_RUS&amp;")"</f>
        <v>Общая информация о регулируемой организации (теплоснабжения)</v>
      </c>
      <c r="K46" s="1891"/>
      <c r="AX46" s="1266" t="s">
        <v>1259</v>
      </c>
      <c r="AZ46" s="1266" t="s">
        <v>1679</v>
      </c>
      <c r="BE46" s="1266">
        <v>2042</v>
      </c>
      <c r="BH46" s="1214" t="s">
        <v>1392</v>
      </c>
      <c r="BJ46" s="1363" t="s">
        <v>1373</v>
      </c>
      <c r="BL46" s="1363" t="s">
        <v>1373</v>
      </c>
      <c r="BN46" s="1214" t="s">
        <v>1955</v>
      </c>
    </row>
    <row customHeight="1" ht="11.25">
      <c r="A47" s="1220" t="s">
        <v>1956</v>
      </c>
      <c r="E47" s="553" t="s">
        <v>33</v>
      </c>
      <c r="F47" s="1261" t="s">
        <v>1957</v>
      </c>
      <c r="G47" s="1262" t="str">
        <f>_xlfn.IFERROR(IF(f_year="","01.01."&amp;CURRENT_YEAR,IF(LEN(f_quart)=0,"01.01."&amp;f_year,IF(f_quart="I квартал","01.01."&amp;f_year,IF(f_quart="II квартал","01.04."&amp;f_year,(IF(f_quart="III квартал","01.07."&amp;f_year,"01.10."&amp;f_year)))))),"01.01."&amp;CURRENT_YEAR)</f>
        <v>01.01.2025</v>
      </c>
      <c r="H47" s="1262" t="str">
        <f>_xlfn.IFERROR(IF(f_year="","31.12."&amp;CURRENT_YEAR,IF(LEN(f_quart)=0,"31.12."&amp;f_year,IF(f_quart="I квартал","31.03."&amp;f_year,IF(f_quart="II квартал","30.06."&amp;f_year,(IF(f_quart="III квартал","30.09."&amp;f_year,"31.12."&amp;f_year)))))),"31.12."&amp;CURRENT_YEAR)</f>
        <v>31.12.2025</v>
      </c>
      <c r="I47" s="1888">
        <f>IF(OR(f_year="",f_quart=""),TRUE,FALSE)</f>
        <v>1</v>
      </c>
      <c r="J47" s="189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891"/>
      <c r="AX47" s="1266" t="s">
        <v>1261</v>
      </c>
      <c r="AZ47" s="1266" t="s">
        <v>1698</v>
      </c>
      <c r="BE47" s="1266">
        <v>2043</v>
      </c>
      <c r="BH47" s="1214" t="s">
        <v>1935</v>
      </c>
      <c r="BJ47" s="1363" t="s">
        <v>1375</v>
      </c>
      <c r="BL47" s="1363" t="s">
        <v>1375</v>
      </c>
      <c r="BN47" s="1214" t="s">
        <v>1958</v>
      </c>
    </row>
    <row customHeight="1" ht="11.25">
      <c r="A48" s="1220" t="s">
        <v>1959</v>
      </c>
      <c r="E48" s="553" t="s">
        <v>1960</v>
      </c>
      <c r="F48" s="1261" t="s">
        <v>1947</v>
      </c>
      <c r="G48" s="1262" t="str">
        <f>_xlfn.IFERROR(IF(f_year="","01.01."&amp;CURRENT_YEAR,"01.01."&amp;f_year),"01.01."&amp;CURRENT_YEAR)</f>
        <v>01.01.2025</v>
      </c>
      <c r="H48" s="1262" t="str">
        <f>_xlfn.IFERROR(IF(f_year="","31.12."&amp;CURRENT_YEAR,"31.12."&amp;f_year),"31.12."&amp;CURRENT_YEAR)</f>
        <v>31.12.2025</v>
      </c>
      <c r="I48" s="1887">
        <f>IF(f_year="",TRUE,FALSE)</f>
        <v>0</v>
      </c>
      <c r="J48" s="1890" t="s">
        <v>1961</v>
      </c>
      <c r="K48" s="1891"/>
      <c r="AX48" s="1266" t="s">
        <v>1263</v>
      </c>
      <c r="AZ48" s="1266" t="s">
        <v>1714</v>
      </c>
      <c r="BE48" s="1266">
        <v>2044</v>
      </c>
      <c r="BH48" s="1214" t="s">
        <v>1938</v>
      </c>
      <c r="BJ48" s="1363" t="s">
        <v>1377</v>
      </c>
      <c r="BL48" s="1363" t="s">
        <v>1377</v>
      </c>
      <c r="BN48" s="1214" t="s">
        <v>1962</v>
      </c>
    </row>
    <row customHeight="1" ht="11.25">
      <c r="A49" s="1220" t="s">
        <v>1963</v>
      </c>
      <c r="E49" s="553" t="s">
        <v>1964</v>
      </c>
      <c r="F49" s="1261" t="s">
        <v>1965</v>
      </c>
      <c r="G49" s="1262" t="str">
        <f>_xlfn.IFERROR(IF(f_year="","01.01."&amp;CURRENT_YEAR,"01.01."&amp;f_year),"01.01."&amp;CURRENT_YEAR)</f>
        <v>01.01.2025</v>
      </c>
      <c r="H49" s="1262" t="str">
        <f>_xlfn.IFERROR(IF(f_year="","31.12."&amp;CURRENT_YEAR,"31.12."&amp;f_year),"31.12."&amp;CURRENT_YEAR)</f>
        <v>31.12.2025</v>
      </c>
      <c r="I49" s="1887">
        <f>IF(f_year="",TRUE,FALSE)</f>
        <v>0</v>
      </c>
      <c r="J49" s="189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891"/>
      <c r="AX49" s="1266" t="s">
        <v>1265</v>
      </c>
      <c r="AZ49" s="1266" t="s">
        <v>1728</v>
      </c>
      <c r="BE49" s="1266">
        <v>2045</v>
      </c>
      <c r="BH49" s="1214" t="s">
        <v>1393</v>
      </c>
      <c r="BJ49" s="1363" t="s">
        <v>1379</v>
      </c>
      <c r="BL49" s="1363" t="s">
        <v>1379</v>
      </c>
    </row>
    <row customHeight="1" ht="11.25">
      <c r="A50" s="1220" t="s">
        <v>1966</v>
      </c>
      <c r="E50" s="553" t="s">
        <v>1967</v>
      </c>
      <c r="F50" s="1261" t="s">
        <v>1363</v>
      </c>
      <c r="G50" s="1262" t="str">
        <f>_xlfn.IFERROR(IF(f_year="","01.01."&amp;CURRENT_YEAR,"01.01."&amp;f_year),"01.01."&amp;CURRENT_YEAR)</f>
        <v>01.01.2025</v>
      </c>
      <c r="H50" s="1262" t="str">
        <f>_xlfn.IFERROR(IF(f_year="","31.12."&amp;CURRENT_YEAR,"31.12."&amp;f_year),"31.12."&amp;CURRENT_YEAR)</f>
        <v>31.12.2025</v>
      </c>
      <c r="I50" s="1887">
        <f>IF(f_year="",TRUE,FALSE)</f>
        <v>0</v>
      </c>
      <c r="J50" s="189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891"/>
      <c r="AX50" s="1266" t="s">
        <v>1267</v>
      </c>
      <c r="AZ50" s="1266" t="s">
        <v>1743</v>
      </c>
      <c r="BE50" s="1266">
        <v>2046</v>
      </c>
      <c r="BH50" s="1214" t="s">
        <v>1944</v>
      </c>
      <c r="BJ50" s="1363" t="s">
        <v>1381</v>
      </c>
      <c r="BL50" s="1363" t="s">
        <v>1381</v>
      </c>
    </row>
    <row customHeight="1" ht="11.25">
      <c r="A51" s="1220" t="s">
        <v>1968</v>
      </c>
      <c r="E51" s="553" t="s">
        <v>1969</v>
      </c>
      <c r="F51" s="1261" t="s">
        <v>1970</v>
      </c>
      <c r="G51" s="1262" t="str">
        <f>_xlfn.IFERROR(IF(TITLE_PERIOD_START="","01.01."&amp;CURRENT_YEAR,"01.01."&amp;YEAR(TITLE_PERIOD_START)),"01.01."&amp;CURRENT_YEAR)</f>
        <v>01.01.2026</v>
      </c>
      <c r="H51" s="1262" t="str">
        <f>_xlfn.IFERROR(IF(TITLE_PERIOD_END="","31.12."&amp;CURRENT_YEAR,"31.12."&amp;YEAR(TITLE_PERIOD_END)),"31.12."&amp;CURRENT_YEAR)</f>
        <v>31.12.2026</v>
      </c>
      <c r="I51" s="1888">
        <f>IF(OR(TITLE_PERIOD_START="",TITLE_PERIOD_END=""),TRUE,FALSE)</f>
        <v>1</v>
      </c>
      <c r="J51" s="189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891"/>
      <c r="AX51" s="1266" t="s">
        <v>1270</v>
      </c>
      <c r="AZ51" s="1266" t="s">
        <v>1755</v>
      </c>
      <c r="BE51" s="1266">
        <v>2047</v>
      </c>
      <c r="BH51" s="1214" t="s">
        <v>1952</v>
      </c>
      <c r="BJ51" s="1363" t="s">
        <v>1971</v>
      </c>
      <c r="BL51" s="1363" t="s">
        <v>1971</v>
      </c>
    </row>
    <row customHeight="1" ht="11.25">
      <c r="A52" s="1220" t="s">
        <v>1972</v>
      </c>
      <c r="E52" s="553" t="s">
        <v>1973</v>
      </c>
      <c r="F52" s="1261" t="s">
        <v>1974</v>
      </c>
      <c r="G52" s="1262" t="str">
        <f>_xlfn.IFERROR(IF(TITLE_PERIOD_START="","01.01."&amp;CURRENT_YEAR,"01.01."&amp;YEAR(TITLE_PERIOD_START)),"01.01."&amp;CURRENT_YEAR)</f>
        <v>01.01.2026</v>
      </c>
      <c r="H52" s="1262" t="str">
        <f>_xlfn.IFERROR(IF(TITLE_PERIOD_END="","31.12."&amp;CURRENT_YEAR,"31.12."&amp;YEAR(TITLE_PERIOD_END)),"31.12."&amp;CURRENT_YEAR)</f>
        <v>31.12.2026</v>
      </c>
      <c r="I52" s="1888">
        <f>IF(OR(TITLE_PERIOD_START="",TITLE_PERIOD_END=""),TRUE,FALSE)</f>
        <v>1</v>
      </c>
      <c r="J52" s="1890" t="str">
        <f>"Показатели, подлежащие раскрытию в сфере "&amp;TEMPLATE_SPHERE_RUS&amp;" (цены и тарифы)"</f>
        <v>Показатели, подлежащие раскрытию в сфере теплоснабжения (цены и тарифы)</v>
      </c>
      <c r="K52" s="1891"/>
      <c r="AX52" s="1266" t="s">
        <v>1272</v>
      </c>
      <c r="AZ52" s="1266" t="s">
        <v>1564</v>
      </c>
      <c r="BE52" s="1266">
        <v>2048</v>
      </c>
      <c r="BH52" s="1214" t="s">
        <v>1955</v>
      </c>
      <c r="BJ52" s="1363" t="s">
        <v>1392</v>
      </c>
      <c r="BL52" s="1363" t="s">
        <v>1392</v>
      </c>
    </row>
    <row customHeight="1" ht="11.25">
      <c r="A53" s="1220" t="s">
        <v>1975</v>
      </c>
      <c r="E53" s="553" t="s">
        <v>1976</v>
      </c>
      <c r="F53" s="1261" t="s">
        <v>1976</v>
      </c>
      <c r="G53" s="1262" t="str">
        <f>_xlfn.IFERROR(IF(f_year="","01.01."&amp;CURRENT_YEAR,"01.01."&amp;f_year),"01.01."&amp;CURRENT_YEAR)</f>
        <v>01.01.2025</v>
      </c>
      <c r="H53" s="1262" t="str">
        <f>_xlfn.IFERROR(IF(f_year="","31.12."&amp;CURRENT_YEAR,"31.12."&amp;f_year),"31.12."&amp;CURRENT_YEAR)</f>
        <v>31.12.2025</v>
      </c>
      <c r="I53" s="1887">
        <f>IF(AND(f_year="",TITLE_DATE_FIL=""),TRUE,FALSE)</f>
        <v>0</v>
      </c>
      <c r="J53" s="1890" t="s">
        <v>1977</v>
      </c>
      <c r="K53" s="1891"/>
      <c r="AX53" s="1266" t="s">
        <v>1276</v>
      </c>
      <c r="BE53" s="1266">
        <v>2049</v>
      </c>
      <c r="BH53" s="1214" t="s">
        <v>1958</v>
      </c>
      <c r="BJ53" s="1363" t="s">
        <v>1935</v>
      </c>
      <c r="BL53" s="1363" t="s">
        <v>1935</v>
      </c>
    </row>
    <row customHeight="1" ht="11.25">
      <c r="A54" s="1220" t="s">
        <v>1978</v>
      </c>
      <c r="AX54" s="1266" t="s">
        <v>1979</v>
      </c>
      <c r="AZ54" s="1213" t="s">
        <v>1980</v>
      </c>
      <c r="BE54" s="1266">
        <v>2050</v>
      </c>
      <c r="BH54" s="1214" t="s">
        <v>1962</v>
      </c>
      <c r="BJ54" s="1363" t="s">
        <v>1938</v>
      </c>
      <c r="BL54" s="1363" t="s">
        <v>1938</v>
      </c>
    </row>
    <row customHeight="1" ht="11.25">
      <c r="A55" s="1220" t="s">
        <v>1981</v>
      </c>
      <c r="AX55" s="1266" t="s">
        <v>1982</v>
      </c>
      <c r="AZ55" s="1266" t="s">
        <v>1566</v>
      </c>
      <c r="BE55" s="1266">
        <v>2051</v>
      </c>
      <c r="BH55" s="1216" t="s">
        <v>22</v>
      </c>
      <c r="BJ55" s="1363" t="s">
        <v>1393</v>
      </c>
      <c r="BL55" s="1363" t="s">
        <v>1393</v>
      </c>
    </row>
    <row customHeight="1" ht="11.25">
      <c r="A56" s="1220" t="s">
        <v>1983</v>
      </c>
      <c r="D56" s="1264" t="s">
        <v>1984</v>
      </c>
      <c r="E56" s="1241" t="s">
        <v>1985</v>
      </c>
      <c r="F56" s="1220" t="s">
        <v>1986</v>
      </c>
      <c r="AX56" s="1266" t="s">
        <v>1987</v>
      </c>
      <c r="AZ56" s="1266" t="s">
        <v>1592</v>
      </c>
      <c r="BE56" s="1266">
        <v>2052</v>
      </c>
      <c r="BH56" s="1216" t="s">
        <v>22</v>
      </c>
      <c r="BJ56" s="1363" t="s">
        <v>1944</v>
      </c>
      <c r="BL56" s="1363" t="s">
        <v>1944</v>
      </c>
    </row>
    <row customHeight="1" ht="11.25">
      <c r="A57" s="1220" t="s">
        <v>1988</v>
      </c>
      <c r="D57" s="1264" t="s">
        <v>1989</v>
      </c>
      <c r="E57" s="1241" t="s">
        <v>1990</v>
      </c>
      <c r="F57" s="1220" t="s">
        <v>1986</v>
      </c>
      <c r="AX57" s="1266" t="s">
        <v>1991</v>
      </c>
      <c r="AZ57" s="1266" t="s">
        <v>1626</v>
      </c>
      <c r="BE57" s="1266">
        <v>2053</v>
      </c>
      <c r="BJ57" s="1363" t="s">
        <v>1952</v>
      </c>
      <c r="BL57" s="1363" t="s">
        <v>1952</v>
      </c>
    </row>
    <row customHeight="1" ht="11.25">
      <c r="A58" s="1220" t="s">
        <v>1992</v>
      </c>
      <c r="D58" s="1264" t="s">
        <v>1993</v>
      </c>
      <c r="E58" s="1241" t="s">
        <v>1990</v>
      </c>
      <c r="F58" s="1220" t="s">
        <v>1986</v>
      </c>
      <c r="AX58" s="1266" t="s">
        <v>1136</v>
      </c>
      <c r="BE58" s="1266">
        <v>2054</v>
      </c>
      <c r="BJ58" s="1363" t="s">
        <v>1955</v>
      </c>
      <c r="BL58" s="1363" t="s">
        <v>1955</v>
      </c>
    </row>
    <row customHeight="1" ht="11.25">
      <c r="A59" s="1220" t="s">
        <v>1994</v>
      </c>
      <c r="D59" s="1264" t="s">
        <v>155</v>
      </c>
      <c r="E59" s="1241" t="s">
        <v>1229</v>
      </c>
      <c r="F59" s="1220" t="s">
        <v>1995</v>
      </c>
      <c r="AX59" s="1266" t="s">
        <v>1996</v>
      </c>
      <c r="AZ59" s="1213" t="s">
        <v>1997</v>
      </c>
      <c r="BE59" s="1266">
        <v>2055</v>
      </c>
      <c r="BJ59" s="1363" t="s">
        <v>1958</v>
      </c>
      <c r="BL59" s="1363" t="s">
        <v>1958</v>
      </c>
    </row>
    <row customHeight="1" ht="11.25">
      <c r="A60" s="1220" t="s">
        <v>1998</v>
      </c>
      <c r="D60" s="1264" t="s">
        <v>1999</v>
      </c>
      <c r="E60" s="1241" t="s">
        <v>1229</v>
      </c>
      <c r="F60" s="1220" t="s">
        <v>1995</v>
      </c>
      <c r="AX60" s="1266" t="s">
        <v>2000</v>
      </c>
      <c r="AZ60" s="1266" t="s">
        <v>1567</v>
      </c>
      <c r="BE60" s="1266">
        <v>2056</v>
      </c>
      <c r="BJ60" s="1363" t="s">
        <v>1962</v>
      </c>
      <c r="BL60" s="1363" t="s">
        <v>1962</v>
      </c>
    </row>
    <row customHeight="1" ht="11.25">
      <c r="A61" s="1220" t="s">
        <v>2001</v>
      </c>
      <c r="D61" s="1264" t="s">
        <v>2002</v>
      </c>
      <c r="E61" s="1241" t="s">
        <v>1229</v>
      </c>
      <c r="F61" s="1220" t="s">
        <v>1995</v>
      </c>
      <c r="AX61" s="1266" t="s">
        <v>2003</v>
      </c>
      <c r="AZ61" s="1266" t="s">
        <v>1593</v>
      </c>
      <c r="BE61" s="1266">
        <v>2057</v>
      </c>
      <c r="BL61" s="1363" t="s">
        <v>1385</v>
      </c>
    </row>
    <row customHeight="1" ht="11.25">
      <c r="A62" s="1220" t="s">
        <v>2004</v>
      </c>
      <c r="D62" s="1264" t="s">
        <v>154</v>
      </c>
      <c r="E62" s="1241">
        <v>30</v>
      </c>
      <c r="F62" s="1220" t="s">
        <v>1995</v>
      </c>
      <c r="AZ62" s="1266" t="s">
        <v>1627</v>
      </c>
      <c r="BE62" s="1266">
        <v>2058</v>
      </c>
      <c r="BL62" s="1363" t="s">
        <v>1387</v>
      </c>
    </row>
    <row customHeight="1" ht="11.25">
      <c r="A63" s="1220" t="s">
        <v>2005</v>
      </c>
      <c r="D63" s="1264" t="s">
        <v>2006</v>
      </c>
      <c r="E63" s="1241">
        <v>30</v>
      </c>
      <c r="F63" s="1220" t="s">
        <v>1995</v>
      </c>
      <c r="AZ63" s="1266" t="s">
        <v>1659</v>
      </c>
      <c r="BE63" s="1266">
        <v>2059</v>
      </c>
    </row>
    <row customHeight="1" ht="11.25">
      <c r="A64" s="1220" t="s">
        <v>2007</v>
      </c>
      <c r="D64" s="1264" t="s">
        <v>2008</v>
      </c>
      <c r="E64" s="1241">
        <v>30</v>
      </c>
      <c r="F64" s="1220" t="s">
        <v>1995</v>
      </c>
      <c r="AZ64" s="1266" t="s">
        <v>1680</v>
      </c>
      <c r="BE64" s="1266">
        <v>2060</v>
      </c>
    </row>
    <row customHeight="1" ht="11.25">
      <c r="A65" s="1220" t="s">
        <v>2009</v>
      </c>
      <c r="D65" s="1220"/>
      <c r="BE65" s="1266">
        <v>2061</v>
      </c>
    </row>
    <row customHeight="1" ht="11.25">
      <c r="A66" s="1220" t="s">
        <v>2010</v>
      </c>
      <c r="AZ66" s="1213" t="s">
        <v>2011</v>
      </c>
      <c r="BE66" s="1266">
        <v>2062</v>
      </c>
    </row>
    <row customHeight="1" ht="11.25">
      <c r="A67" s="1220" t="s">
        <v>2012</v>
      </c>
      <c r="AZ67" s="1266" t="s">
        <v>1568</v>
      </c>
      <c r="BE67" s="1266">
        <v>2063</v>
      </c>
    </row>
    <row customHeight="1" ht="11.25">
      <c r="A68" s="1220" t="s">
        <v>2013</v>
      </c>
      <c r="AZ68" s="1266" t="s">
        <v>1594</v>
      </c>
      <c r="BE68" s="1266">
        <v>2064</v>
      </c>
      <c r="BH68" s="1213" t="s">
        <v>2014</v>
      </c>
      <c r="BJ68" s="1213" t="s">
        <v>2015</v>
      </c>
      <c r="BL68" s="1213" t="s">
        <v>2016</v>
      </c>
      <c r="BN68" s="1213" t="s">
        <v>2017</v>
      </c>
    </row>
    <row customHeight="1" ht="11.25">
      <c r="A69" s="1220" t="s">
        <v>2018</v>
      </c>
      <c r="AZ69" s="1266" t="s">
        <v>1628</v>
      </c>
      <c r="BE69" s="1266">
        <v>2065</v>
      </c>
      <c r="BH69" s="1214" t="s">
        <v>1169</v>
      </c>
      <c r="BI69" s="1263" t="s">
        <v>121</v>
      </c>
      <c r="BJ69" s="1214" t="s">
        <v>2019</v>
      </c>
      <c r="BK69" s="1263" t="s">
        <v>121</v>
      </c>
      <c r="BL69" s="1214" t="s">
        <v>2020</v>
      </c>
      <c r="BM69" s="1216" t="s">
        <v>121</v>
      </c>
      <c r="BN69" s="1214" t="s">
        <v>2021</v>
      </c>
    </row>
    <row customHeight="1" ht="11.25">
      <c r="A70" s="1220" t="s">
        <v>2022</v>
      </c>
      <c r="AZ70" s="1266" t="s">
        <v>1660</v>
      </c>
      <c r="BE70" s="1266">
        <v>2066</v>
      </c>
      <c r="BH70" s="1214" t="s">
        <v>2023</v>
      </c>
      <c r="BJ70" s="1214" t="s">
        <v>2024</v>
      </c>
      <c r="BL70" s="1214" t="s">
        <v>2025</v>
      </c>
      <c r="BN70" s="1214" t="s">
        <v>2026</v>
      </c>
    </row>
    <row customHeight="1" ht="11.25">
      <c r="A71" s="1220" t="s">
        <v>2027</v>
      </c>
      <c r="AZ71" s="1266" t="s">
        <v>1662</v>
      </c>
      <c r="BE71" s="1266">
        <v>2067</v>
      </c>
      <c r="BH71" s="1214" t="s">
        <v>1200</v>
      </c>
      <c r="BI71" s="1263" t="s">
        <v>91</v>
      </c>
      <c r="BJ71" s="1214" t="s">
        <v>2028</v>
      </c>
      <c r="BK71" s="1263" t="s">
        <v>91</v>
      </c>
      <c r="BL71" s="1214" t="s">
        <v>2029</v>
      </c>
      <c r="BM71" s="1216" t="s">
        <v>91</v>
      </c>
      <c r="BN71" s="1214" t="s">
        <v>2030</v>
      </c>
    </row>
    <row customHeight="1" ht="11.25">
      <c r="A72" s="1220" t="s">
        <v>2031</v>
      </c>
      <c r="AZ72" s="1266" t="s">
        <v>19</v>
      </c>
      <c r="BE72" s="1266">
        <v>2068</v>
      </c>
      <c r="BH72" s="1214" t="s">
        <v>1109</v>
      </c>
      <c r="BJ72" s="1214" t="s">
        <v>1109</v>
      </c>
      <c r="BL72" s="1214" t="s">
        <v>1109</v>
      </c>
      <c r="BN72" s="1214" t="s">
        <v>2032</v>
      </c>
    </row>
    <row customHeight="1" ht="11.25">
      <c r="A73" s="1220" t="s">
        <v>2033</v>
      </c>
      <c r="BE73" s="1266">
        <v>2069</v>
      </c>
      <c r="BH73" s="1214" t="s">
        <v>2034</v>
      </c>
      <c r="BI73" s="1263" t="s">
        <v>122</v>
      </c>
      <c r="BJ73" s="1214" t="s">
        <v>2035</v>
      </c>
      <c r="BK73" s="1263" t="s">
        <v>122</v>
      </c>
      <c r="BL73" s="1214" t="s">
        <v>2036</v>
      </c>
      <c r="BM73" s="1216" t="s">
        <v>122</v>
      </c>
      <c r="BN73" s="1214" t="s">
        <v>2037</v>
      </c>
    </row>
    <row customHeight="1" ht="11.25">
      <c r="A74" s="1220" t="s">
        <v>2038</v>
      </c>
      <c r="BE74" s="1266">
        <v>2070</v>
      </c>
      <c r="BH74" s="1214" t="s">
        <v>1101</v>
      </c>
      <c r="BJ74" s="1214" t="s">
        <v>2039</v>
      </c>
      <c r="BL74" s="1214" t="s">
        <v>2040</v>
      </c>
      <c r="BN74" s="1214" t="s">
        <v>2041</v>
      </c>
    </row>
    <row customHeight="1" ht="11.25">
      <c r="A75" s="1220" t="s">
        <v>2042</v>
      </c>
      <c r="AZ75" s="1213" t="s">
        <v>2043</v>
      </c>
      <c r="BH75" s="1214" t="s">
        <v>2044</v>
      </c>
      <c r="BJ75" s="1214" t="s">
        <v>2044</v>
      </c>
      <c r="BL75" s="1214" t="s">
        <v>2044</v>
      </c>
    </row>
    <row customHeight="1" ht="11.25">
      <c r="A76" s="1220" t="s">
        <v>2045</v>
      </c>
      <c r="AZ76" s="1266" t="s">
        <v>1577</v>
      </c>
      <c r="BH76" s="1214" t="s">
        <v>1268</v>
      </c>
      <c r="BJ76" s="1214" t="s">
        <v>2046</v>
      </c>
      <c r="BL76" s="1214" t="s">
        <v>2047</v>
      </c>
    </row>
    <row customHeight="1" ht="11.25">
      <c r="A77" s="1220" t="s">
        <v>2048</v>
      </c>
      <c r="AZ77" s="1266" t="s">
        <v>1604</v>
      </c>
    </row>
    <row customHeight="1" ht="11.25">
      <c r="A78" s="1220" t="s">
        <v>2049</v>
      </c>
      <c r="AZ78" s="1266" t="s">
        <v>1635</v>
      </c>
    </row>
    <row customHeight="1" ht="11.25">
      <c r="A79" s="1220" t="s">
        <v>2050</v>
      </c>
      <c r="AZ79" s="1266" t="s">
        <v>1666</v>
      </c>
      <c r="BH79" s="1213" t="s">
        <v>1168</v>
      </c>
      <c r="BJ79" s="1213" t="s">
        <v>2051</v>
      </c>
      <c r="BL79" s="1213" t="s">
        <v>2052</v>
      </c>
    </row>
    <row customHeight="1" ht="11.25">
      <c r="A80" s="1220" t="s">
        <v>2053</v>
      </c>
      <c r="AZ80" s="1266" t="s">
        <v>1685</v>
      </c>
      <c r="BH80" s="1214" t="s">
        <v>1170</v>
      </c>
      <c r="BJ80" s="1214" t="s">
        <v>2054</v>
      </c>
      <c r="BL80" s="1214" t="s">
        <v>2055</v>
      </c>
    </row>
    <row customHeight="1" ht="11.25">
      <c r="A81" s="1220" t="s">
        <v>2056</v>
      </c>
      <c r="AZ81" s="1266" t="s">
        <v>1702</v>
      </c>
      <c r="BH81" s="1214" t="s">
        <v>2057</v>
      </c>
      <c r="BJ81" s="1214" t="s">
        <v>2058</v>
      </c>
      <c r="BL81" s="1214" t="s">
        <v>2059</v>
      </c>
    </row>
    <row customHeight="1" ht="11.25">
      <c r="A82" s="1220" t="s">
        <v>2060</v>
      </c>
      <c r="AZ82" s="1266" t="s">
        <v>1716</v>
      </c>
      <c r="BH82" s="1214" t="s">
        <v>1174</v>
      </c>
      <c r="BJ82" s="1214" t="s">
        <v>2061</v>
      </c>
      <c r="BL82" s="1214" t="s">
        <v>2062</v>
      </c>
    </row>
    <row customHeight="1" ht="11.25">
      <c r="A83" s="1220" t="s">
        <v>2063</v>
      </c>
      <c r="BH83" s="1214" t="s">
        <v>2064</v>
      </c>
      <c r="BJ83" s="1214" t="s">
        <v>2065</v>
      </c>
      <c r="BL83" s="1214" t="s">
        <v>2066</v>
      </c>
    </row>
    <row customHeight="1" ht="11.25">
      <c r="A84" s="1220" t="s">
        <v>2067</v>
      </c>
      <c r="AZ84" s="1213" t="s">
        <v>2068</v>
      </c>
    </row>
    <row customHeight="1" ht="11.25">
      <c r="A85" s="2013" t="s">
        <v>2069</v>
      </c>
      <c r="AZ85" s="1266" t="s">
        <v>2070</v>
      </c>
    </row>
    <row customHeight="1" ht="11.25">
      <c r="A86" s="1220" t="s">
        <v>2071</v>
      </c>
      <c r="AZ86" s="1266" t="s">
        <v>2072</v>
      </c>
      <c r="BH86" s="1213" t="s">
        <v>1198</v>
      </c>
      <c r="BJ86" s="1213" t="s">
        <v>2073</v>
      </c>
      <c r="BL86" s="1213" t="s">
        <v>2074</v>
      </c>
    </row>
    <row customHeight="1" ht="11.25">
      <c r="A87" s="1220" t="s">
        <v>2075</v>
      </c>
      <c r="AZ87" s="1266" t="s">
        <v>2076</v>
      </c>
      <c r="BH87" s="1214" t="s">
        <v>1201</v>
      </c>
      <c r="BJ87" s="1214" t="s">
        <v>2077</v>
      </c>
      <c r="BL87" s="1214" t="s">
        <v>2078</v>
      </c>
    </row>
    <row customHeight="1" ht="11.25">
      <c r="A88" s="1220" t="s">
        <v>2079</v>
      </c>
      <c r="AZ88" s="1752"/>
      <c r="BH88" s="1214" t="s">
        <v>1206</v>
      </c>
      <c r="BJ88" s="1214" t="s">
        <v>2080</v>
      </c>
      <c r="BL88" s="1214" t="s">
        <v>2081</v>
      </c>
    </row>
    <row customHeight="1" ht="11.25">
      <c r="A89" s="1220" t="s">
        <v>2082</v>
      </c>
      <c r="AZ89" s="1213" t="s">
        <v>2083</v>
      </c>
    </row>
    <row customHeight="1" ht="11.25">
      <c r="A90" s="1220" t="s">
        <v>2084</v>
      </c>
      <c r="AZ90" s="1266" t="s">
        <v>1363</v>
      </c>
    </row>
    <row customHeight="1" ht="11.25">
      <c r="A91" s="1220" t="s">
        <v>2085</v>
      </c>
      <c r="AZ91" s="1266" t="s">
        <v>1399</v>
      </c>
      <c r="BH91" s="1213" t="s">
        <v>2086</v>
      </c>
      <c r="BJ91" s="1213" t="s">
        <v>2087</v>
      </c>
      <c r="BL91" s="1213" t="s">
        <v>2088</v>
      </c>
    </row>
    <row customHeight="1" ht="11.25">
      <c r="AZ92" s="1266" t="s">
        <v>2089</v>
      </c>
      <c r="BH92" s="1214" t="s">
        <v>2090</v>
      </c>
      <c r="BJ92" s="1214" t="s">
        <v>2091</v>
      </c>
      <c r="BL92" s="1214" t="s">
        <v>2092</v>
      </c>
    </row>
    <row customHeight="1" ht="11.25">
      <c r="AZ93" s="1266" t="s">
        <v>2093</v>
      </c>
      <c r="BH93" s="1214" t="s">
        <v>2094</v>
      </c>
      <c r="BJ93" s="1214" t="s">
        <v>2095</v>
      </c>
      <c r="BL93" s="1214" t="s">
        <v>2096</v>
      </c>
    </row>
    <row customHeight="1" ht="11.25">
      <c r="AZ94" s="1266" t="s">
        <v>2097</v>
      </c>
    </row>
    <row r="96" customHeight="1" ht="11.25">
      <c r="AZ96" s="1213" t="s">
        <v>2098</v>
      </c>
      <c r="BH96" s="1213" t="s">
        <v>2099</v>
      </c>
      <c r="BJ96" s="1213" t="s">
        <v>2100</v>
      </c>
      <c r="BL96" s="1213" t="s">
        <v>2101</v>
      </c>
      <c r="BN96" s="1213" t="s">
        <v>2102</v>
      </c>
    </row>
    <row customHeight="1" ht="11.25">
      <c r="AZ97" s="2044" t="s">
        <v>2103</v>
      </c>
      <c r="BA97" s="2045" t="s">
        <v>2104</v>
      </c>
      <c r="BH97" s="1214" t="s">
        <v>2105</v>
      </c>
      <c r="BJ97" s="1214" t="s">
        <v>2106</v>
      </c>
      <c r="BL97" s="1214" t="s">
        <v>2107</v>
      </c>
      <c r="BN97" s="1214" t="s">
        <v>2108</v>
      </c>
    </row>
    <row customHeight="1" ht="11.25">
      <c r="AZ98" s="2044" t="s">
        <v>2109</v>
      </c>
      <c r="BA98" s="2045" t="s">
        <v>2110</v>
      </c>
      <c r="BH98" s="1214" t="s">
        <v>2111</v>
      </c>
      <c r="BJ98" s="1214" t="s">
        <v>2112</v>
      </c>
      <c r="BL98" s="1214" t="s">
        <v>2113</v>
      </c>
      <c r="BN98" s="1214" t="s">
        <v>2114</v>
      </c>
    </row>
    <row customHeight="1" ht="22.5">
      <c r="AZ99" s="2044" t="s">
        <v>2115</v>
      </c>
      <c r="BA99" s="204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14" t="s">
        <v>2116</v>
      </c>
      <c r="BJ99" s="1214" t="s">
        <v>2117</v>
      </c>
      <c r="BL99" s="1214" t="s">
        <v>2118</v>
      </c>
      <c r="BN99" s="1214" t="s">
        <v>2119</v>
      </c>
    </row>
    <row customHeight="1" ht="22.5">
      <c r="AZ100" s="2044" t="s">
        <v>2120</v>
      </c>
      <c r="BA100" s="204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214" t="s">
        <v>1755</v>
      </c>
      <c r="BL100" s="1214" t="s">
        <v>1755</v>
      </c>
      <c r="BN100" s="1214" t="s">
        <v>2121</v>
      </c>
    </row>
    <row customHeight="1" ht="22.5">
      <c r="AZ101" s="2044" t="s">
        <v>2122</v>
      </c>
      <c r="BA101" s="2045" t="s">
        <v>2123</v>
      </c>
      <c r="BN101" s="1214" t="s">
        <v>2124</v>
      </c>
    </row>
    <row customHeight="1" ht="22.5">
      <c r="AZ102" s="2044" t="s">
        <v>2125</v>
      </c>
      <c r="BA102" s="204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214" t="s">
        <v>2126</v>
      </c>
    </row>
    <row customHeight="1" ht="11.25">
      <c r="AZ103" s="2044" t="s">
        <v>2127</v>
      </c>
      <c r="BA103" s="2045" t="s">
        <v>2128</v>
      </c>
      <c r="BN103" s="1214" t="s">
        <v>2129</v>
      </c>
    </row>
    <row customHeight="1" ht="11.25">
      <c r="BN104" s="1214" t="s">
        <v>2130</v>
      </c>
    </row>
    <row customHeight="1" ht="11.25">
      <c r="AZ105" s="1837" t="s">
        <v>2131</v>
      </c>
    </row>
    <row customHeight="1" ht="11.25">
      <c r="AZ106" s="1266" t="s">
        <v>2132</v>
      </c>
    </row>
    <row customHeight="1" ht="11.25">
      <c r="AZ107" s="1266" t="s">
        <v>2133</v>
      </c>
      <c r="BH107" s="1213" t="s">
        <v>2134</v>
      </c>
      <c r="BJ107" s="1213" t="s">
        <v>2135</v>
      </c>
      <c r="BL107" s="1213" t="s">
        <v>2136</v>
      </c>
      <c r="BN107" s="1213" t="s">
        <v>2137</v>
      </c>
    </row>
    <row customHeight="1" ht="11.25">
      <c r="AZ108" s="1266" t="s">
        <v>598</v>
      </c>
      <c r="BH108" s="1214" t="s">
        <v>2138</v>
      </c>
      <c r="BJ108" s="1214" t="s">
        <v>2139</v>
      </c>
      <c r="BL108" s="1214" t="s">
        <v>1835</v>
      </c>
      <c r="BN108" s="1214" t="s">
        <v>2140</v>
      </c>
    </row>
    <row customHeight="1" ht="11.25">
      <c r="BH109" s="1214" t="s">
        <v>2141</v>
      </c>
    </row>
    <row customHeight="1" ht="11.25">
      <c r="AZ110" s="1837" t="s">
        <v>2142</v>
      </c>
      <c r="BH110" s="1214" t="s">
        <v>2141</v>
      </c>
    </row>
    <row customHeight="1" ht="11.25">
      <c r="AZ111" s="2044" t="s">
        <v>2103</v>
      </c>
      <c r="BA111" s="2045" t="s">
        <v>2104</v>
      </c>
    </row>
    <row customHeight="1" ht="11.25">
      <c r="AZ112" s="2044" t="s">
        <v>2109</v>
      </c>
      <c r="BA112" s="2045" t="s">
        <v>2110</v>
      </c>
    </row>
    <row customHeight="1" ht="22.5">
      <c r="AZ113" s="2044" t="s">
        <v>2115</v>
      </c>
      <c r="BA113" s="204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044" t="s">
        <v>2120</v>
      </c>
      <c r="BA114" s="204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213" t="s">
        <v>2143</v>
      </c>
    </row>
    <row customHeight="1" ht="22.5">
      <c r="AZ115" s="2044" t="s">
        <v>2125</v>
      </c>
      <c r="BA115" s="204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214" t="s">
        <v>1564</v>
      </c>
    </row>
    <row customHeight="1" ht="11.25">
      <c r="AZ116" s="2044" t="s">
        <v>2127</v>
      </c>
      <c r="BA116" s="2045" t="s">
        <v>2128</v>
      </c>
      <c r="BH116" s="1214" t="s">
        <v>1590</v>
      </c>
    </row>
    <row customHeight="1" ht="11.25">
      <c r="BH117" s="1214" t="s">
        <v>1624</v>
      </c>
    </row>
    <row customHeight="1" ht="11.25">
      <c r="BH118" s="1214" t="s">
        <v>1657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2A264C-31ED-885E-BC6F-0.C597BAC}" mc:Ignorable="x14ac xr xr2 xr3">
  <dimension ref="A1:J25"/>
  <sheetViews>
    <sheetView topLeftCell="A1" showGridLines="0" zoomScale="90" workbookViewId="0">
      <selection activeCell="A1" sqref="A1"/>
    </sheetView>
  </sheetViews>
  <sheetFormatPr defaultColWidth="9.140625" customHeight="1" defaultRowHeight="11.25"/>
  <cols>
    <col min="1" max="2" style="5942" width="15.00390625" hidden="1" customWidth="1"/>
    <col min="3" max="3" style="5986" width="3.00390625" customWidth="1"/>
    <col min="4" max="4" style="5987" width="6.00390625" customWidth="1"/>
    <col min="5" max="5" style="5986" width="52.00390625" customWidth="1"/>
    <col min="6" max="6" style="5986" width="48.00390625" customWidth="1"/>
    <col min="7" max="7" style="5986" width="93.00390625" customWidth="1"/>
    <col min="8" max="8" style="5986" width="8.00390625" customWidth="1"/>
    <col min="9" max="9" style="5986" width="64.00390625" customWidth="1"/>
    <col min="10" max="10" style="5986" width="9.140625" hidden="1"/>
  </cols>
  <sheetData>
    <row customHeight="1" ht="11.25" hidden="1">
      <c r="A1" s="647" t="s">
        <v>321</v>
      </c>
      <c r="J1" s="601" t="s">
        <v>14</v>
      </c>
    </row>
    <row customHeight="1" ht="22.5" hidden="1">
      <c r="A2" s="648"/>
      <c r="B2" s="648"/>
      <c r="C2" s="1875" t="s">
        <v>106</v>
      </c>
      <c r="D2" s="1666"/>
      <c r="E2" s="1672"/>
      <c r="F2" s="1695"/>
      <c r="H2" s="621"/>
      <c r="J2" s="601">
        <v>0</v>
      </c>
    </row>
    <row customHeight="1" ht="11.25" hidden="1">
      <c r="J3" s="601">
        <v>0</v>
      </c>
    </row>
    <row customHeight="1" ht="11.549999999999999">
      <c r="A4" s="1696"/>
      <c r="B4" s="1696"/>
      <c r="J4" s="601">
        <v>11</v>
      </c>
    </row>
    <row customHeight="1" ht="27.299999999999997">
      <c r="D5" s="239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98"/>
      <c r="F5" s="2399"/>
      <c r="I5" s="861"/>
      <c r="J5" s="601">
        <v>26</v>
      </c>
    </row>
    <row customHeight="1" ht="18">
      <c r="D6" s="2335" t="str">
        <f>IF(region_name=0,"Не определено",region_name)</f>
        <v>Забайкальский край</v>
      </c>
      <c r="E6" s="2335"/>
      <c r="F6" s="2335"/>
      <c r="I6" s="861"/>
      <c r="J6" s="601">
        <v>17</v>
      </c>
    </row>
    <row s="5904" customFormat="1" customHeight="1" ht="11.549999999999999">
      <c r="A7" s="647"/>
      <c r="B7" s="647"/>
      <c r="D7" s="860"/>
      <c r="E7" s="860"/>
      <c r="F7" s="898"/>
      <c r="G7" s="860"/>
      <c r="J7" s="623">
        <v>11</v>
      </c>
    </row>
    <row customHeight="1" ht="11.25" hidden="1">
      <c r="A8" s="648"/>
      <c r="B8" s="648"/>
      <c r="C8" s="603"/>
      <c r="D8" s="609"/>
      <c r="E8" s="2366"/>
      <c r="F8" s="2366"/>
      <c r="J8" s="601">
        <v>0</v>
      </c>
    </row>
    <row customHeight="1" ht="11.549999999999999">
      <c r="A9" s="648"/>
      <c r="B9" s="648"/>
      <c r="C9" s="603"/>
      <c r="D9" s="2363" t="s">
        <v>322</v>
      </c>
      <c r="E9" s="2364"/>
      <c r="F9" s="2364"/>
      <c r="G9" s="2367" t="s">
        <v>323</v>
      </c>
      <c r="J9" s="601">
        <v>11</v>
      </c>
    </row>
    <row customHeight="1" ht="11.549999999999999">
      <c r="A10" s="648"/>
      <c r="B10" s="648"/>
      <c r="C10" s="603"/>
      <c r="D10" s="1620" t="s">
        <v>89</v>
      </c>
      <c r="E10" s="1622" t="s">
        <v>324</v>
      </c>
      <c r="F10" s="1622" t="s">
        <v>325</v>
      </c>
      <c r="G10" s="2368"/>
      <c r="J10" s="601">
        <v>11</v>
      </c>
    </row>
    <row customHeight="1" ht="1.05">
      <c r="A11" s="648"/>
      <c r="B11" s="648"/>
      <c r="C11" s="603"/>
      <c r="D11" s="610"/>
      <c r="E11" s="610"/>
      <c r="F11" s="610"/>
      <c r="G11" s="610"/>
      <c r="J11" s="601">
        <v>1</v>
      </c>
    </row>
    <row customHeight="1" ht="24">
      <c r="A12" s="648"/>
      <c r="B12" s="648"/>
      <c r="C12" s="603"/>
      <c r="D12" s="1666">
        <v>1</v>
      </c>
      <c r="E12" s="62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051" t="str">
        <f>IF(org="","",org)</f>
        <v>ПАО "ТГК-14"</v>
      </c>
      <c r="G12" s="62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679"/>
      <c r="J12" s="601">
        <v>23</v>
      </c>
    </row>
    <row customHeight="1" ht="19.95">
      <c r="A13" s="648"/>
      <c r="B13" s="648"/>
      <c r="C13" s="603"/>
      <c r="D13" s="1666">
        <v>2</v>
      </c>
      <c r="E13" s="1673" t="s">
        <v>2144</v>
      </c>
      <c r="F13" s="1667" t="s">
        <v>328</v>
      </c>
      <c r="G13" s="620"/>
      <c r="H13" s="1679"/>
      <c r="J13" s="601">
        <v>19</v>
      </c>
    </row>
    <row customHeight="1" ht="19.95">
      <c r="A14" s="648"/>
      <c r="B14" s="648"/>
      <c r="C14" s="603"/>
      <c r="D14" s="1669" t="s">
        <v>752</v>
      </c>
      <c r="E14" s="1670" t="s">
        <v>2145</v>
      </c>
      <c r="F14" s="1672"/>
      <c r="G14" s="1671" t="s">
        <v>2146</v>
      </c>
      <c r="H14" s="1679"/>
      <c r="J14" s="601">
        <v>19</v>
      </c>
    </row>
    <row customHeight="1" ht="19.95">
      <c r="A15" s="648"/>
      <c r="B15" s="648"/>
      <c r="C15" s="603"/>
      <c r="D15" s="1669" t="s">
        <v>329</v>
      </c>
      <c r="E15" s="1670" t="s">
        <v>2147</v>
      </c>
      <c r="F15" s="1672"/>
      <c r="G15" s="1671" t="s">
        <v>2148</v>
      </c>
      <c r="H15" s="1679"/>
      <c r="J15" s="601">
        <v>19</v>
      </c>
    </row>
    <row customHeight="1" ht="24">
      <c r="A16" s="648"/>
      <c r="B16" s="648"/>
      <c r="C16" s="603"/>
      <c r="D16" s="1669" t="s">
        <v>332</v>
      </c>
      <c r="E16" s="1668" t="s">
        <v>2149</v>
      </c>
      <c r="F16" s="1677"/>
      <c r="G16" s="620" t="s">
        <v>2150</v>
      </c>
      <c r="H16" s="1679"/>
      <c r="J16" s="601">
        <v>23</v>
      </c>
    </row>
    <row customHeight="1" ht="48.29999999999999">
      <c r="A17" s="648"/>
      <c r="B17" s="648"/>
      <c r="C17" s="603"/>
      <c r="D17" s="1666">
        <v>3</v>
      </c>
      <c r="E17" s="1673" t="s">
        <v>2151</v>
      </c>
      <c r="F17" s="1672"/>
      <c r="G17" s="620" t="s">
        <v>2152</v>
      </c>
      <c r="H17" s="1679"/>
      <c r="J17" s="601">
        <v>46</v>
      </c>
    </row>
    <row customHeight="1" ht="48.29999999999999">
      <c r="A18" s="1621">
        <v>1</v>
      </c>
      <c r="B18" s="648"/>
      <c r="C18" s="1623"/>
      <c r="D18" s="1666" t="s">
        <v>92</v>
      </c>
      <c r="E18" s="1673" t="s">
        <v>2153</v>
      </c>
      <c r="F18" s="1672"/>
      <c r="G18" s="620" t="s">
        <v>2152</v>
      </c>
      <c r="H18" s="1679"/>
      <c r="I18" s="998"/>
      <c r="J18" s="601">
        <v>46</v>
      </c>
    </row>
    <row customHeight="1" ht="23.25">
      <c r="A19" s="648"/>
      <c r="B19" s="648"/>
      <c r="C19" s="603"/>
      <c r="D19" s="1666" t="s">
        <v>122</v>
      </c>
      <c r="E19" s="1673" t="s">
        <v>2154</v>
      </c>
      <c r="F19" s="1667" t="s">
        <v>328</v>
      </c>
      <c r="G19" s="2630" t="s">
        <v>2155</v>
      </c>
      <c r="H19" s="621"/>
      <c r="J19" s="601">
        <v>22</v>
      </c>
    </row>
    <row s="7403" customFormat="1" customHeight="1" ht="5.25" hidden="1">
      <c r="A20" s="648"/>
      <c r="B20" s="648"/>
      <c r="C20" s="1675"/>
      <c r="D20" s="1674" t="s">
        <v>1463</v>
      </c>
      <c r="E20" s="1160"/>
      <c r="F20" s="1159"/>
      <c r="G20" s="2631"/>
      <c r="J20" s="1676">
        <v>0</v>
      </c>
    </row>
    <row customHeight="1" ht="15.75">
      <c r="A21" s="648"/>
      <c r="B21" s="648"/>
      <c r="C21" s="603"/>
      <c r="D21" s="613"/>
      <c r="E21" s="561" t="s">
        <v>361</v>
      </c>
      <c r="F21" s="615"/>
      <c r="G21" s="2632"/>
      <c r="H21" s="1679"/>
      <c r="J21" s="601">
        <v>15</v>
      </c>
    </row>
    <row s="5942" customFormat="1" customHeight="1" ht="26.25">
      <c r="A22" s="648"/>
      <c r="B22" s="648"/>
      <c r="C22" s="648"/>
      <c r="D22" s="1666" t="s">
        <v>93</v>
      </c>
      <c r="E22" s="620" t="s">
        <v>2156</v>
      </c>
      <c r="F22" s="1672"/>
      <c r="G22" s="620" t="s">
        <v>2157</v>
      </c>
      <c r="H22" s="1678"/>
      <c r="J22" s="647">
        <v>25</v>
      </c>
    </row>
    <row s="5942" customFormat="1" customHeight="1" ht="19.95">
      <c r="A23" s="648"/>
      <c r="B23" s="648"/>
      <c r="C23" s="648"/>
      <c r="D23" s="1666" t="s">
        <v>94</v>
      </c>
      <c r="E23" s="1673" t="s">
        <v>2158</v>
      </c>
      <c r="F23" s="1677"/>
      <c r="G23" s="620" t="s">
        <v>2159</v>
      </c>
      <c r="H23" s="1678"/>
      <c r="J23" s="647">
        <v>19</v>
      </c>
    </row>
    <row s="5942" customFormat="1" customHeight="1" ht="144" hidden="1">
      <c r="A24" s="648"/>
      <c r="B24" s="648"/>
      <c r="C24" s="648"/>
      <c r="D24" s="1666" t="s">
        <v>123</v>
      </c>
      <c r="E24" s="204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041"/>
      <c r="G24" s="203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678"/>
      <c r="J24" s="647">
        <v>0</v>
      </c>
    </row>
    <row customHeight="1" ht="11.25" hidden="1">
      <c r="A25" s="647" t="s">
        <v>83</v>
      </c>
      <c r="B25" s="647">
        <v>0</v>
      </c>
      <c r="C25" s="601">
        <v>3</v>
      </c>
      <c r="D25" s="602">
        <v>6</v>
      </c>
      <c r="E25" s="601">
        <v>52</v>
      </c>
      <c r="F25" s="601">
        <v>48</v>
      </c>
      <c r="G25" s="601">
        <v>93</v>
      </c>
      <c r="H25" s="601">
        <v>8</v>
      </c>
      <c r="I25" s="601">
        <v>64</v>
      </c>
      <c r="J25" s="601">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DE7698-7F62-2733-BE38-0.6F02BCF9}" mc:Ignorable="x14ac xr xr2 xr3">
  <dimension ref="A1:IU24"/>
  <sheetViews>
    <sheetView topLeftCell="A1" showGridLines="0" zoomScale="90" workbookViewId="0">
      <selection activeCell="A1" sqref="A1"/>
    </sheetView>
  </sheetViews>
  <sheetFormatPr defaultColWidth="9.140625" customHeight="1" defaultRowHeight="14.25"/>
  <cols>
    <col min="1" max="1" style="7235" width="9.140625" hidden="1"/>
    <col min="2" max="2" style="7180" width="9.140625" hidden="1"/>
    <col min="3" max="3" style="7235" width="3.7109375" hidden="1" customWidth="1"/>
    <col min="4" max="4" style="7758" width="3.00390625" customWidth="1"/>
    <col min="5" max="5" style="7235" width="6.00390625" customWidth="1"/>
    <col min="6" max="6" style="7235" width="46.00390625" customWidth="1"/>
    <col min="7" max="8" style="7235" width="16.00390625" customWidth="1"/>
    <col min="9" max="9" style="7235" width="35.00390625" customWidth="1"/>
    <col min="10" max="10" style="7235" width="89.00390625" customWidth="1"/>
    <col min="11" max="11" style="7183" width="3.00390625" customWidth="1"/>
    <col min="12" max="14" style="7183" width="8.00390625" customWidth="1"/>
    <col min="15" max="15" style="7183" width="25.00390625" customWidth="1"/>
    <col min="16" max="16" style="7183" width="14.00390625" customWidth="1"/>
    <col min="17" max="20" style="5605" width="8.00390625" customWidth="1"/>
    <col min="21" max="254" style="7235" width="8.00390625" customWidth="1"/>
    <col min="255" max="255" style="7235" width="9.140625" hidden="1"/>
  </cols>
  <sheetData>
    <row customHeight="1" ht="22.5" hidden="1">
      <c r="F1" s="1777" t="s">
        <v>2160</v>
      </c>
      <c r="G1" s="1777" t="s">
        <v>48</v>
      </c>
      <c r="H1" s="1777" t="s">
        <v>50</v>
      </c>
      <c r="IU1" s="1301" t="s">
        <v>14</v>
      </c>
    </row>
    <row s="7976" customFormat="1" customHeight="1" ht="22.5" hidden="1">
      <c r="A2" s="977"/>
      <c r="B2" s="1306">
        <v>1</v>
      </c>
      <c r="C2" s="1306"/>
      <c r="D2" s="2071" t="s">
        <v>106</v>
      </c>
      <c r="E2" s="1630"/>
      <c r="F2" s="1637"/>
      <c r="G2" s="1637"/>
      <c r="H2" s="1637"/>
      <c r="I2" s="2127"/>
      <c r="J2" s="2128"/>
      <c r="K2" s="1681"/>
      <c r="L2" s="657"/>
      <c r="M2" s="657"/>
      <c r="N2" s="646" t="str">
        <f t="array" ref="N2:N2">IF(ISERROR(MATCH(MID(O2,1,250),MID(note_ter,1,250),0)),"n","y")</f>
        <v>n</v>
      </c>
      <c r="O2" s="657"/>
      <c r="P2" s="646" t="str">
        <f>G2&amp;"("&amp;J2&amp;")"</f>
        <v>()</v>
      </c>
      <c r="Q2" s="1306"/>
      <c r="R2" s="1306"/>
      <c r="S2" s="566"/>
      <c r="T2" s="1306"/>
      <c r="U2" s="1306"/>
      <c r="V2" s="1306"/>
      <c r="W2" s="568"/>
      <c r="X2" s="568"/>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8"/>
      <c r="BU2" s="568"/>
      <c r="BV2" s="568"/>
      <c r="BW2" s="568"/>
      <c r="BX2" s="568"/>
      <c r="BY2" s="568"/>
      <c r="BZ2" s="568"/>
      <c r="CA2" s="568"/>
      <c r="CB2" s="568"/>
      <c r="CC2" s="568"/>
      <c r="IU2" s="569">
        <v>0</v>
      </c>
    </row>
    <row s="6720" customFormat="1" customHeight="1" ht="4.2">
      <c r="A3" s="642"/>
      <c r="D3" s="640"/>
      <c r="F3" s="393" t="s">
        <v>84</v>
      </c>
      <c r="G3" s="640" t="s">
        <v>85</v>
      </c>
      <c r="H3" s="640"/>
      <c r="I3" s="640"/>
      <c r="J3" s="373" t="s">
        <v>86</v>
      </c>
      <c r="K3" s="393" t="s">
        <v>84</v>
      </c>
      <c r="L3" s="393"/>
      <c r="M3" s="393"/>
      <c r="N3" s="393"/>
      <c r="O3" s="394"/>
      <c r="P3" s="393"/>
      <c r="Q3" s="393"/>
      <c r="R3" s="393"/>
      <c r="S3" s="393"/>
      <c r="T3" s="393"/>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c r="BF3" s="373"/>
      <c r="BG3" s="373"/>
      <c r="BH3" s="373"/>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c r="CQ3" s="373"/>
      <c r="CR3" s="373"/>
      <c r="CS3" s="373"/>
      <c r="CT3" s="373"/>
      <c r="CU3" s="373"/>
      <c r="CV3" s="373"/>
      <c r="CW3" s="373"/>
      <c r="CX3" s="373"/>
      <c r="CY3" s="373"/>
      <c r="CZ3" s="373"/>
      <c r="DA3" s="373"/>
      <c r="DB3" s="373"/>
      <c r="DC3" s="373"/>
      <c r="DD3" s="373"/>
      <c r="DE3" s="373"/>
      <c r="DF3" s="373"/>
      <c r="DG3" s="373"/>
      <c r="DH3" s="373"/>
      <c r="DI3" s="373"/>
      <c r="DJ3" s="373"/>
      <c r="DK3" s="373"/>
      <c r="DL3" s="373"/>
      <c r="DM3" s="373"/>
      <c r="DN3" s="373"/>
      <c r="DO3" s="373"/>
      <c r="DP3" s="373"/>
      <c r="DQ3" s="373"/>
      <c r="DR3" s="373"/>
      <c r="DS3" s="373"/>
      <c r="DT3" s="373"/>
      <c r="DU3" s="373"/>
      <c r="DV3" s="373"/>
      <c r="DW3" s="373"/>
      <c r="DX3" s="373"/>
      <c r="DY3" s="373"/>
      <c r="DZ3" s="373"/>
      <c r="EA3" s="373"/>
      <c r="EB3" s="373"/>
      <c r="EC3" s="373"/>
      <c r="ED3" s="373"/>
      <c r="EE3" s="373"/>
      <c r="EF3" s="373"/>
      <c r="EG3" s="373"/>
      <c r="EH3" s="373"/>
      <c r="EI3" s="373"/>
      <c r="EJ3" s="373"/>
      <c r="EK3" s="373"/>
      <c r="EL3" s="373"/>
      <c r="EM3" s="373"/>
      <c r="EN3" s="373"/>
      <c r="EO3" s="373"/>
      <c r="EP3" s="373"/>
      <c r="EQ3" s="373"/>
      <c r="ER3" s="373"/>
      <c r="ES3" s="373"/>
      <c r="ET3" s="373"/>
      <c r="EU3" s="373"/>
      <c r="EV3" s="373"/>
      <c r="EW3" s="373"/>
      <c r="EX3" s="373"/>
      <c r="EY3" s="373"/>
      <c r="EZ3" s="373"/>
      <c r="FA3" s="373"/>
      <c r="FB3" s="373"/>
      <c r="FC3" s="373"/>
      <c r="FD3" s="373"/>
      <c r="FE3" s="373"/>
      <c r="FF3" s="373"/>
      <c r="FG3" s="373"/>
      <c r="FH3" s="373"/>
      <c r="FI3" s="373"/>
      <c r="FJ3" s="373"/>
      <c r="FK3" s="373"/>
      <c r="FL3" s="373"/>
      <c r="FM3" s="373"/>
      <c r="FN3" s="373"/>
      <c r="FO3" s="373"/>
      <c r="FP3" s="373"/>
      <c r="FQ3" s="373"/>
      <c r="FR3" s="373"/>
      <c r="FS3" s="373"/>
      <c r="FT3" s="373"/>
      <c r="FU3" s="373"/>
      <c r="FV3" s="373"/>
      <c r="FW3" s="373"/>
      <c r="FX3" s="373"/>
      <c r="FY3" s="373"/>
      <c r="FZ3" s="373"/>
      <c r="GA3" s="373"/>
      <c r="GB3" s="373"/>
      <c r="GC3" s="373"/>
      <c r="GD3" s="373"/>
      <c r="GE3" s="373"/>
      <c r="GF3" s="373"/>
      <c r="GG3" s="373"/>
      <c r="GH3" s="373"/>
      <c r="GI3" s="373"/>
      <c r="GJ3" s="373"/>
      <c r="GK3" s="373"/>
      <c r="GL3" s="373"/>
      <c r="GM3" s="373"/>
      <c r="GN3" s="373"/>
      <c r="GO3" s="373"/>
      <c r="GP3" s="373"/>
      <c r="GQ3" s="373"/>
      <c r="GR3" s="373"/>
      <c r="GS3" s="373"/>
      <c r="GT3" s="373"/>
      <c r="GU3" s="373"/>
      <c r="GV3" s="373"/>
      <c r="GW3" s="373"/>
      <c r="GX3" s="373"/>
      <c r="GY3" s="373"/>
      <c r="GZ3" s="373"/>
      <c r="HA3" s="373"/>
      <c r="HB3" s="373"/>
      <c r="HC3" s="373"/>
      <c r="HD3" s="373"/>
      <c r="HE3" s="373"/>
      <c r="HF3" s="373"/>
      <c r="HG3" s="373"/>
      <c r="HH3" s="373"/>
      <c r="HI3" s="373"/>
      <c r="HJ3" s="373"/>
      <c r="HK3" s="373"/>
      <c r="HL3" s="373"/>
      <c r="HM3" s="373"/>
      <c r="HN3" s="373"/>
      <c r="HO3" s="373"/>
      <c r="HP3" s="373"/>
      <c r="HQ3" s="373"/>
      <c r="HR3" s="373"/>
      <c r="HS3" s="373"/>
      <c r="HT3" s="373"/>
      <c r="HU3" s="373"/>
      <c r="HV3" s="373"/>
      <c r="HW3" s="373"/>
      <c r="HX3" s="373"/>
      <c r="HY3" s="373"/>
      <c r="HZ3" s="373"/>
      <c r="IA3" s="373"/>
      <c r="IB3" s="373"/>
      <c r="IC3" s="373"/>
      <c r="ID3" s="373"/>
      <c r="IE3" s="373"/>
      <c r="IF3" s="373"/>
      <c r="IG3" s="373"/>
      <c r="IH3" s="373"/>
      <c r="II3" s="373"/>
      <c r="IJ3" s="373"/>
      <c r="IK3" s="373"/>
      <c r="IL3" s="373"/>
      <c r="IM3" s="373"/>
      <c r="IN3" s="373"/>
      <c r="IO3" s="373"/>
      <c r="IP3" s="373"/>
      <c r="IQ3" s="373"/>
      <c r="IR3" s="373"/>
      <c r="IS3" s="373"/>
      <c r="IT3" s="373"/>
      <c r="IU3" s="657">
        <v>4</v>
      </c>
    </row>
    <row s="6055" customFormat="1" customHeight="1" ht="14.699999999999998">
      <c r="A4" s="1301"/>
      <c r="B4" s="1306"/>
      <c r="C4" s="1301"/>
      <c r="D4" s="1641"/>
      <c r="E4" s="655"/>
      <c r="F4" s="1788"/>
      <c r="G4" s="655"/>
      <c r="H4" s="655"/>
      <c r="I4" s="655"/>
      <c r="J4" s="312"/>
      <c r="K4" s="393"/>
      <c r="L4" s="646"/>
      <c r="M4" s="646"/>
      <c r="N4" s="646"/>
      <c r="O4" s="372"/>
      <c r="P4" s="646"/>
      <c r="Q4" s="371"/>
      <c r="R4" s="371"/>
      <c r="S4" s="371"/>
      <c r="T4" s="371"/>
      <c r="IU4" s="653">
        <v>14</v>
      </c>
    </row>
    <row s="6055" customFormat="1" customHeight="1" ht="27.299999999999997">
      <c r="A5" s="1301"/>
      <c r="B5" s="1306"/>
      <c r="C5" s="1301"/>
      <c r="D5" s="1641"/>
      <c r="E5" s="225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59"/>
      <c r="G5" s="2259"/>
      <c r="H5" s="2259"/>
      <c r="I5" s="2259"/>
      <c r="J5" s="2259"/>
      <c r="K5" s="393"/>
      <c r="L5" s="646"/>
      <c r="M5" s="646"/>
      <c r="N5" s="646"/>
      <c r="O5" s="372"/>
      <c r="P5" s="646"/>
      <c r="Q5" s="371"/>
      <c r="R5" s="371"/>
      <c r="S5" s="371"/>
      <c r="T5" s="371"/>
      <c r="IU5" s="653">
        <v>26</v>
      </c>
    </row>
    <row s="6055" customFormat="1" customHeight="1" ht="14.699999999999998">
      <c r="A6" s="1301"/>
      <c r="B6" s="1306"/>
      <c r="C6" s="1301"/>
      <c r="D6" s="1641"/>
      <c r="E6" s="655"/>
      <c r="F6" s="313"/>
      <c r="G6" s="313"/>
      <c r="H6" s="313"/>
      <c r="I6" s="313"/>
      <c r="J6" s="314"/>
      <c r="K6" s="646"/>
      <c r="L6" s="646"/>
      <c r="M6" s="646"/>
      <c r="N6" s="646"/>
      <c r="O6" s="372"/>
      <c r="P6" s="646"/>
      <c r="Q6" s="371"/>
      <c r="R6" s="371"/>
      <c r="S6" s="371"/>
      <c r="T6" s="371"/>
      <c r="IU6" s="653">
        <v>14</v>
      </c>
    </row>
    <row s="6055" customFormat="1" customHeight="1" ht="14.699999999999998">
      <c r="A7" s="1301"/>
      <c r="B7" s="1306"/>
      <c r="C7" s="1301"/>
      <c r="D7" s="1641"/>
      <c r="E7" s="2260" t="s">
        <v>322</v>
      </c>
      <c r="F7" s="2261"/>
      <c r="G7" s="2261"/>
      <c r="H7" s="2261"/>
      <c r="I7" s="2261"/>
      <c r="J7" s="2633" t="s">
        <v>323</v>
      </c>
      <c r="K7" s="646"/>
      <c r="L7" s="646"/>
      <c r="M7" s="646"/>
      <c r="N7" s="646"/>
      <c r="O7" s="372"/>
      <c r="P7" s="646"/>
      <c r="Q7" s="371"/>
      <c r="R7" s="371"/>
      <c r="S7" s="371"/>
      <c r="T7" s="371"/>
      <c r="IU7" s="653">
        <v>14</v>
      </c>
    </row>
    <row s="6055" customFormat="1" customHeight="1" ht="21">
      <c r="A8" s="1301"/>
      <c r="B8" s="1306"/>
      <c r="C8" s="1301"/>
      <c r="D8" s="1641"/>
      <c r="E8" s="1694" t="s">
        <v>89</v>
      </c>
      <c r="F8" s="1686" t="s">
        <v>2160</v>
      </c>
      <c r="G8" s="1686" t="s">
        <v>48</v>
      </c>
      <c r="H8" s="1686" t="s">
        <v>50</v>
      </c>
      <c r="I8" s="1686" t="s">
        <v>2161</v>
      </c>
      <c r="J8" s="2634"/>
      <c r="K8" s="646"/>
      <c r="L8" s="646"/>
      <c r="M8" s="646"/>
      <c r="N8" s="646"/>
      <c r="O8" s="372"/>
      <c r="P8" s="646"/>
      <c r="Q8" s="371"/>
      <c r="R8" s="371"/>
      <c r="S8" s="371"/>
      <c r="T8" s="371"/>
      <c r="IU8" s="653">
        <v>20</v>
      </c>
    </row>
    <row s="7976" customFormat="1" customHeight="1" ht="23.25">
      <c r="A9" s="1777"/>
      <c r="B9" s="1306">
        <v>1</v>
      </c>
      <c r="C9" s="1306"/>
      <c r="D9" s="947"/>
      <c r="E9" s="1630">
        <v>1</v>
      </c>
      <c r="F9" s="1693"/>
      <c r="G9" s="1637"/>
      <c r="H9" s="1637"/>
      <c r="I9" s="1684"/>
      <c r="J9" s="232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681"/>
      <c r="L9" s="657"/>
      <c r="M9" s="657"/>
      <c r="N9" s="646" t="str">
        <f t="array" ref="N9:N9">IF(ISERROR(MATCH(MID(O9,1,250),MID(note_ter,1,250),0)),"n","y")</f>
        <v>n</v>
      </c>
      <c r="O9" s="657"/>
      <c r="P9" s="64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306"/>
      <c r="R9" s="1306"/>
      <c r="S9" s="566"/>
      <c r="T9" s="1306"/>
      <c r="U9" s="1306"/>
      <c r="V9" s="1306"/>
      <c r="W9" s="568"/>
      <c r="X9" s="568"/>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8"/>
      <c r="BU9" s="568"/>
      <c r="BV9" s="568"/>
      <c r="BW9" s="568"/>
      <c r="BX9" s="568"/>
      <c r="BY9" s="568"/>
      <c r="BZ9" s="568"/>
      <c r="CA9" s="568"/>
      <c r="CB9" s="568"/>
      <c r="CC9" s="568"/>
      <c r="IU9" s="569">
        <v>22</v>
      </c>
    </row>
    <row s="7976" customFormat="1" customHeight="1" ht="15.75">
      <c r="A10" s="1777"/>
      <c r="B10" s="1306"/>
      <c r="C10" s="558"/>
      <c r="D10" s="947"/>
      <c r="E10" s="1687"/>
      <c r="F10" s="1646" t="s">
        <v>2162</v>
      </c>
      <c r="G10" s="1688"/>
      <c r="H10" s="1688"/>
      <c r="I10" s="2042"/>
      <c r="J10" s="2330"/>
      <c r="K10" s="1682"/>
      <c r="L10" s="657"/>
      <c r="M10" s="657"/>
      <c r="N10" s="657"/>
      <c r="O10" s="646"/>
      <c r="P10" s="657"/>
      <c r="Q10" s="1306"/>
      <c r="R10" s="1306"/>
      <c r="S10" s="566"/>
      <c r="T10" s="1306"/>
      <c r="U10" s="1306"/>
      <c r="V10" s="1306"/>
      <c r="W10" s="568"/>
      <c r="X10" s="568"/>
      <c r="Y10" s="565"/>
      <c r="Z10" s="5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8"/>
      <c r="BU10" s="568"/>
      <c r="BV10" s="568"/>
      <c r="BW10" s="568"/>
      <c r="BX10" s="568"/>
      <c r="BY10" s="568"/>
      <c r="BZ10" s="568"/>
      <c r="CA10" s="568"/>
      <c r="CB10" s="568"/>
      <c r="CC10" s="568"/>
      <c r="IU10" s="569">
        <v>15</v>
      </c>
    </row>
    <row s="6055" customFormat="1" customHeight="1" ht="22.049999999999997">
      <c r="A11" s="1301"/>
      <c r="B11" s="1306"/>
      <c r="C11" s="1301"/>
      <c r="D11" s="597"/>
      <c r="E11" s="326"/>
      <c r="F11" s="326"/>
      <c r="G11" s="326"/>
      <c r="H11" s="326"/>
      <c r="I11" s="326"/>
      <c r="J11" s="326"/>
      <c r="K11" s="646"/>
      <c r="L11" s="646"/>
      <c r="M11" s="646"/>
      <c r="N11" s="646"/>
      <c r="O11" s="372"/>
      <c r="P11" s="646"/>
      <c r="Q11" s="371"/>
      <c r="R11" s="371"/>
      <c r="S11" s="371"/>
      <c r="T11" s="371"/>
      <c r="IU11" s="653">
        <v>21</v>
      </c>
    </row>
    <row s="6055" customFormat="1" customHeight="1" ht="14.699999999999998">
      <c r="A12" s="1301"/>
      <c r="B12" s="1306"/>
      <c r="C12" s="1301"/>
      <c r="D12" s="597"/>
      <c r="E12" s="1301"/>
      <c r="F12" s="1301"/>
      <c r="G12" s="1301"/>
      <c r="H12" s="1301"/>
      <c r="I12" s="1301"/>
      <c r="J12" s="1301"/>
      <c r="K12" s="646"/>
      <c r="L12" s="646"/>
      <c r="M12" s="646"/>
      <c r="N12" s="646"/>
      <c r="O12" s="372"/>
      <c r="P12" s="646"/>
      <c r="Q12" s="371"/>
      <c r="R12" s="371"/>
      <c r="S12" s="371"/>
      <c r="T12" s="371"/>
      <c r="IU12" s="653">
        <v>14</v>
      </c>
    </row>
    <row s="6055" customFormat="1" customHeight="1" ht="1.05">
      <c r="A13" s="1301"/>
      <c r="B13" s="1306"/>
      <c r="C13" s="1301"/>
      <c r="D13" s="597"/>
      <c r="E13" s="1301"/>
      <c r="F13" s="1301"/>
      <c r="G13" s="1301"/>
      <c r="H13" s="1301"/>
      <c r="I13" s="1301"/>
      <c r="J13" s="1301"/>
      <c r="K13" s="646"/>
      <c r="L13" s="646"/>
      <c r="M13" s="646"/>
      <c r="N13" s="646"/>
      <c r="O13" s="372"/>
      <c r="P13" s="646"/>
      <c r="Q13" s="371"/>
      <c r="R13" s="371"/>
      <c r="S13" s="371"/>
      <c r="T13" s="371"/>
      <c r="IU13" s="653">
        <v>1</v>
      </c>
    </row>
    <row s="7138" customFormat="1" customHeight="1" ht="10.5">
      <c r="B14" s="980"/>
      <c r="D14" s="328"/>
      <c r="K14" s="646"/>
      <c r="L14" s="646"/>
      <c r="M14" s="646"/>
      <c r="N14" s="646"/>
      <c r="O14" s="372"/>
      <c r="P14" s="646"/>
      <c r="Q14" s="371"/>
      <c r="R14" s="371"/>
      <c r="S14" s="371"/>
      <c r="T14" s="371"/>
      <c r="IU14" s="327">
        <v>10</v>
      </c>
    </row>
    <row s="7138" customFormat="1" customHeight="1" ht="10.5">
      <c r="B15" s="980"/>
      <c r="D15" s="328"/>
      <c r="K15" s="646"/>
      <c r="L15" s="646"/>
      <c r="M15" s="646"/>
      <c r="N15" s="646"/>
      <c r="O15" s="372"/>
      <c r="P15" s="646"/>
      <c r="Q15" s="371"/>
      <c r="R15" s="371"/>
      <c r="S15" s="371"/>
      <c r="T15" s="371"/>
      <c r="IU15" s="327">
        <v>10</v>
      </c>
    </row>
    <row customHeight="1" ht="14.699999999999998">
      <c r="IU16" s="1301">
        <v>14</v>
      </c>
    </row>
    <row customHeight="1" ht="14.699999999999998">
      <c r="IU17" s="1301">
        <v>14</v>
      </c>
    </row>
    <row customHeight="1" ht="14.699999999999998">
      <c r="IU18" s="1301">
        <v>14</v>
      </c>
    </row>
    <row customHeight="1" ht="14.699999999999998">
      <c r="G19" s="519"/>
      <c r="H19" s="519"/>
      <c r="I19" s="519"/>
      <c r="IU19" s="1301">
        <v>14</v>
      </c>
    </row>
    <row customHeight="1" ht="14.699999999999998">
      <c r="IU20" s="1301">
        <v>14</v>
      </c>
    </row>
    <row customHeight="1" ht="14.699999999999998">
      <c r="IU21" s="1301">
        <v>14</v>
      </c>
    </row>
    <row customHeight="1" ht="14.699999999999998">
      <c r="IU22" s="1301">
        <v>14</v>
      </c>
    </row>
    <row customHeight="1" ht="14.699999999999998">
      <c r="K23" s="1301"/>
      <c r="L23" s="1301"/>
      <c r="M23" s="1301"/>
      <c r="IU23" s="1301">
        <v>14</v>
      </c>
    </row>
    <row customHeight="1" ht="22.5" hidden="1">
      <c r="A24" s="1301" t="s">
        <v>83</v>
      </c>
      <c r="B24" s="1306">
        <v>0</v>
      </c>
      <c r="C24" s="1301">
        <v>0</v>
      </c>
      <c r="D24" s="597">
        <v>3</v>
      </c>
      <c r="E24" s="1301">
        <v>6</v>
      </c>
      <c r="F24" s="1301">
        <v>46</v>
      </c>
      <c r="G24" s="1301">
        <v>16</v>
      </c>
      <c r="H24" s="1301">
        <v>16</v>
      </c>
      <c r="I24" s="1301">
        <v>35</v>
      </c>
      <c r="J24" s="1301">
        <v>89</v>
      </c>
      <c r="K24" s="646">
        <v>3</v>
      </c>
      <c r="L24" s="646">
        <v>8</v>
      </c>
      <c r="M24" s="646">
        <v>8</v>
      </c>
      <c r="N24" s="646">
        <v>8</v>
      </c>
      <c r="O24" s="372">
        <v>25</v>
      </c>
      <c r="P24" s="646">
        <v>14</v>
      </c>
      <c r="Q24" s="371">
        <v>8</v>
      </c>
      <c r="R24" s="371">
        <v>8</v>
      </c>
      <c r="S24" s="371">
        <v>8</v>
      </c>
      <c r="T24" s="371">
        <v>8</v>
      </c>
      <c r="U24" s="1301">
        <v>8</v>
      </c>
      <c r="V24" s="1301">
        <v>8</v>
      </c>
      <c r="W24" s="1301">
        <v>8</v>
      </c>
      <c r="X24" s="1301">
        <v>8</v>
      </c>
      <c r="Y24" s="1301">
        <v>8</v>
      </c>
      <c r="Z24" s="1301">
        <v>8</v>
      </c>
      <c r="AA24" s="1301">
        <v>8</v>
      </c>
      <c r="AB24" s="1301">
        <v>8</v>
      </c>
      <c r="AC24" s="1301">
        <v>8</v>
      </c>
      <c r="AD24" s="1301">
        <v>8</v>
      </c>
      <c r="AE24" s="1301">
        <v>8</v>
      </c>
      <c r="AF24" s="1301">
        <v>8</v>
      </c>
      <c r="AG24" s="1301">
        <v>8</v>
      </c>
      <c r="AH24" s="1301">
        <v>8</v>
      </c>
      <c r="AI24" s="1301">
        <v>8</v>
      </c>
      <c r="AJ24" s="1301">
        <v>8</v>
      </c>
      <c r="AK24" s="1301">
        <v>8</v>
      </c>
      <c r="AL24" s="1301">
        <v>8</v>
      </c>
      <c r="AM24" s="1301">
        <v>8</v>
      </c>
      <c r="AN24" s="1301">
        <v>8</v>
      </c>
      <c r="AO24" s="1301">
        <v>8</v>
      </c>
      <c r="AP24" s="1301">
        <v>8</v>
      </c>
      <c r="AQ24" s="1301">
        <v>8</v>
      </c>
      <c r="AR24" s="1301">
        <v>8</v>
      </c>
      <c r="AS24" s="1301">
        <v>8</v>
      </c>
      <c r="AT24" s="1301">
        <v>8</v>
      </c>
      <c r="AU24" s="1301">
        <v>8</v>
      </c>
      <c r="AV24" s="1301">
        <v>8</v>
      </c>
      <c r="AW24" s="1301">
        <v>8</v>
      </c>
      <c r="AX24" s="1301">
        <v>8</v>
      </c>
      <c r="AY24" s="1301">
        <v>8</v>
      </c>
      <c r="AZ24" s="1301">
        <v>8</v>
      </c>
      <c r="BA24" s="1301">
        <v>8</v>
      </c>
      <c r="BB24" s="1301">
        <v>8</v>
      </c>
      <c r="BC24" s="1301">
        <v>8</v>
      </c>
      <c r="BD24" s="1301">
        <v>8</v>
      </c>
      <c r="BE24" s="1301">
        <v>8</v>
      </c>
      <c r="BF24" s="1301">
        <v>8</v>
      </c>
      <c r="BG24" s="1301">
        <v>8</v>
      </c>
      <c r="BH24" s="1301">
        <v>8</v>
      </c>
      <c r="BI24" s="1301">
        <v>8</v>
      </c>
      <c r="BJ24" s="1301">
        <v>8</v>
      </c>
      <c r="BK24" s="1301">
        <v>8</v>
      </c>
      <c r="BL24" s="1301">
        <v>8</v>
      </c>
      <c r="BM24" s="1301">
        <v>8</v>
      </c>
      <c r="BN24" s="1301">
        <v>8</v>
      </c>
      <c r="BO24" s="1301">
        <v>8</v>
      </c>
      <c r="BP24" s="1301">
        <v>8</v>
      </c>
      <c r="BQ24" s="1301">
        <v>8</v>
      </c>
      <c r="BR24" s="1301">
        <v>8</v>
      </c>
      <c r="BS24" s="1301">
        <v>8</v>
      </c>
      <c r="BT24" s="1301">
        <v>8</v>
      </c>
      <c r="BU24" s="1301">
        <v>8</v>
      </c>
      <c r="BV24" s="1301">
        <v>8</v>
      </c>
      <c r="BW24" s="1301">
        <v>8</v>
      </c>
      <c r="BX24" s="1301">
        <v>8</v>
      </c>
      <c r="BY24" s="1301">
        <v>8</v>
      </c>
      <c r="BZ24" s="1301">
        <v>8</v>
      </c>
      <c r="CA24" s="1301">
        <v>8</v>
      </c>
      <c r="CB24" s="1301">
        <v>8</v>
      </c>
      <c r="CC24" s="1301">
        <v>8</v>
      </c>
      <c r="CD24" s="1301">
        <v>8</v>
      </c>
      <c r="CE24" s="1301">
        <v>8</v>
      </c>
      <c r="CF24" s="1301">
        <v>8</v>
      </c>
      <c r="CG24" s="1301">
        <v>8</v>
      </c>
      <c r="CH24" s="1301">
        <v>8</v>
      </c>
      <c r="CI24" s="1301">
        <v>8</v>
      </c>
      <c r="CJ24" s="1301">
        <v>8</v>
      </c>
      <c r="CK24" s="1301">
        <v>8</v>
      </c>
      <c r="CL24" s="1301">
        <v>8</v>
      </c>
      <c r="CM24" s="1301">
        <v>8</v>
      </c>
      <c r="CN24" s="1301">
        <v>8</v>
      </c>
      <c r="CO24" s="1301">
        <v>8</v>
      </c>
      <c r="CP24" s="1301">
        <v>8</v>
      </c>
      <c r="CQ24" s="1301">
        <v>8</v>
      </c>
      <c r="CR24" s="1301">
        <v>8</v>
      </c>
      <c r="CS24" s="1301">
        <v>8</v>
      </c>
      <c r="CT24" s="1301">
        <v>8</v>
      </c>
      <c r="CU24" s="1301">
        <v>8</v>
      </c>
      <c r="CV24" s="1301">
        <v>8</v>
      </c>
      <c r="CW24" s="1301">
        <v>8</v>
      </c>
      <c r="CX24" s="1301">
        <v>8</v>
      </c>
      <c r="CY24" s="1301">
        <v>8</v>
      </c>
      <c r="CZ24" s="1301">
        <v>8</v>
      </c>
      <c r="DA24" s="1301">
        <v>8</v>
      </c>
      <c r="DB24" s="1301">
        <v>8</v>
      </c>
      <c r="DC24" s="1301">
        <v>8</v>
      </c>
      <c r="DD24" s="1301">
        <v>8</v>
      </c>
      <c r="DE24" s="1301">
        <v>8</v>
      </c>
      <c r="DF24" s="1301">
        <v>8</v>
      </c>
      <c r="DG24" s="1301">
        <v>8</v>
      </c>
      <c r="DH24" s="1301">
        <v>8</v>
      </c>
      <c r="DI24" s="1301">
        <v>8</v>
      </c>
      <c r="DJ24" s="1301">
        <v>8</v>
      </c>
      <c r="DK24" s="1301">
        <v>8</v>
      </c>
      <c r="DL24" s="1301">
        <v>8</v>
      </c>
      <c r="DM24" s="1301">
        <v>8</v>
      </c>
      <c r="DN24" s="1301">
        <v>8</v>
      </c>
      <c r="DO24" s="1301">
        <v>8</v>
      </c>
      <c r="DP24" s="1301">
        <v>8</v>
      </c>
      <c r="DQ24" s="1301">
        <v>8</v>
      </c>
      <c r="DR24" s="1301">
        <v>8</v>
      </c>
      <c r="DS24" s="1301">
        <v>8</v>
      </c>
      <c r="DT24" s="1301">
        <v>8</v>
      </c>
      <c r="DU24" s="1301">
        <v>8</v>
      </c>
      <c r="DV24" s="1301">
        <v>8</v>
      </c>
      <c r="DW24" s="1301">
        <v>8</v>
      </c>
      <c r="DX24" s="1301">
        <v>8</v>
      </c>
      <c r="DY24" s="1301">
        <v>8</v>
      </c>
      <c r="DZ24" s="1301">
        <v>8</v>
      </c>
      <c r="EA24" s="1301">
        <v>8</v>
      </c>
      <c r="EB24" s="1301">
        <v>8</v>
      </c>
      <c r="EC24" s="1301">
        <v>8</v>
      </c>
      <c r="ED24" s="1301">
        <v>8</v>
      </c>
      <c r="EE24" s="1301">
        <v>8</v>
      </c>
      <c r="EF24" s="1301">
        <v>8</v>
      </c>
      <c r="EG24" s="1301">
        <v>8</v>
      </c>
      <c r="EH24" s="1301">
        <v>8</v>
      </c>
      <c r="EI24" s="1301">
        <v>8</v>
      </c>
      <c r="EJ24" s="1301">
        <v>8</v>
      </c>
      <c r="EK24" s="1301">
        <v>8</v>
      </c>
      <c r="EL24" s="1301">
        <v>8</v>
      </c>
      <c r="EM24" s="1301">
        <v>8</v>
      </c>
      <c r="EN24" s="1301">
        <v>8</v>
      </c>
      <c r="EO24" s="1301">
        <v>8</v>
      </c>
      <c r="EP24" s="1301">
        <v>8</v>
      </c>
      <c r="EQ24" s="1301">
        <v>8</v>
      </c>
      <c r="ER24" s="1301">
        <v>8</v>
      </c>
      <c r="ES24" s="1301">
        <v>8</v>
      </c>
      <c r="ET24" s="1301">
        <v>8</v>
      </c>
      <c r="EU24" s="1301">
        <v>8</v>
      </c>
      <c r="EV24" s="1301">
        <v>8</v>
      </c>
      <c r="EW24" s="1301">
        <v>8</v>
      </c>
      <c r="EX24" s="1301">
        <v>8</v>
      </c>
      <c r="EY24" s="1301">
        <v>8</v>
      </c>
      <c r="EZ24" s="1301">
        <v>8</v>
      </c>
      <c r="FA24" s="1301">
        <v>8</v>
      </c>
      <c r="FB24" s="1301">
        <v>8</v>
      </c>
      <c r="FC24" s="1301">
        <v>8</v>
      </c>
      <c r="FD24" s="1301">
        <v>8</v>
      </c>
      <c r="FE24" s="1301">
        <v>8</v>
      </c>
      <c r="FF24" s="1301">
        <v>8</v>
      </c>
      <c r="FG24" s="1301">
        <v>8</v>
      </c>
      <c r="FH24" s="1301">
        <v>8</v>
      </c>
      <c r="FI24" s="1301">
        <v>8</v>
      </c>
      <c r="FJ24" s="1301">
        <v>8</v>
      </c>
      <c r="FK24" s="1301">
        <v>8</v>
      </c>
      <c r="FL24" s="1301">
        <v>8</v>
      </c>
      <c r="FM24" s="1301">
        <v>8</v>
      </c>
      <c r="FN24" s="1301">
        <v>8</v>
      </c>
      <c r="FO24" s="1301">
        <v>8</v>
      </c>
      <c r="FP24" s="1301">
        <v>8</v>
      </c>
      <c r="FQ24" s="1301">
        <v>8</v>
      </c>
      <c r="FR24" s="1301">
        <v>8</v>
      </c>
      <c r="FS24" s="1301">
        <v>8</v>
      </c>
      <c r="FT24" s="1301">
        <v>8</v>
      </c>
      <c r="FU24" s="1301">
        <v>8</v>
      </c>
      <c r="FV24" s="1301">
        <v>8</v>
      </c>
      <c r="FW24" s="1301">
        <v>8</v>
      </c>
      <c r="FX24" s="1301">
        <v>8</v>
      </c>
      <c r="FY24" s="1301">
        <v>8</v>
      </c>
      <c r="FZ24" s="1301">
        <v>8</v>
      </c>
      <c r="GA24" s="1301">
        <v>8</v>
      </c>
      <c r="GB24" s="1301">
        <v>8</v>
      </c>
      <c r="GC24" s="1301">
        <v>8</v>
      </c>
      <c r="GD24" s="1301">
        <v>8</v>
      </c>
      <c r="GE24" s="1301">
        <v>8</v>
      </c>
      <c r="GF24" s="1301">
        <v>8</v>
      </c>
      <c r="GG24" s="1301">
        <v>8</v>
      </c>
      <c r="GH24" s="1301">
        <v>8</v>
      </c>
      <c r="GI24" s="1301">
        <v>8</v>
      </c>
      <c r="GJ24" s="1301">
        <v>8</v>
      </c>
      <c r="GK24" s="1301">
        <v>8</v>
      </c>
      <c r="GL24" s="1301">
        <v>8</v>
      </c>
      <c r="GM24" s="1301">
        <v>8</v>
      </c>
      <c r="GN24" s="1301">
        <v>8</v>
      </c>
      <c r="GO24" s="1301">
        <v>8</v>
      </c>
      <c r="GP24" s="1301">
        <v>8</v>
      </c>
      <c r="GQ24" s="1301">
        <v>8</v>
      </c>
      <c r="GR24" s="1301">
        <v>8</v>
      </c>
      <c r="GS24" s="1301">
        <v>8</v>
      </c>
      <c r="GT24" s="1301">
        <v>8</v>
      </c>
      <c r="GU24" s="1301">
        <v>8</v>
      </c>
      <c r="GV24" s="1301">
        <v>8</v>
      </c>
      <c r="GW24" s="1301">
        <v>8</v>
      </c>
      <c r="GX24" s="1301">
        <v>8</v>
      </c>
      <c r="GY24" s="1301">
        <v>8</v>
      </c>
      <c r="GZ24" s="1301">
        <v>8</v>
      </c>
      <c r="HA24" s="1301">
        <v>8</v>
      </c>
      <c r="HB24" s="1301">
        <v>8</v>
      </c>
      <c r="HC24" s="1301">
        <v>8</v>
      </c>
      <c r="HD24" s="1301">
        <v>8</v>
      </c>
      <c r="HE24" s="1301">
        <v>8</v>
      </c>
      <c r="HF24" s="1301">
        <v>8</v>
      </c>
      <c r="HG24" s="1301">
        <v>8</v>
      </c>
      <c r="HH24" s="1301">
        <v>8</v>
      </c>
      <c r="HI24" s="1301">
        <v>8</v>
      </c>
      <c r="HJ24" s="1301">
        <v>8</v>
      </c>
      <c r="HK24" s="1301">
        <v>8</v>
      </c>
      <c r="HL24" s="1301">
        <v>8</v>
      </c>
      <c r="HM24" s="1301">
        <v>8</v>
      </c>
      <c r="HN24" s="1301">
        <v>8</v>
      </c>
      <c r="HO24" s="1301">
        <v>8</v>
      </c>
      <c r="HP24" s="1301">
        <v>8</v>
      </c>
      <c r="HQ24" s="1301">
        <v>8</v>
      </c>
      <c r="HR24" s="1301">
        <v>8</v>
      </c>
      <c r="HS24" s="1301">
        <v>8</v>
      </c>
      <c r="HT24" s="1301">
        <v>8</v>
      </c>
      <c r="HU24" s="1301">
        <v>8</v>
      </c>
      <c r="HV24" s="1301">
        <v>8</v>
      </c>
      <c r="HW24" s="1301">
        <v>8</v>
      </c>
      <c r="HX24" s="1301">
        <v>8</v>
      </c>
      <c r="HY24" s="1301">
        <v>8</v>
      </c>
      <c r="HZ24" s="1301">
        <v>8</v>
      </c>
      <c r="IA24" s="1301">
        <v>8</v>
      </c>
      <c r="IB24" s="1301">
        <v>8</v>
      </c>
      <c r="IC24" s="1301">
        <v>8</v>
      </c>
      <c r="ID24" s="1301">
        <v>8</v>
      </c>
      <c r="IE24" s="1301">
        <v>8</v>
      </c>
      <c r="IF24" s="1301">
        <v>8</v>
      </c>
      <c r="IG24" s="1301">
        <v>8</v>
      </c>
      <c r="IH24" s="1301">
        <v>8</v>
      </c>
      <c r="II24" s="1301">
        <v>8</v>
      </c>
      <c r="IJ24" s="1301">
        <v>8</v>
      </c>
      <c r="IK24" s="1301">
        <v>8</v>
      </c>
      <c r="IL24" s="1301">
        <v>8</v>
      </c>
      <c r="IM24" s="1301">
        <v>8</v>
      </c>
      <c r="IN24" s="1301">
        <v>8</v>
      </c>
      <c r="IO24" s="1301">
        <v>8</v>
      </c>
      <c r="IP24" s="1301">
        <v>8</v>
      </c>
      <c r="IQ24" s="1301">
        <v>8</v>
      </c>
      <c r="IR24" s="1301">
        <v>8</v>
      </c>
      <c r="IS24" s="1301">
        <v>8</v>
      </c>
      <c r="IT24" s="1301">
        <v>8</v>
      </c>
      <c r="IU24" s="1301">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430EE-158B-38C7-8371-0.01EDED2D}" mc:Ignorable="x14ac xr xr2 xr3">
  <dimension ref="A1:IW15"/>
  <sheetViews>
    <sheetView topLeftCell="A1" showGridLines="0" zoomScale="90" workbookViewId="0">
      <selection activeCell="A1" sqref="A1"/>
    </sheetView>
  </sheetViews>
  <sheetFormatPr defaultColWidth="9.140625" customHeight="1" defaultRowHeight="14.25"/>
  <cols>
    <col min="1" max="1" style="7235" width="9.140625" hidden="1"/>
    <col min="2" max="2" style="7180" width="9.140625" hidden="1"/>
    <col min="3" max="3" style="7235" width="3.7109375" hidden="1" customWidth="1"/>
    <col min="4" max="4" style="7758" width="3.00390625" customWidth="1"/>
    <col min="5" max="5" style="7235" width="6.00390625" customWidth="1"/>
    <col min="6" max="6" style="7235" width="27.00390625" customWidth="1"/>
    <col min="7" max="7" style="7235" width="16.00390625" customWidth="1"/>
    <col min="8" max="8" style="7235" width="12.00390625" customWidth="1"/>
    <col min="9" max="9" style="7235" width="32.00390625" customWidth="1"/>
    <col min="10" max="11" style="7235" width="41.00390625" customWidth="1"/>
    <col min="12" max="12" style="7235" width="89.00390625" customWidth="1"/>
    <col min="13" max="13" style="7183" width="3.00390625" customWidth="1"/>
    <col min="14" max="16" style="7183" width="8.00390625" customWidth="1"/>
    <col min="17" max="17" style="7183" width="25.00390625" customWidth="1"/>
    <col min="18" max="18" style="7183" width="14.00390625" customWidth="1"/>
    <col min="19" max="22" style="5605" width="8.00390625" customWidth="1"/>
    <col min="23" max="256" style="7235" width="8.00390625" customWidth="1"/>
    <col min="257" max="257" style="7235" width="9.140625" hidden="1"/>
  </cols>
  <sheetData>
    <row customHeight="1" ht="22.5" hidden="1">
      <c r="IW1" s="1301" t="s">
        <v>14</v>
      </c>
    </row>
    <row s="7976" customFormat="1" customHeight="1" ht="22.5" hidden="1">
      <c r="A2" s="977"/>
      <c r="B2" s="1306">
        <v>1</v>
      </c>
      <c r="C2" s="1306"/>
      <c r="D2" s="2071" t="s">
        <v>106</v>
      </c>
      <c r="E2" s="2032"/>
      <c r="F2" s="2035" t="str">
        <f>IF(ROIV_INFO_NAME="","",ROIV_INFO_NAME)</f>
        <v>ПАО "ТГК-14"</v>
      </c>
      <c r="G2" s="2060" t="s">
        <v>22</v>
      </c>
      <c r="H2" s="2059"/>
      <c r="I2" s="1684"/>
      <c r="J2" s="964"/>
      <c r="K2" s="964"/>
      <c r="L2" s="374"/>
      <c r="M2" s="1681">
        <f>MERGEVALUE(F2)</f>
      </c>
      <c r="N2" s="657"/>
      <c r="O2" s="657"/>
      <c r="P2" s="646" t="str">
        <f t="array" ref="P2:P2">IF(ISERROR(MATCH(MID(Q2,1,250),MID(note_ter,1,250),0)),"n","y")</f>
        <v>n</v>
      </c>
      <c r="Q2" s="657"/>
      <c r="R2" s="646" t="str">
        <f>G2&amp;"("&amp;L2&amp;")"</f>
        <v>()</v>
      </c>
      <c r="S2" s="1306"/>
      <c r="T2" s="1306"/>
      <c r="U2" s="566"/>
      <c r="V2" s="1306"/>
      <c r="W2" s="1306"/>
      <c r="X2" s="1306"/>
      <c r="Y2" s="568"/>
      <c r="Z2" s="568"/>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8"/>
      <c r="BW2" s="568"/>
      <c r="BX2" s="568"/>
      <c r="BY2" s="568"/>
      <c r="BZ2" s="568"/>
      <c r="CA2" s="568"/>
      <c r="CB2" s="568"/>
      <c r="CC2" s="568"/>
      <c r="CD2" s="568"/>
      <c r="CE2" s="568"/>
      <c r="IW2" s="569">
        <v>0</v>
      </c>
    </row>
    <row s="6720" customFormat="1" customHeight="1" ht="5.25" hidden="1">
      <c r="A3" s="642"/>
      <c r="D3" s="640"/>
      <c r="F3" s="393" t="s">
        <v>84</v>
      </c>
      <c r="G3" s="1880" t="s">
        <v>85</v>
      </c>
      <c r="H3" s="640"/>
      <c r="I3" s="640"/>
      <c r="J3" s="640"/>
      <c r="K3" s="640"/>
      <c r="L3" s="373" t="s">
        <v>86</v>
      </c>
      <c r="M3" s="393" t="s">
        <v>84</v>
      </c>
      <c r="N3" s="393"/>
      <c r="O3" s="393"/>
      <c r="P3" s="393"/>
      <c r="Q3" s="394"/>
      <c r="R3" s="393"/>
      <c r="S3" s="393"/>
      <c r="T3" s="393"/>
      <c r="U3" s="393"/>
      <c r="V3" s="39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c r="BF3" s="373"/>
      <c r="BG3" s="373"/>
      <c r="BH3" s="373"/>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c r="CQ3" s="373"/>
      <c r="CR3" s="373"/>
      <c r="CS3" s="373"/>
      <c r="CT3" s="373"/>
      <c r="CU3" s="373"/>
      <c r="CV3" s="373"/>
      <c r="CW3" s="373"/>
      <c r="CX3" s="373"/>
      <c r="CY3" s="373"/>
      <c r="CZ3" s="373"/>
      <c r="DA3" s="373"/>
      <c r="DB3" s="373"/>
      <c r="DC3" s="373"/>
      <c r="DD3" s="373"/>
      <c r="DE3" s="373"/>
      <c r="DF3" s="373"/>
      <c r="DG3" s="373"/>
      <c r="DH3" s="373"/>
      <c r="DI3" s="373"/>
      <c r="DJ3" s="373"/>
      <c r="DK3" s="373"/>
      <c r="DL3" s="373"/>
      <c r="DM3" s="373"/>
      <c r="DN3" s="373"/>
      <c r="DO3" s="373"/>
      <c r="DP3" s="373"/>
      <c r="DQ3" s="373"/>
      <c r="DR3" s="373"/>
      <c r="DS3" s="373"/>
      <c r="DT3" s="373"/>
      <c r="DU3" s="373"/>
      <c r="DV3" s="373"/>
      <c r="DW3" s="373"/>
      <c r="DX3" s="373"/>
      <c r="DY3" s="373"/>
      <c r="DZ3" s="373"/>
      <c r="EA3" s="373"/>
      <c r="EB3" s="373"/>
      <c r="EC3" s="373"/>
      <c r="ED3" s="373"/>
      <c r="EE3" s="373"/>
      <c r="EF3" s="373"/>
      <c r="EG3" s="373"/>
      <c r="EH3" s="373"/>
      <c r="EI3" s="373"/>
      <c r="EJ3" s="373"/>
      <c r="EK3" s="373"/>
      <c r="EL3" s="373"/>
      <c r="EM3" s="373"/>
      <c r="EN3" s="373"/>
      <c r="EO3" s="373"/>
      <c r="EP3" s="373"/>
      <c r="EQ3" s="373"/>
      <c r="ER3" s="373"/>
      <c r="ES3" s="373"/>
      <c r="ET3" s="373"/>
      <c r="EU3" s="373"/>
      <c r="EV3" s="373"/>
      <c r="EW3" s="373"/>
      <c r="EX3" s="373"/>
      <c r="EY3" s="373"/>
      <c r="EZ3" s="373"/>
      <c r="FA3" s="373"/>
      <c r="FB3" s="373"/>
      <c r="FC3" s="373"/>
      <c r="FD3" s="373"/>
      <c r="FE3" s="373"/>
      <c r="FF3" s="373"/>
      <c r="FG3" s="373"/>
      <c r="FH3" s="373"/>
      <c r="FI3" s="373"/>
      <c r="FJ3" s="373"/>
      <c r="FK3" s="373"/>
      <c r="FL3" s="373"/>
      <c r="FM3" s="373"/>
      <c r="FN3" s="373"/>
      <c r="FO3" s="373"/>
      <c r="FP3" s="373"/>
      <c r="FQ3" s="373"/>
      <c r="FR3" s="373"/>
      <c r="FS3" s="373"/>
      <c r="FT3" s="373"/>
      <c r="FU3" s="373"/>
      <c r="FV3" s="373"/>
      <c r="FW3" s="373"/>
      <c r="FX3" s="373"/>
      <c r="FY3" s="373"/>
      <c r="FZ3" s="373"/>
      <c r="GA3" s="373"/>
      <c r="GB3" s="373"/>
      <c r="GC3" s="373"/>
      <c r="GD3" s="373"/>
      <c r="GE3" s="373"/>
      <c r="GF3" s="373"/>
      <c r="GG3" s="373"/>
      <c r="GH3" s="373"/>
      <c r="GI3" s="373"/>
      <c r="GJ3" s="373"/>
      <c r="GK3" s="373"/>
      <c r="GL3" s="373"/>
      <c r="GM3" s="373"/>
      <c r="GN3" s="373"/>
      <c r="GO3" s="373"/>
      <c r="GP3" s="373"/>
      <c r="GQ3" s="373"/>
      <c r="GR3" s="373"/>
      <c r="GS3" s="373"/>
      <c r="GT3" s="373"/>
      <c r="GU3" s="373"/>
      <c r="GV3" s="373"/>
      <c r="GW3" s="373"/>
      <c r="GX3" s="373"/>
      <c r="GY3" s="373"/>
      <c r="GZ3" s="373"/>
      <c r="HA3" s="373"/>
      <c r="HB3" s="373"/>
      <c r="HC3" s="373"/>
      <c r="HD3" s="373"/>
      <c r="HE3" s="373"/>
      <c r="HF3" s="373"/>
      <c r="HG3" s="373"/>
      <c r="HH3" s="373"/>
      <c r="HI3" s="373"/>
      <c r="HJ3" s="373"/>
      <c r="HK3" s="373"/>
      <c r="HL3" s="373"/>
      <c r="HM3" s="373"/>
      <c r="HN3" s="373"/>
      <c r="HO3" s="373"/>
      <c r="HP3" s="373"/>
      <c r="HQ3" s="373"/>
      <c r="HR3" s="373"/>
      <c r="HS3" s="373"/>
      <c r="HT3" s="373"/>
      <c r="HU3" s="373"/>
      <c r="HV3" s="373"/>
      <c r="HW3" s="373"/>
      <c r="HX3" s="373"/>
      <c r="HY3" s="373"/>
      <c r="HZ3" s="373"/>
      <c r="IA3" s="373"/>
      <c r="IB3" s="373"/>
      <c r="IC3" s="373"/>
      <c r="ID3" s="373"/>
      <c r="IE3" s="373"/>
      <c r="IF3" s="373"/>
      <c r="IG3" s="373"/>
      <c r="IH3" s="373"/>
      <c r="II3" s="373"/>
      <c r="IJ3" s="373"/>
      <c r="IK3" s="373"/>
      <c r="IL3" s="373"/>
      <c r="IM3" s="373"/>
      <c r="IN3" s="373"/>
      <c r="IO3" s="373"/>
      <c r="IP3" s="373"/>
      <c r="IQ3" s="373"/>
      <c r="IR3" s="373"/>
      <c r="IS3" s="373"/>
      <c r="IT3" s="373"/>
      <c r="IU3" s="373"/>
      <c r="IV3" s="373"/>
      <c r="IW3" s="657">
        <v>0</v>
      </c>
    </row>
    <row s="6055" customFormat="1" customHeight="1" ht="14.699999999999998">
      <c r="A4" s="1301"/>
      <c r="B4" s="1306"/>
      <c r="C4" s="1301"/>
      <c r="D4" s="1641"/>
      <c r="E4" s="655"/>
      <c r="F4" s="655"/>
      <c r="G4" s="655"/>
      <c r="H4" s="655"/>
      <c r="I4" s="655"/>
      <c r="J4" s="655"/>
      <c r="K4" s="655"/>
      <c r="L4" s="312"/>
      <c r="M4" s="393"/>
      <c r="N4" s="646"/>
      <c r="O4" s="646"/>
      <c r="P4" s="646"/>
      <c r="Q4" s="372"/>
      <c r="R4" s="646"/>
      <c r="S4" s="371"/>
      <c r="T4" s="371"/>
      <c r="U4" s="371"/>
      <c r="V4" s="371"/>
      <c r="IW4" s="653">
        <v>14</v>
      </c>
    </row>
    <row s="6055" customFormat="1" customHeight="1" ht="27.299999999999997">
      <c r="A5" s="1301"/>
      <c r="B5" s="1306"/>
      <c r="C5" s="1301"/>
      <c r="D5" s="1641"/>
      <c r="E5" s="225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9"/>
      <c r="G5" s="2259"/>
      <c r="H5" s="2259"/>
      <c r="I5" s="2259"/>
      <c r="J5" s="2259"/>
      <c r="K5" s="2259"/>
      <c r="L5" s="734"/>
      <c r="M5" s="393"/>
      <c r="N5" s="646"/>
      <c r="O5" s="646"/>
      <c r="P5" s="646"/>
      <c r="Q5" s="372"/>
      <c r="R5" s="646"/>
      <c r="S5" s="371"/>
      <c r="T5" s="371"/>
      <c r="U5" s="371"/>
      <c r="V5" s="371"/>
      <c r="IW5" s="653">
        <v>26</v>
      </c>
    </row>
    <row s="6055" customFormat="1" customHeight="1" ht="14.699999999999998">
      <c r="A6" s="1301"/>
      <c r="B6" s="1306"/>
      <c r="C6" s="1301"/>
      <c r="D6" s="1641"/>
      <c r="E6" s="655"/>
      <c r="F6" s="313"/>
      <c r="G6" s="313"/>
      <c r="H6" s="313"/>
      <c r="I6" s="313"/>
      <c r="J6" s="313"/>
      <c r="K6" s="313"/>
      <c r="L6" s="314"/>
      <c r="M6" s="646"/>
      <c r="N6" s="646"/>
      <c r="O6" s="646"/>
      <c r="P6" s="646"/>
      <c r="Q6" s="372"/>
      <c r="R6" s="646"/>
      <c r="S6" s="371"/>
      <c r="T6" s="371"/>
      <c r="U6" s="371"/>
      <c r="V6" s="371"/>
      <c r="IW6" s="653">
        <v>14</v>
      </c>
    </row>
    <row s="6055" customFormat="1" customHeight="1" ht="14.699999999999998">
      <c r="A7" s="1301"/>
      <c r="B7" s="1306"/>
      <c r="C7" s="1301"/>
      <c r="D7" s="1641"/>
      <c r="E7" s="2260" t="s">
        <v>322</v>
      </c>
      <c r="F7" s="2261"/>
      <c r="G7" s="2261"/>
      <c r="H7" s="2261"/>
      <c r="I7" s="2261"/>
      <c r="J7" s="2261"/>
      <c r="K7" s="2261"/>
      <c r="L7" s="2633" t="s">
        <v>323</v>
      </c>
      <c r="M7" s="646"/>
      <c r="N7" s="646"/>
      <c r="O7" s="646"/>
      <c r="P7" s="646"/>
      <c r="Q7" s="372"/>
      <c r="R7" s="646"/>
      <c r="S7" s="371"/>
      <c r="T7" s="371"/>
      <c r="U7" s="371"/>
      <c r="V7" s="371"/>
      <c r="IW7" s="653">
        <v>14</v>
      </c>
    </row>
    <row s="6055" customFormat="1" customHeight="1" ht="67.2">
      <c r="A8" s="1301"/>
      <c r="B8" s="1306"/>
      <c r="C8" s="1301"/>
      <c r="D8" s="1641"/>
      <c r="E8" s="2637" t="s">
        <v>89</v>
      </c>
      <c r="F8" s="263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3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40"/>
      <c r="I8" s="2641"/>
      <c r="J8" s="263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35"/>
      <c r="M8" s="646"/>
      <c r="N8" s="646"/>
      <c r="O8" s="646"/>
      <c r="P8" s="646"/>
      <c r="Q8" s="372"/>
      <c r="R8" s="646"/>
      <c r="S8" s="371"/>
      <c r="T8" s="371"/>
      <c r="U8" s="371"/>
      <c r="V8" s="371"/>
      <c r="IW8" s="653">
        <v>64</v>
      </c>
    </row>
    <row s="6055" customFormat="1" customHeight="1" ht="29.25">
      <c r="A9" s="1301"/>
      <c r="B9" s="1306"/>
      <c r="C9" s="1301"/>
      <c r="D9" s="1641"/>
      <c r="E9" s="2638"/>
      <c r="F9" s="2638"/>
      <c r="G9" s="1683" t="s">
        <v>2163</v>
      </c>
      <c r="H9" s="1683" t="s">
        <v>2164</v>
      </c>
      <c r="I9" s="1683" t="s">
        <v>2165</v>
      </c>
      <c r="J9" s="2638"/>
      <c r="K9" s="2638"/>
      <c r="L9" s="2634"/>
      <c r="M9" s="646"/>
      <c r="N9" s="646"/>
      <c r="O9" s="646"/>
      <c r="P9" s="646"/>
      <c r="Q9" s="372"/>
      <c r="R9" s="646"/>
      <c r="S9" s="371"/>
      <c r="T9" s="371"/>
      <c r="U9" s="371"/>
      <c r="V9" s="371"/>
      <c r="IW9" s="653">
        <v>28</v>
      </c>
    </row>
    <row s="7976" customFormat="1" customHeight="1" ht="23.25">
      <c r="A10" s="2258"/>
      <c r="B10" s="1306">
        <v>1</v>
      </c>
      <c r="C10" s="1306"/>
      <c r="D10" s="946"/>
      <c r="E10" s="944">
        <v>1</v>
      </c>
      <c r="F10" s="1685" t="str">
        <f>IF(ROIV_INFO_NAME="","",ROIV_INFO_NAME)</f>
        <v>ПАО "ТГК-14"</v>
      </c>
      <c r="G10" s="1877" t="s">
        <v>22</v>
      </c>
      <c r="H10" s="2059"/>
      <c r="I10" s="1680"/>
      <c r="J10" s="964"/>
      <c r="K10" s="964"/>
      <c r="L10" s="25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81">
        <f>MERGEVALUE(F10)</f>
      </c>
      <c r="N10" s="657"/>
      <c r="O10" s="657"/>
      <c r="P10" s="646" t="str">
        <f t="array" ref="P10:P10">IF(ISERROR(MATCH(MID(Q10,1,250),MID(note_ter,1,250),0)),"n","y")</f>
        <v>n</v>
      </c>
      <c r="Q10" s="657"/>
      <c r="R10" s="64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06"/>
      <c r="T10" s="1306"/>
      <c r="U10" s="566"/>
      <c r="V10" s="1306"/>
      <c r="W10" s="1306"/>
      <c r="X10" s="1306"/>
      <c r="Y10" s="568"/>
      <c r="Z10" s="568"/>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568"/>
      <c r="BW10" s="568"/>
      <c r="BX10" s="568"/>
      <c r="BY10" s="568"/>
      <c r="BZ10" s="568"/>
      <c r="CA10" s="568"/>
      <c r="CB10" s="568"/>
      <c r="CC10" s="568"/>
      <c r="CD10" s="568"/>
      <c r="CE10" s="568"/>
      <c r="IW10" s="569">
        <v>22</v>
      </c>
    </row>
    <row s="7976" customFormat="1" customHeight="1" ht="15.75">
      <c r="A11" s="2258"/>
      <c r="B11" s="1306"/>
      <c r="C11" s="558"/>
      <c r="D11" s="947"/>
      <c r="E11" s="567"/>
      <c r="F11" s="562" t="s">
        <v>2166</v>
      </c>
      <c r="G11" s="333"/>
      <c r="H11" s="333"/>
      <c r="I11" s="333"/>
      <c r="J11" s="333"/>
      <c r="K11" s="570"/>
      <c r="L11" s="2636"/>
      <c r="M11" s="1682"/>
      <c r="N11" s="657"/>
      <c r="O11" s="657"/>
      <c r="P11" s="657"/>
      <c r="Q11" s="646"/>
      <c r="R11" s="657"/>
      <c r="S11" s="1306"/>
      <c r="T11" s="1306"/>
      <c r="U11" s="566"/>
      <c r="V11" s="1306"/>
      <c r="W11" s="1306"/>
      <c r="X11" s="1306"/>
      <c r="Y11" s="568"/>
      <c r="Z11" s="568"/>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568"/>
      <c r="BW11" s="568"/>
      <c r="BX11" s="568"/>
      <c r="BY11" s="568"/>
      <c r="BZ11" s="568"/>
      <c r="CA11" s="568"/>
      <c r="CB11" s="568"/>
      <c r="CC11" s="568"/>
      <c r="CD11" s="568"/>
      <c r="CE11" s="568"/>
      <c r="IW11" s="569">
        <v>15</v>
      </c>
    </row>
    <row s="6055" customFormat="1" customHeight="1" ht="22.049999999999997">
      <c r="A12" s="1301"/>
      <c r="B12" s="1306"/>
      <c r="C12" s="1301"/>
      <c r="D12" s="597"/>
      <c r="E12" s="326"/>
      <c r="F12" s="326"/>
      <c r="G12" s="326"/>
      <c r="H12" s="326"/>
      <c r="I12" s="326"/>
      <c r="J12" s="326"/>
      <c r="K12" s="326"/>
      <c r="L12" s="326"/>
      <c r="M12" s="646"/>
      <c r="N12" s="646"/>
      <c r="O12" s="646"/>
      <c r="P12" s="646"/>
      <c r="Q12" s="372"/>
      <c r="R12" s="646"/>
      <c r="S12" s="371"/>
      <c r="T12" s="371"/>
      <c r="U12" s="371"/>
      <c r="V12" s="371"/>
      <c r="IW12" s="653">
        <v>21</v>
      </c>
    </row>
    <row s="6055" customFormat="1" customHeight="1" ht="14.699999999999998">
      <c r="A13" s="1301"/>
      <c r="B13" s="1306"/>
      <c r="C13" s="1301"/>
      <c r="D13" s="597"/>
      <c r="E13" s="1301"/>
      <c r="F13" s="1301"/>
      <c r="G13" s="1301"/>
      <c r="H13" s="1301"/>
      <c r="I13" s="1301"/>
      <c r="J13" s="1301"/>
      <c r="K13" s="1301"/>
      <c r="L13" s="1301"/>
      <c r="M13" s="646"/>
      <c r="N13" s="646"/>
      <c r="O13" s="646"/>
      <c r="P13" s="646"/>
      <c r="Q13" s="372"/>
      <c r="R13" s="646"/>
      <c r="S13" s="371"/>
      <c r="T13" s="371"/>
      <c r="U13" s="371"/>
      <c r="V13" s="371"/>
      <c r="IW13" s="653">
        <v>14</v>
      </c>
    </row>
    <row s="6055" customFormat="1" customHeight="1" ht="1.05">
      <c r="A14" s="1301"/>
      <c r="B14" s="1306"/>
      <c r="C14" s="1301"/>
      <c r="D14" s="597"/>
      <c r="E14" s="1301"/>
      <c r="F14" s="1301"/>
      <c r="G14" s="1301"/>
      <c r="H14" s="1301"/>
      <c r="I14" s="1301"/>
      <c r="J14" s="1301"/>
      <c r="K14" s="1301"/>
      <c r="L14" s="1301"/>
      <c r="M14" s="646"/>
      <c r="N14" s="646"/>
      <c r="O14" s="646"/>
      <c r="P14" s="646"/>
      <c r="Q14" s="372"/>
      <c r="R14" s="646"/>
      <c r="S14" s="371"/>
      <c r="T14" s="371"/>
      <c r="U14" s="371"/>
      <c r="V14" s="371"/>
      <c r="IW14" s="653">
        <v>1</v>
      </c>
    </row>
    <row customHeight="1" ht="22.5" hidden="1">
      <c r="A15" s="1301" t="s">
        <v>83</v>
      </c>
      <c r="B15" s="1306">
        <v>0</v>
      </c>
      <c r="C15" s="1301">
        <v>0</v>
      </c>
      <c r="D15" s="597">
        <v>3</v>
      </c>
      <c r="E15" s="1301">
        <v>6</v>
      </c>
      <c r="F15" s="1301">
        <v>27</v>
      </c>
      <c r="G15" s="1301">
        <v>16</v>
      </c>
      <c r="H15" s="1301">
        <v>12</v>
      </c>
      <c r="I15" s="1301">
        <v>32</v>
      </c>
      <c r="J15" s="1301">
        <v>41</v>
      </c>
      <c r="K15" s="1301">
        <v>41</v>
      </c>
      <c r="L15" s="1301">
        <v>89</v>
      </c>
      <c r="M15" s="646">
        <v>3</v>
      </c>
      <c r="N15" s="646">
        <v>8</v>
      </c>
      <c r="O15" s="646">
        <v>8</v>
      </c>
      <c r="P15" s="646">
        <v>8</v>
      </c>
      <c r="Q15" s="372">
        <v>25</v>
      </c>
      <c r="R15" s="646">
        <v>14</v>
      </c>
      <c r="S15" s="371">
        <v>8</v>
      </c>
      <c r="T15" s="371">
        <v>8</v>
      </c>
      <c r="U15" s="371">
        <v>8</v>
      </c>
      <c r="V15" s="371">
        <v>8</v>
      </c>
      <c r="W15" s="1301">
        <v>8</v>
      </c>
      <c r="X15" s="1301">
        <v>8</v>
      </c>
      <c r="Y15" s="1301">
        <v>8</v>
      </c>
      <c r="Z15" s="1301">
        <v>8</v>
      </c>
      <c r="AA15" s="1301">
        <v>8</v>
      </c>
      <c r="AB15" s="1301">
        <v>8</v>
      </c>
      <c r="AC15" s="1301">
        <v>8</v>
      </c>
      <c r="AD15" s="1301">
        <v>8</v>
      </c>
      <c r="AE15" s="1301">
        <v>8</v>
      </c>
      <c r="AF15" s="1301">
        <v>8</v>
      </c>
      <c r="AG15" s="1301">
        <v>8</v>
      </c>
      <c r="AH15" s="1301">
        <v>8</v>
      </c>
      <c r="AI15" s="1301">
        <v>8</v>
      </c>
      <c r="AJ15" s="1301">
        <v>8</v>
      </c>
      <c r="AK15" s="1301">
        <v>8</v>
      </c>
      <c r="AL15" s="1301">
        <v>8</v>
      </c>
      <c r="AM15" s="1301">
        <v>8</v>
      </c>
      <c r="AN15" s="1301">
        <v>8</v>
      </c>
      <c r="AO15" s="1301">
        <v>8</v>
      </c>
      <c r="AP15" s="1301">
        <v>8</v>
      </c>
      <c r="AQ15" s="1301">
        <v>8</v>
      </c>
      <c r="AR15" s="1301">
        <v>8</v>
      </c>
      <c r="AS15" s="1301">
        <v>8</v>
      </c>
      <c r="AT15" s="1301">
        <v>8</v>
      </c>
      <c r="AU15" s="1301">
        <v>8</v>
      </c>
      <c r="AV15" s="1301">
        <v>8</v>
      </c>
      <c r="AW15" s="1301">
        <v>8</v>
      </c>
      <c r="AX15" s="1301">
        <v>8</v>
      </c>
      <c r="AY15" s="1301">
        <v>8</v>
      </c>
      <c r="AZ15" s="1301">
        <v>8</v>
      </c>
      <c r="BA15" s="1301">
        <v>8</v>
      </c>
      <c r="BB15" s="1301">
        <v>8</v>
      </c>
      <c r="BC15" s="1301">
        <v>8</v>
      </c>
      <c r="BD15" s="1301">
        <v>8</v>
      </c>
      <c r="BE15" s="1301">
        <v>8</v>
      </c>
      <c r="BF15" s="1301">
        <v>8</v>
      </c>
      <c r="BG15" s="1301">
        <v>8</v>
      </c>
      <c r="BH15" s="1301">
        <v>8</v>
      </c>
      <c r="BI15" s="1301">
        <v>8</v>
      </c>
      <c r="BJ15" s="1301">
        <v>8</v>
      </c>
      <c r="BK15" s="1301">
        <v>8</v>
      </c>
      <c r="BL15" s="1301">
        <v>8</v>
      </c>
      <c r="BM15" s="1301">
        <v>8</v>
      </c>
      <c r="BN15" s="1301">
        <v>8</v>
      </c>
      <c r="BO15" s="1301">
        <v>8</v>
      </c>
      <c r="BP15" s="1301">
        <v>8</v>
      </c>
      <c r="BQ15" s="1301">
        <v>8</v>
      </c>
      <c r="BR15" s="1301">
        <v>8</v>
      </c>
      <c r="BS15" s="1301">
        <v>8</v>
      </c>
      <c r="BT15" s="1301">
        <v>8</v>
      </c>
      <c r="BU15" s="1301">
        <v>8</v>
      </c>
      <c r="BV15" s="1301">
        <v>8</v>
      </c>
      <c r="BW15" s="1301">
        <v>8</v>
      </c>
      <c r="BX15" s="1301">
        <v>8</v>
      </c>
      <c r="BY15" s="1301">
        <v>8</v>
      </c>
      <c r="BZ15" s="1301">
        <v>8</v>
      </c>
      <c r="CA15" s="1301">
        <v>8</v>
      </c>
      <c r="CB15" s="1301">
        <v>8</v>
      </c>
      <c r="CC15" s="1301">
        <v>8</v>
      </c>
      <c r="CD15" s="1301">
        <v>8</v>
      </c>
      <c r="CE15" s="1301">
        <v>8</v>
      </c>
      <c r="CF15" s="1301">
        <v>8</v>
      </c>
      <c r="CG15" s="1301">
        <v>8</v>
      </c>
      <c r="CH15" s="1301">
        <v>8</v>
      </c>
      <c r="CI15" s="1301">
        <v>8</v>
      </c>
      <c r="CJ15" s="1301">
        <v>8</v>
      </c>
      <c r="CK15" s="1301">
        <v>8</v>
      </c>
      <c r="CL15" s="1301">
        <v>8</v>
      </c>
      <c r="CM15" s="1301">
        <v>8</v>
      </c>
      <c r="CN15" s="1301">
        <v>8</v>
      </c>
      <c r="CO15" s="1301">
        <v>8</v>
      </c>
      <c r="CP15" s="1301">
        <v>8</v>
      </c>
      <c r="CQ15" s="1301">
        <v>8</v>
      </c>
      <c r="CR15" s="1301">
        <v>8</v>
      </c>
      <c r="CS15" s="1301">
        <v>8</v>
      </c>
      <c r="CT15" s="1301">
        <v>8</v>
      </c>
      <c r="CU15" s="1301">
        <v>8</v>
      </c>
      <c r="CV15" s="1301">
        <v>8</v>
      </c>
      <c r="CW15" s="1301">
        <v>8</v>
      </c>
      <c r="CX15" s="1301">
        <v>8</v>
      </c>
      <c r="CY15" s="1301">
        <v>8</v>
      </c>
      <c r="CZ15" s="1301">
        <v>8</v>
      </c>
      <c r="DA15" s="1301">
        <v>8</v>
      </c>
      <c r="DB15" s="1301">
        <v>8</v>
      </c>
      <c r="DC15" s="1301">
        <v>8</v>
      </c>
      <c r="DD15" s="1301">
        <v>8</v>
      </c>
      <c r="DE15" s="1301">
        <v>8</v>
      </c>
      <c r="DF15" s="1301">
        <v>8</v>
      </c>
      <c r="DG15" s="1301">
        <v>8</v>
      </c>
      <c r="DH15" s="1301">
        <v>8</v>
      </c>
      <c r="DI15" s="1301">
        <v>8</v>
      </c>
      <c r="DJ15" s="1301">
        <v>8</v>
      </c>
      <c r="DK15" s="1301">
        <v>8</v>
      </c>
      <c r="DL15" s="1301">
        <v>8</v>
      </c>
      <c r="DM15" s="1301">
        <v>8</v>
      </c>
      <c r="DN15" s="1301">
        <v>8</v>
      </c>
      <c r="DO15" s="1301">
        <v>8</v>
      </c>
      <c r="DP15" s="1301">
        <v>8</v>
      </c>
      <c r="DQ15" s="1301">
        <v>8</v>
      </c>
      <c r="DR15" s="1301">
        <v>8</v>
      </c>
      <c r="DS15" s="1301">
        <v>8</v>
      </c>
      <c r="DT15" s="1301">
        <v>8</v>
      </c>
      <c r="DU15" s="1301">
        <v>8</v>
      </c>
      <c r="DV15" s="1301">
        <v>8</v>
      </c>
      <c r="DW15" s="1301">
        <v>8</v>
      </c>
      <c r="DX15" s="1301">
        <v>8</v>
      </c>
      <c r="DY15" s="1301">
        <v>8</v>
      </c>
      <c r="DZ15" s="1301">
        <v>8</v>
      </c>
      <c r="EA15" s="1301">
        <v>8</v>
      </c>
      <c r="EB15" s="1301">
        <v>8</v>
      </c>
      <c r="EC15" s="1301">
        <v>8</v>
      </c>
      <c r="ED15" s="1301">
        <v>8</v>
      </c>
      <c r="EE15" s="1301">
        <v>8</v>
      </c>
      <c r="EF15" s="1301">
        <v>8</v>
      </c>
      <c r="EG15" s="1301">
        <v>8</v>
      </c>
      <c r="EH15" s="1301">
        <v>8</v>
      </c>
      <c r="EI15" s="1301">
        <v>8</v>
      </c>
      <c r="EJ15" s="1301">
        <v>8</v>
      </c>
      <c r="EK15" s="1301">
        <v>8</v>
      </c>
      <c r="EL15" s="1301">
        <v>8</v>
      </c>
      <c r="EM15" s="1301">
        <v>8</v>
      </c>
      <c r="EN15" s="1301">
        <v>8</v>
      </c>
      <c r="EO15" s="1301">
        <v>8</v>
      </c>
      <c r="EP15" s="1301">
        <v>8</v>
      </c>
      <c r="EQ15" s="1301">
        <v>8</v>
      </c>
      <c r="ER15" s="1301">
        <v>8</v>
      </c>
      <c r="ES15" s="1301">
        <v>8</v>
      </c>
      <c r="ET15" s="1301">
        <v>8</v>
      </c>
      <c r="EU15" s="1301">
        <v>8</v>
      </c>
      <c r="EV15" s="1301">
        <v>8</v>
      </c>
      <c r="EW15" s="1301">
        <v>8</v>
      </c>
      <c r="EX15" s="1301">
        <v>8</v>
      </c>
      <c r="EY15" s="1301">
        <v>8</v>
      </c>
      <c r="EZ15" s="1301">
        <v>8</v>
      </c>
      <c r="FA15" s="1301">
        <v>8</v>
      </c>
      <c r="FB15" s="1301">
        <v>8</v>
      </c>
      <c r="FC15" s="1301">
        <v>8</v>
      </c>
      <c r="FD15" s="1301">
        <v>8</v>
      </c>
      <c r="FE15" s="1301">
        <v>8</v>
      </c>
      <c r="FF15" s="1301">
        <v>8</v>
      </c>
      <c r="FG15" s="1301">
        <v>8</v>
      </c>
      <c r="FH15" s="1301">
        <v>8</v>
      </c>
      <c r="FI15" s="1301">
        <v>8</v>
      </c>
      <c r="FJ15" s="1301">
        <v>8</v>
      </c>
      <c r="FK15" s="1301">
        <v>8</v>
      </c>
      <c r="FL15" s="1301">
        <v>8</v>
      </c>
      <c r="FM15" s="1301">
        <v>8</v>
      </c>
      <c r="FN15" s="1301">
        <v>8</v>
      </c>
      <c r="FO15" s="1301">
        <v>8</v>
      </c>
      <c r="FP15" s="1301">
        <v>8</v>
      </c>
      <c r="FQ15" s="1301">
        <v>8</v>
      </c>
      <c r="FR15" s="1301">
        <v>8</v>
      </c>
      <c r="FS15" s="1301">
        <v>8</v>
      </c>
      <c r="FT15" s="1301">
        <v>8</v>
      </c>
      <c r="FU15" s="1301">
        <v>8</v>
      </c>
      <c r="FV15" s="1301">
        <v>8</v>
      </c>
      <c r="FW15" s="1301">
        <v>8</v>
      </c>
      <c r="FX15" s="1301">
        <v>8</v>
      </c>
      <c r="FY15" s="1301">
        <v>8</v>
      </c>
      <c r="FZ15" s="1301">
        <v>8</v>
      </c>
      <c r="GA15" s="1301">
        <v>8</v>
      </c>
      <c r="GB15" s="1301">
        <v>8</v>
      </c>
      <c r="GC15" s="1301">
        <v>8</v>
      </c>
      <c r="GD15" s="1301">
        <v>8</v>
      </c>
      <c r="GE15" s="1301">
        <v>8</v>
      </c>
      <c r="GF15" s="1301">
        <v>8</v>
      </c>
      <c r="GG15" s="1301">
        <v>8</v>
      </c>
      <c r="GH15" s="1301">
        <v>8</v>
      </c>
      <c r="GI15" s="1301">
        <v>8</v>
      </c>
      <c r="GJ15" s="1301">
        <v>8</v>
      </c>
      <c r="GK15" s="1301">
        <v>8</v>
      </c>
      <c r="GL15" s="1301">
        <v>8</v>
      </c>
      <c r="GM15" s="1301">
        <v>8</v>
      </c>
      <c r="GN15" s="1301">
        <v>8</v>
      </c>
      <c r="GO15" s="1301">
        <v>8</v>
      </c>
      <c r="GP15" s="1301">
        <v>8</v>
      </c>
      <c r="GQ15" s="1301">
        <v>8</v>
      </c>
      <c r="GR15" s="1301">
        <v>8</v>
      </c>
      <c r="GS15" s="1301">
        <v>8</v>
      </c>
      <c r="GT15" s="1301">
        <v>8</v>
      </c>
      <c r="GU15" s="1301">
        <v>8</v>
      </c>
      <c r="GV15" s="1301">
        <v>8</v>
      </c>
      <c r="GW15" s="1301">
        <v>8</v>
      </c>
      <c r="GX15" s="1301">
        <v>8</v>
      </c>
      <c r="GY15" s="1301">
        <v>8</v>
      </c>
      <c r="GZ15" s="1301">
        <v>8</v>
      </c>
      <c r="HA15" s="1301">
        <v>8</v>
      </c>
      <c r="HB15" s="1301">
        <v>8</v>
      </c>
      <c r="HC15" s="1301">
        <v>8</v>
      </c>
      <c r="HD15" s="1301">
        <v>8</v>
      </c>
      <c r="HE15" s="1301">
        <v>8</v>
      </c>
      <c r="HF15" s="1301">
        <v>8</v>
      </c>
      <c r="HG15" s="1301">
        <v>8</v>
      </c>
      <c r="HH15" s="1301">
        <v>8</v>
      </c>
      <c r="HI15" s="1301">
        <v>8</v>
      </c>
      <c r="HJ15" s="1301">
        <v>8</v>
      </c>
      <c r="HK15" s="1301">
        <v>8</v>
      </c>
      <c r="HL15" s="1301">
        <v>8</v>
      </c>
      <c r="HM15" s="1301">
        <v>8</v>
      </c>
      <c r="HN15" s="1301">
        <v>8</v>
      </c>
      <c r="HO15" s="1301">
        <v>8</v>
      </c>
      <c r="HP15" s="1301">
        <v>8</v>
      </c>
      <c r="HQ15" s="1301">
        <v>8</v>
      </c>
      <c r="HR15" s="1301">
        <v>8</v>
      </c>
      <c r="HS15" s="1301">
        <v>8</v>
      </c>
      <c r="HT15" s="1301">
        <v>8</v>
      </c>
      <c r="HU15" s="1301">
        <v>8</v>
      </c>
      <c r="HV15" s="1301">
        <v>8</v>
      </c>
      <c r="HW15" s="1301">
        <v>8</v>
      </c>
      <c r="HX15" s="1301">
        <v>8</v>
      </c>
      <c r="HY15" s="1301">
        <v>8</v>
      </c>
      <c r="HZ15" s="1301">
        <v>8</v>
      </c>
      <c r="IA15" s="1301">
        <v>8</v>
      </c>
      <c r="IB15" s="1301">
        <v>8</v>
      </c>
      <c r="IC15" s="1301">
        <v>8</v>
      </c>
      <c r="ID15" s="1301">
        <v>8</v>
      </c>
      <c r="IE15" s="1301">
        <v>8</v>
      </c>
      <c r="IF15" s="1301">
        <v>8</v>
      </c>
      <c r="IG15" s="1301">
        <v>8</v>
      </c>
      <c r="IH15" s="1301">
        <v>8</v>
      </c>
      <c r="II15" s="1301">
        <v>8</v>
      </c>
      <c r="IJ15" s="1301">
        <v>8</v>
      </c>
      <c r="IK15" s="1301">
        <v>8</v>
      </c>
      <c r="IL15" s="1301">
        <v>8</v>
      </c>
      <c r="IM15" s="1301">
        <v>8</v>
      </c>
      <c r="IN15" s="1301">
        <v>8</v>
      </c>
      <c r="IO15" s="1301">
        <v>8</v>
      </c>
      <c r="IP15" s="1301">
        <v>8</v>
      </c>
      <c r="IQ15" s="1301">
        <v>8</v>
      </c>
      <c r="IR15" s="1301">
        <v>8</v>
      </c>
      <c r="IS15" s="1301">
        <v>8</v>
      </c>
      <c r="IT15" s="1301">
        <v>8</v>
      </c>
      <c r="IU15" s="1301">
        <v>8</v>
      </c>
      <c r="IV15" s="1301">
        <v>8</v>
      </c>
      <c r="IW15" s="1301">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53390D-E946-1D38-7642-0.DD36E342}" mc:Ignorable="x14ac xr xr2 xr3">
  <dimension ref="A1:IW15"/>
  <sheetViews>
    <sheetView topLeftCell="A1" showGridLines="0" zoomScale="90" workbookViewId="0">
      <selection activeCell="A1" sqref="A1"/>
    </sheetView>
  </sheetViews>
  <sheetFormatPr defaultColWidth="9.140625" customHeight="1" defaultRowHeight="14.25"/>
  <cols>
    <col min="1" max="1" style="7235" width="9.140625" hidden="1"/>
    <col min="2" max="2" style="7180" width="9.140625" hidden="1"/>
    <col min="3" max="3" style="7235" width="3.7109375" hidden="1" customWidth="1"/>
    <col min="4" max="4" style="7758" width="3.00390625" customWidth="1"/>
    <col min="5" max="5" style="7235" width="6.00390625" customWidth="1"/>
    <col min="6" max="6" style="7235" width="27.00390625" customWidth="1"/>
    <col min="7" max="7" style="7235" width="16.00390625" customWidth="1"/>
    <col min="8" max="8" style="7235" width="12.00390625" customWidth="1"/>
    <col min="9" max="9" style="7235" width="32.00390625" customWidth="1"/>
    <col min="10" max="11" style="7235" width="41.00390625" customWidth="1"/>
    <col min="12" max="12" style="7235" width="89.00390625" customWidth="1"/>
    <col min="13" max="13" style="7183" width="3.00390625" customWidth="1"/>
    <col min="14" max="16" style="7183" width="8.00390625" customWidth="1"/>
    <col min="17" max="17" style="7183" width="25.00390625" customWidth="1"/>
    <col min="18" max="18" style="7183" width="14.00390625" customWidth="1"/>
    <col min="19" max="22" style="5605" width="8.00390625" customWidth="1"/>
    <col min="23" max="256" style="7235" width="8.00390625" customWidth="1"/>
    <col min="257" max="257" style="7235" width="9.140625" hidden="1"/>
  </cols>
  <sheetData>
    <row customHeight="1" ht="22.5" hidden="1">
      <c r="IW1" s="1777" t="s">
        <v>14</v>
      </c>
    </row>
    <row s="7976" customFormat="1" customHeight="1" ht="22.5" hidden="1">
      <c r="A2" s="977"/>
      <c r="B2" s="1512">
        <v>1</v>
      </c>
      <c r="C2" s="1512"/>
      <c r="D2" s="2071" t="s">
        <v>106</v>
      </c>
      <c r="E2" s="2047"/>
      <c r="F2" s="2049" t="str">
        <f>IF(ROIV_INFO_NAME="","",ROIV_INFO_NAME)</f>
        <v>ПАО "ТГК-14"</v>
      </c>
      <c r="G2" s="1877" t="s">
        <v>22</v>
      </c>
      <c r="H2" s="2059"/>
      <c r="I2" s="1684"/>
      <c r="J2" s="964"/>
      <c r="K2" s="964"/>
      <c r="L2" s="374"/>
      <c r="M2" s="1681">
        <f>MERGEVALUE(F2)</f>
      </c>
      <c r="N2" s="1782"/>
      <c r="O2" s="1782"/>
      <c r="P2" s="1770" t="str">
        <f t="array" ref="P2:P2">IF(ISERROR(MATCH(MID(Q2,1,250),MID(note_ter,1,250),0)),"n","y")</f>
        <v>n</v>
      </c>
      <c r="Q2" s="1782"/>
      <c r="R2" s="1770" t="str">
        <f>G2&amp;"("&amp;L2&amp;")"</f>
        <v>()</v>
      </c>
      <c r="S2" s="1512"/>
      <c r="T2" s="1512"/>
      <c r="U2" s="566"/>
      <c r="V2" s="1512"/>
      <c r="W2" s="1512"/>
      <c r="X2" s="1512"/>
      <c r="Y2" s="979"/>
      <c r="Z2" s="979"/>
      <c r="AA2" s="773"/>
      <c r="AB2" s="773"/>
      <c r="AC2" s="773"/>
      <c r="AD2" s="773"/>
      <c r="AE2" s="773"/>
      <c r="AF2" s="773"/>
      <c r="AG2" s="773"/>
      <c r="AH2" s="773"/>
      <c r="AI2" s="773"/>
      <c r="AJ2" s="773"/>
      <c r="AK2" s="773"/>
      <c r="AL2" s="773"/>
      <c r="AM2" s="773"/>
      <c r="AN2" s="773"/>
      <c r="AO2" s="773"/>
      <c r="AP2" s="773"/>
      <c r="AQ2" s="773"/>
      <c r="AR2" s="773"/>
      <c r="AS2" s="773"/>
      <c r="AT2" s="773"/>
      <c r="AU2" s="773"/>
      <c r="AV2" s="773"/>
      <c r="AW2" s="773"/>
      <c r="AX2" s="773"/>
      <c r="AY2" s="773"/>
      <c r="AZ2" s="773"/>
      <c r="BA2" s="773"/>
      <c r="BB2" s="773"/>
      <c r="BC2" s="773"/>
      <c r="BD2" s="773"/>
      <c r="BE2" s="773"/>
      <c r="BF2" s="773"/>
      <c r="BG2" s="773"/>
      <c r="BH2" s="773"/>
      <c r="BI2" s="773"/>
      <c r="BJ2" s="773"/>
      <c r="BK2" s="773"/>
      <c r="BL2" s="773"/>
      <c r="BM2" s="773"/>
      <c r="BN2" s="773"/>
      <c r="BO2" s="773"/>
      <c r="BP2" s="773"/>
      <c r="BQ2" s="773"/>
      <c r="BR2" s="773"/>
      <c r="BS2" s="773"/>
      <c r="BT2" s="773"/>
      <c r="BU2" s="773"/>
      <c r="BV2" s="979"/>
      <c r="BW2" s="979"/>
      <c r="BX2" s="979"/>
      <c r="BY2" s="979"/>
      <c r="BZ2" s="979"/>
      <c r="CA2" s="979"/>
      <c r="CB2" s="979"/>
      <c r="CC2" s="979"/>
      <c r="CD2" s="979"/>
      <c r="CE2" s="979"/>
      <c r="IW2" s="770">
        <v>0</v>
      </c>
    </row>
    <row s="6720" customFormat="1" customHeight="1" ht="5.25" hidden="1">
      <c r="A3" s="1787"/>
      <c r="D3" s="2036"/>
      <c r="F3" s="394" t="s">
        <v>84</v>
      </c>
      <c r="G3" s="1880" t="s">
        <v>85</v>
      </c>
      <c r="H3" s="2036"/>
      <c r="I3" s="2036"/>
      <c r="J3" s="2036"/>
      <c r="K3" s="2036"/>
      <c r="L3" s="373" t="s">
        <v>86</v>
      </c>
      <c r="M3" s="394" t="s">
        <v>84</v>
      </c>
      <c r="N3" s="394"/>
      <c r="O3" s="394"/>
      <c r="P3" s="394"/>
      <c r="Q3" s="394"/>
      <c r="R3" s="394"/>
      <c r="S3" s="394"/>
      <c r="T3" s="394"/>
      <c r="U3" s="394"/>
      <c r="V3" s="394"/>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c r="BF3" s="373"/>
      <c r="BG3" s="373"/>
      <c r="BH3" s="373"/>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c r="CQ3" s="373"/>
      <c r="CR3" s="373"/>
      <c r="CS3" s="373"/>
      <c r="CT3" s="373"/>
      <c r="CU3" s="373"/>
      <c r="CV3" s="373"/>
      <c r="CW3" s="373"/>
      <c r="CX3" s="373"/>
      <c r="CY3" s="373"/>
      <c r="CZ3" s="373"/>
      <c r="DA3" s="373"/>
      <c r="DB3" s="373"/>
      <c r="DC3" s="373"/>
      <c r="DD3" s="373"/>
      <c r="DE3" s="373"/>
      <c r="DF3" s="373"/>
      <c r="DG3" s="373"/>
      <c r="DH3" s="373"/>
      <c r="DI3" s="373"/>
      <c r="DJ3" s="373"/>
      <c r="DK3" s="373"/>
      <c r="DL3" s="373"/>
      <c r="DM3" s="373"/>
      <c r="DN3" s="373"/>
      <c r="DO3" s="373"/>
      <c r="DP3" s="373"/>
      <c r="DQ3" s="373"/>
      <c r="DR3" s="373"/>
      <c r="DS3" s="373"/>
      <c r="DT3" s="373"/>
      <c r="DU3" s="373"/>
      <c r="DV3" s="373"/>
      <c r="DW3" s="373"/>
      <c r="DX3" s="373"/>
      <c r="DY3" s="373"/>
      <c r="DZ3" s="373"/>
      <c r="EA3" s="373"/>
      <c r="EB3" s="373"/>
      <c r="EC3" s="373"/>
      <c r="ED3" s="373"/>
      <c r="EE3" s="373"/>
      <c r="EF3" s="373"/>
      <c r="EG3" s="373"/>
      <c r="EH3" s="373"/>
      <c r="EI3" s="373"/>
      <c r="EJ3" s="373"/>
      <c r="EK3" s="373"/>
      <c r="EL3" s="373"/>
      <c r="EM3" s="373"/>
      <c r="EN3" s="373"/>
      <c r="EO3" s="373"/>
      <c r="EP3" s="373"/>
      <c r="EQ3" s="373"/>
      <c r="ER3" s="373"/>
      <c r="ES3" s="373"/>
      <c r="ET3" s="373"/>
      <c r="EU3" s="373"/>
      <c r="EV3" s="373"/>
      <c r="EW3" s="373"/>
      <c r="EX3" s="373"/>
      <c r="EY3" s="373"/>
      <c r="EZ3" s="373"/>
      <c r="FA3" s="373"/>
      <c r="FB3" s="373"/>
      <c r="FC3" s="373"/>
      <c r="FD3" s="373"/>
      <c r="FE3" s="373"/>
      <c r="FF3" s="373"/>
      <c r="FG3" s="373"/>
      <c r="FH3" s="373"/>
      <c r="FI3" s="373"/>
      <c r="FJ3" s="373"/>
      <c r="FK3" s="373"/>
      <c r="FL3" s="373"/>
      <c r="FM3" s="373"/>
      <c r="FN3" s="373"/>
      <c r="FO3" s="373"/>
      <c r="FP3" s="373"/>
      <c r="FQ3" s="373"/>
      <c r="FR3" s="373"/>
      <c r="FS3" s="373"/>
      <c r="FT3" s="373"/>
      <c r="FU3" s="373"/>
      <c r="FV3" s="373"/>
      <c r="FW3" s="373"/>
      <c r="FX3" s="373"/>
      <c r="FY3" s="373"/>
      <c r="FZ3" s="373"/>
      <c r="GA3" s="373"/>
      <c r="GB3" s="373"/>
      <c r="GC3" s="373"/>
      <c r="GD3" s="373"/>
      <c r="GE3" s="373"/>
      <c r="GF3" s="373"/>
      <c r="GG3" s="373"/>
      <c r="GH3" s="373"/>
      <c r="GI3" s="373"/>
      <c r="GJ3" s="373"/>
      <c r="GK3" s="373"/>
      <c r="GL3" s="373"/>
      <c r="GM3" s="373"/>
      <c r="GN3" s="373"/>
      <c r="GO3" s="373"/>
      <c r="GP3" s="373"/>
      <c r="GQ3" s="373"/>
      <c r="GR3" s="373"/>
      <c r="GS3" s="373"/>
      <c r="GT3" s="373"/>
      <c r="GU3" s="373"/>
      <c r="GV3" s="373"/>
      <c r="GW3" s="373"/>
      <c r="GX3" s="373"/>
      <c r="GY3" s="373"/>
      <c r="GZ3" s="373"/>
      <c r="HA3" s="373"/>
      <c r="HB3" s="373"/>
      <c r="HC3" s="373"/>
      <c r="HD3" s="373"/>
      <c r="HE3" s="373"/>
      <c r="HF3" s="373"/>
      <c r="HG3" s="373"/>
      <c r="HH3" s="373"/>
      <c r="HI3" s="373"/>
      <c r="HJ3" s="373"/>
      <c r="HK3" s="373"/>
      <c r="HL3" s="373"/>
      <c r="HM3" s="373"/>
      <c r="HN3" s="373"/>
      <c r="HO3" s="373"/>
      <c r="HP3" s="373"/>
      <c r="HQ3" s="373"/>
      <c r="HR3" s="373"/>
      <c r="HS3" s="373"/>
      <c r="HT3" s="373"/>
      <c r="HU3" s="373"/>
      <c r="HV3" s="373"/>
      <c r="HW3" s="373"/>
      <c r="HX3" s="373"/>
      <c r="HY3" s="373"/>
      <c r="HZ3" s="373"/>
      <c r="IA3" s="373"/>
      <c r="IB3" s="373"/>
      <c r="IC3" s="373"/>
      <c r="ID3" s="373"/>
      <c r="IE3" s="373"/>
      <c r="IF3" s="373"/>
      <c r="IG3" s="373"/>
      <c r="IH3" s="373"/>
      <c r="II3" s="373"/>
      <c r="IJ3" s="373"/>
      <c r="IK3" s="373"/>
      <c r="IL3" s="373"/>
      <c r="IM3" s="373"/>
      <c r="IN3" s="373"/>
      <c r="IO3" s="373"/>
      <c r="IP3" s="373"/>
      <c r="IQ3" s="373"/>
      <c r="IR3" s="373"/>
      <c r="IS3" s="373"/>
      <c r="IT3" s="373"/>
      <c r="IU3" s="373"/>
      <c r="IV3" s="373"/>
      <c r="IW3" s="1782">
        <v>0</v>
      </c>
    </row>
    <row s="6055" customFormat="1" customHeight="1" ht="14.699999999999998">
      <c r="A4" s="1777"/>
      <c r="B4" s="1512"/>
      <c r="C4" s="1777"/>
      <c r="D4" s="1661"/>
      <c r="E4" s="1781"/>
      <c r="F4" s="1781"/>
      <c r="G4" s="1781"/>
      <c r="H4" s="1781"/>
      <c r="I4" s="1781"/>
      <c r="J4" s="1781"/>
      <c r="K4" s="1781"/>
      <c r="L4" s="2038"/>
      <c r="M4" s="394"/>
      <c r="N4" s="1770"/>
      <c r="O4" s="1770"/>
      <c r="P4" s="1770"/>
      <c r="Q4" s="1770"/>
      <c r="R4" s="1770"/>
      <c r="S4" s="371"/>
      <c r="T4" s="371"/>
      <c r="U4" s="371"/>
      <c r="V4" s="371"/>
      <c r="IW4" s="1755">
        <v>14</v>
      </c>
    </row>
    <row s="6055" customFormat="1" customHeight="1" ht="27.299999999999997">
      <c r="A5" s="1777"/>
      <c r="B5" s="1512"/>
      <c r="C5" s="1777"/>
      <c r="D5" s="1661"/>
      <c r="E5" s="225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9"/>
      <c r="G5" s="2259"/>
      <c r="H5" s="2259"/>
      <c r="I5" s="2259"/>
      <c r="J5" s="2259"/>
      <c r="K5" s="2259"/>
      <c r="L5" s="1781"/>
      <c r="M5" s="394"/>
      <c r="N5" s="1770"/>
      <c r="O5" s="1770"/>
      <c r="P5" s="1770"/>
      <c r="Q5" s="1770"/>
      <c r="R5" s="1770"/>
      <c r="S5" s="371"/>
      <c r="T5" s="371"/>
      <c r="U5" s="371"/>
      <c r="V5" s="371"/>
      <c r="IW5" s="1755">
        <v>26</v>
      </c>
    </row>
    <row s="6055" customFormat="1" customHeight="1" ht="14.699999999999998">
      <c r="A6" s="1777"/>
      <c r="B6" s="1512"/>
      <c r="C6" s="1777"/>
      <c r="D6" s="1661"/>
      <c r="E6" s="1781"/>
      <c r="F6" s="762"/>
      <c r="G6" s="762"/>
      <c r="H6" s="762"/>
      <c r="I6" s="762"/>
      <c r="J6" s="762"/>
      <c r="K6" s="762"/>
      <c r="L6" s="1398"/>
      <c r="M6" s="1770"/>
      <c r="N6" s="1770"/>
      <c r="O6" s="1770"/>
      <c r="P6" s="1770"/>
      <c r="Q6" s="1770"/>
      <c r="R6" s="1770"/>
      <c r="S6" s="371"/>
      <c r="T6" s="371"/>
      <c r="U6" s="371"/>
      <c r="V6" s="371"/>
      <c r="IW6" s="1755">
        <v>14</v>
      </c>
    </row>
    <row s="6055" customFormat="1" customHeight="1" ht="14.699999999999998">
      <c r="A7" s="1777"/>
      <c r="B7" s="1512"/>
      <c r="C7" s="1777"/>
      <c r="D7" s="1661"/>
      <c r="E7" s="2260" t="s">
        <v>322</v>
      </c>
      <c r="F7" s="2261"/>
      <c r="G7" s="2261"/>
      <c r="H7" s="2261"/>
      <c r="I7" s="2261"/>
      <c r="J7" s="2261"/>
      <c r="K7" s="2261"/>
      <c r="L7" s="2633" t="s">
        <v>323</v>
      </c>
      <c r="M7" s="1770"/>
      <c r="N7" s="1770"/>
      <c r="O7" s="1770"/>
      <c r="P7" s="1770"/>
      <c r="Q7" s="1770"/>
      <c r="R7" s="1770"/>
      <c r="S7" s="371"/>
      <c r="T7" s="371"/>
      <c r="U7" s="371"/>
      <c r="V7" s="371"/>
      <c r="IW7" s="1755">
        <v>14</v>
      </c>
    </row>
    <row s="6055" customFormat="1" customHeight="1" ht="67.2">
      <c r="A8" s="1777"/>
      <c r="B8" s="1512"/>
      <c r="C8" s="1777"/>
      <c r="D8" s="1661"/>
      <c r="E8" s="2637" t="s">
        <v>89</v>
      </c>
      <c r="F8" s="2637" t="s">
        <v>2167</v>
      </c>
      <c r="G8" s="2639" t="s">
        <v>2168</v>
      </c>
      <c r="H8" s="2640"/>
      <c r="I8" s="2641"/>
      <c r="J8" s="2637" t="s">
        <v>2169</v>
      </c>
      <c r="K8" s="26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35"/>
      <c r="M8" s="1770"/>
      <c r="N8" s="1770"/>
      <c r="O8" s="1770"/>
      <c r="P8" s="1770"/>
      <c r="Q8" s="1770"/>
      <c r="R8" s="1770"/>
      <c r="S8" s="371"/>
      <c r="T8" s="371"/>
      <c r="U8" s="371"/>
      <c r="V8" s="371"/>
      <c r="IW8" s="1755">
        <v>64</v>
      </c>
    </row>
    <row s="6055" customFormat="1" customHeight="1" ht="29.25">
      <c r="A9" s="1777"/>
      <c r="B9" s="1512"/>
      <c r="C9" s="1777"/>
      <c r="D9" s="1661"/>
      <c r="E9" s="2638"/>
      <c r="F9" s="2638"/>
      <c r="G9" s="2037" t="s">
        <v>2163</v>
      </c>
      <c r="H9" s="2037" t="s">
        <v>2164</v>
      </c>
      <c r="I9" s="2037" t="s">
        <v>2165</v>
      </c>
      <c r="J9" s="2638"/>
      <c r="K9" s="2638"/>
      <c r="L9" s="2634"/>
      <c r="M9" s="1770"/>
      <c r="N9" s="1770"/>
      <c r="O9" s="1770"/>
      <c r="P9" s="1770"/>
      <c r="Q9" s="1770"/>
      <c r="R9" s="1770"/>
      <c r="S9" s="371"/>
      <c r="T9" s="371"/>
      <c r="U9" s="371"/>
      <c r="V9" s="371"/>
      <c r="IW9" s="1755">
        <v>28</v>
      </c>
    </row>
    <row s="7976" customFormat="1" customHeight="1" ht="1.05">
      <c r="A10" s="2258"/>
      <c r="B10" s="1512">
        <v>1</v>
      </c>
      <c r="C10" s="1512"/>
      <c r="D10" s="946"/>
      <c r="E10" s="941">
        <v>0</v>
      </c>
      <c r="F10" s="2034" t="str">
        <f>IF(ROIV_INFO_NAME="","",ROIV_INFO_NAME)</f>
        <v>ПАО "ТГК-14"</v>
      </c>
      <c r="G10" s="1878" t="s">
        <v>22</v>
      </c>
      <c r="H10" s="2046"/>
      <c r="I10" s="2046"/>
      <c r="J10" s="665"/>
      <c r="K10" s="665"/>
      <c r="L10" s="25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81">
        <f>MERGEVALUE(F10)</f>
      </c>
      <c r="N10" s="1782"/>
      <c r="O10" s="1782"/>
      <c r="P10" s="1770" t="str">
        <f t="array" ref="P10:P10">IF(ISERROR(MATCH(MID(Q10,1,250),MID(note_ter,1,250),0)),"n","y")</f>
        <v>n</v>
      </c>
      <c r="Q10" s="1782"/>
      <c r="R10" s="177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12"/>
      <c r="T10" s="1512"/>
      <c r="U10" s="566"/>
      <c r="V10" s="1512"/>
      <c r="W10" s="1512"/>
      <c r="X10" s="1512"/>
      <c r="Y10" s="979"/>
      <c r="Z10" s="979"/>
      <c r="AA10" s="773"/>
      <c r="AB10" s="773"/>
      <c r="AC10" s="773"/>
      <c r="AD10" s="773"/>
      <c r="AE10" s="773"/>
      <c r="AF10" s="773"/>
      <c r="AG10" s="773"/>
      <c r="AH10" s="773"/>
      <c r="AI10" s="773"/>
      <c r="AJ10" s="773"/>
      <c r="AK10" s="773"/>
      <c r="AL10" s="773"/>
      <c r="AM10" s="773"/>
      <c r="AN10" s="773"/>
      <c r="AO10" s="773"/>
      <c r="AP10" s="773"/>
      <c r="AQ10" s="773"/>
      <c r="AR10" s="773"/>
      <c r="AS10" s="773"/>
      <c r="AT10" s="773"/>
      <c r="AU10" s="773"/>
      <c r="AV10" s="773"/>
      <c r="AW10" s="773"/>
      <c r="AX10" s="773"/>
      <c r="AY10" s="773"/>
      <c r="AZ10" s="773"/>
      <c r="BA10" s="773"/>
      <c r="BB10" s="773"/>
      <c r="BC10" s="773"/>
      <c r="BD10" s="773"/>
      <c r="BE10" s="773"/>
      <c r="BF10" s="773"/>
      <c r="BG10" s="773"/>
      <c r="BH10" s="773"/>
      <c r="BI10" s="773"/>
      <c r="BJ10" s="773"/>
      <c r="BK10" s="773"/>
      <c r="BL10" s="773"/>
      <c r="BM10" s="773"/>
      <c r="BN10" s="773"/>
      <c r="BO10" s="773"/>
      <c r="BP10" s="773"/>
      <c r="BQ10" s="773"/>
      <c r="BR10" s="773"/>
      <c r="BS10" s="773"/>
      <c r="BT10" s="773"/>
      <c r="BU10" s="773"/>
      <c r="BV10" s="979"/>
      <c r="BW10" s="979"/>
      <c r="BX10" s="979"/>
      <c r="BY10" s="979"/>
      <c r="BZ10" s="979"/>
      <c r="CA10" s="979"/>
      <c r="CB10" s="979"/>
      <c r="CC10" s="979"/>
      <c r="CD10" s="979"/>
      <c r="CE10" s="979"/>
      <c r="IW10" s="770">
        <v>1</v>
      </c>
    </row>
    <row s="7976" customFormat="1" customHeight="1" ht="15.75">
      <c r="A11" s="2258"/>
      <c r="B11" s="1512"/>
      <c r="C11" s="558"/>
      <c r="D11" s="947"/>
      <c r="E11" s="567"/>
      <c r="F11" s="797" t="s">
        <v>2166</v>
      </c>
      <c r="G11" s="333"/>
      <c r="H11" s="333"/>
      <c r="I11" s="333"/>
      <c r="J11" s="333"/>
      <c r="K11" s="570"/>
      <c r="L11" s="2636"/>
      <c r="M11" s="1682"/>
      <c r="N11" s="1782"/>
      <c r="O11" s="1782"/>
      <c r="P11" s="1782"/>
      <c r="Q11" s="1770"/>
      <c r="R11" s="1782"/>
      <c r="S11" s="1512"/>
      <c r="T11" s="1512"/>
      <c r="U11" s="566"/>
      <c r="V11" s="1512"/>
      <c r="W11" s="1512"/>
      <c r="X11" s="1512"/>
      <c r="Y11" s="979"/>
      <c r="Z11" s="979"/>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73"/>
      <c r="BF11" s="773"/>
      <c r="BG11" s="773"/>
      <c r="BH11" s="773"/>
      <c r="BI11" s="773"/>
      <c r="BJ11" s="773"/>
      <c r="BK11" s="773"/>
      <c r="BL11" s="773"/>
      <c r="BM11" s="773"/>
      <c r="BN11" s="773"/>
      <c r="BO11" s="773"/>
      <c r="BP11" s="773"/>
      <c r="BQ11" s="773"/>
      <c r="BR11" s="773"/>
      <c r="BS11" s="773"/>
      <c r="BT11" s="773"/>
      <c r="BU11" s="773"/>
      <c r="BV11" s="979"/>
      <c r="BW11" s="979"/>
      <c r="BX11" s="979"/>
      <c r="BY11" s="979"/>
      <c r="BZ11" s="979"/>
      <c r="CA11" s="979"/>
      <c r="CB11" s="979"/>
      <c r="CC11" s="979"/>
      <c r="CD11" s="979"/>
      <c r="CE11" s="979"/>
      <c r="IW11" s="770">
        <v>15</v>
      </c>
    </row>
    <row s="6055" customFormat="1" customHeight="1" ht="22.049999999999997">
      <c r="A12" s="1777"/>
      <c r="B12" s="1512"/>
      <c r="C12" s="1777"/>
      <c r="D12" s="1779"/>
      <c r="E12" s="326"/>
      <c r="F12" s="326"/>
      <c r="G12" s="326"/>
      <c r="H12" s="326"/>
      <c r="I12" s="326"/>
      <c r="J12" s="326"/>
      <c r="K12" s="326"/>
      <c r="L12" s="326"/>
      <c r="M12" s="1770"/>
      <c r="N12" s="1770"/>
      <c r="O12" s="1770"/>
      <c r="P12" s="1770"/>
      <c r="Q12" s="1770"/>
      <c r="R12" s="1770"/>
      <c r="S12" s="371"/>
      <c r="T12" s="371"/>
      <c r="U12" s="371"/>
      <c r="V12" s="371"/>
      <c r="IW12" s="1755">
        <v>21</v>
      </c>
    </row>
    <row s="6055" customFormat="1" customHeight="1" ht="14.699999999999998">
      <c r="A13" s="1777"/>
      <c r="B13" s="1512"/>
      <c r="C13" s="1777"/>
      <c r="D13" s="1779"/>
      <c r="E13" s="1777"/>
      <c r="F13" s="1777"/>
      <c r="G13" s="1777"/>
      <c r="H13" s="1777"/>
      <c r="I13" s="1777"/>
      <c r="J13" s="1777"/>
      <c r="K13" s="1777"/>
      <c r="L13" s="1777"/>
      <c r="M13" s="1770"/>
      <c r="N13" s="1770"/>
      <c r="O13" s="1770"/>
      <c r="P13" s="1770"/>
      <c r="Q13" s="1770"/>
      <c r="R13" s="1770"/>
      <c r="S13" s="371"/>
      <c r="T13" s="371"/>
      <c r="U13" s="371"/>
      <c r="V13" s="371"/>
      <c r="IW13" s="1755">
        <v>14</v>
      </c>
    </row>
    <row s="6055" customFormat="1" customHeight="1" ht="1.05">
      <c r="A14" s="1777"/>
      <c r="B14" s="1512"/>
      <c r="C14" s="1777"/>
      <c r="D14" s="1779"/>
      <c r="E14" s="1777"/>
      <c r="F14" s="1777"/>
      <c r="G14" s="1777"/>
      <c r="H14" s="1777"/>
      <c r="I14" s="1777"/>
      <c r="J14" s="1777"/>
      <c r="K14" s="1777"/>
      <c r="L14" s="1777"/>
      <c r="M14" s="1770"/>
      <c r="N14" s="1770"/>
      <c r="O14" s="1770"/>
      <c r="P14" s="1770"/>
      <c r="Q14" s="1770"/>
      <c r="R14" s="1770"/>
      <c r="S14" s="371"/>
      <c r="T14" s="371"/>
      <c r="U14" s="371"/>
      <c r="V14" s="371"/>
      <c r="IW14" s="1755">
        <v>1</v>
      </c>
    </row>
    <row customHeight="1" ht="22.5" hidden="1">
      <c r="A15" s="1777" t="s">
        <v>83</v>
      </c>
      <c r="B15" s="1512">
        <v>0</v>
      </c>
      <c r="C15" s="1777">
        <v>0</v>
      </c>
      <c r="D15" s="1779">
        <v>3</v>
      </c>
      <c r="E15" s="1777">
        <v>6</v>
      </c>
      <c r="F15" s="1777">
        <v>27</v>
      </c>
      <c r="G15" s="1777">
        <v>16</v>
      </c>
      <c r="H15" s="1777">
        <v>12</v>
      </c>
      <c r="I15" s="1777">
        <v>32</v>
      </c>
      <c r="J15" s="1777">
        <v>41</v>
      </c>
      <c r="K15" s="1777">
        <v>41</v>
      </c>
      <c r="L15" s="1777">
        <v>89</v>
      </c>
      <c r="M15" s="1770">
        <v>3</v>
      </c>
      <c r="N15" s="1770">
        <v>8</v>
      </c>
      <c r="O15" s="1770">
        <v>8</v>
      </c>
      <c r="P15" s="1770">
        <v>8</v>
      </c>
      <c r="Q15" s="1770">
        <v>25</v>
      </c>
      <c r="R15" s="1770">
        <v>14</v>
      </c>
      <c r="S15" s="371">
        <v>8</v>
      </c>
      <c r="T15" s="371">
        <v>8</v>
      </c>
      <c r="U15" s="371">
        <v>8</v>
      </c>
      <c r="V15" s="371">
        <v>8</v>
      </c>
      <c r="W15" s="1777">
        <v>8</v>
      </c>
      <c r="X15" s="1777">
        <v>8</v>
      </c>
      <c r="Y15" s="1777">
        <v>8</v>
      </c>
      <c r="Z15" s="1777">
        <v>8</v>
      </c>
      <c r="AA15" s="1777">
        <v>8</v>
      </c>
      <c r="AB15" s="1777">
        <v>8</v>
      </c>
      <c r="AC15" s="1777">
        <v>8</v>
      </c>
      <c r="AD15" s="1777">
        <v>8</v>
      </c>
      <c r="AE15" s="1777">
        <v>8</v>
      </c>
      <c r="AF15" s="1777">
        <v>8</v>
      </c>
      <c r="AG15" s="1777">
        <v>8</v>
      </c>
      <c r="AH15" s="1777">
        <v>8</v>
      </c>
      <c r="AI15" s="1777">
        <v>8</v>
      </c>
      <c r="AJ15" s="1777">
        <v>8</v>
      </c>
      <c r="AK15" s="1777">
        <v>8</v>
      </c>
      <c r="AL15" s="1777">
        <v>8</v>
      </c>
      <c r="AM15" s="1777">
        <v>8</v>
      </c>
      <c r="AN15" s="1777">
        <v>8</v>
      </c>
      <c r="AO15" s="1777">
        <v>8</v>
      </c>
      <c r="AP15" s="1777">
        <v>8</v>
      </c>
      <c r="AQ15" s="1777">
        <v>8</v>
      </c>
      <c r="AR15" s="1777">
        <v>8</v>
      </c>
      <c r="AS15" s="1777">
        <v>8</v>
      </c>
      <c r="AT15" s="1777">
        <v>8</v>
      </c>
      <c r="AU15" s="1777">
        <v>8</v>
      </c>
      <c r="AV15" s="1777">
        <v>8</v>
      </c>
      <c r="AW15" s="1777">
        <v>8</v>
      </c>
      <c r="AX15" s="1777">
        <v>8</v>
      </c>
      <c r="AY15" s="1777">
        <v>8</v>
      </c>
      <c r="AZ15" s="1777">
        <v>8</v>
      </c>
      <c r="BA15" s="1777">
        <v>8</v>
      </c>
      <c r="BB15" s="1777">
        <v>8</v>
      </c>
      <c r="BC15" s="1777">
        <v>8</v>
      </c>
      <c r="BD15" s="1777">
        <v>8</v>
      </c>
      <c r="BE15" s="1777">
        <v>8</v>
      </c>
      <c r="BF15" s="1777">
        <v>8</v>
      </c>
      <c r="BG15" s="1777">
        <v>8</v>
      </c>
      <c r="BH15" s="1777">
        <v>8</v>
      </c>
      <c r="BI15" s="1777">
        <v>8</v>
      </c>
      <c r="BJ15" s="1777">
        <v>8</v>
      </c>
      <c r="BK15" s="1777">
        <v>8</v>
      </c>
      <c r="BL15" s="1777">
        <v>8</v>
      </c>
      <c r="BM15" s="1777">
        <v>8</v>
      </c>
      <c r="BN15" s="1777">
        <v>8</v>
      </c>
      <c r="BO15" s="1777">
        <v>8</v>
      </c>
      <c r="BP15" s="1777">
        <v>8</v>
      </c>
      <c r="BQ15" s="1777">
        <v>8</v>
      </c>
      <c r="BR15" s="1777">
        <v>8</v>
      </c>
      <c r="BS15" s="1777">
        <v>8</v>
      </c>
      <c r="BT15" s="1777">
        <v>8</v>
      </c>
      <c r="BU15" s="1777">
        <v>8</v>
      </c>
      <c r="BV15" s="1777">
        <v>8</v>
      </c>
      <c r="BW15" s="1777">
        <v>8</v>
      </c>
      <c r="BX15" s="1777">
        <v>8</v>
      </c>
      <c r="BY15" s="1777">
        <v>8</v>
      </c>
      <c r="BZ15" s="1777">
        <v>8</v>
      </c>
      <c r="CA15" s="1777">
        <v>8</v>
      </c>
      <c r="CB15" s="1777">
        <v>8</v>
      </c>
      <c r="CC15" s="1777">
        <v>8</v>
      </c>
      <c r="CD15" s="1777">
        <v>8</v>
      </c>
      <c r="CE15" s="1777">
        <v>8</v>
      </c>
      <c r="CF15" s="1777">
        <v>8</v>
      </c>
      <c r="CG15" s="1777">
        <v>8</v>
      </c>
      <c r="CH15" s="1777">
        <v>8</v>
      </c>
      <c r="CI15" s="1777">
        <v>8</v>
      </c>
      <c r="CJ15" s="1777">
        <v>8</v>
      </c>
      <c r="CK15" s="1777">
        <v>8</v>
      </c>
      <c r="CL15" s="1777">
        <v>8</v>
      </c>
      <c r="CM15" s="1777">
        <v>8</v>
      </c>
      <c r="CN15" s="1777">
        <v>8</v>
      </c>
      <c r="CO15" s="1777">
        <v>8</v>
      </c>
      <c r="CP15" s="1777">
        <v>8</v>
      </c>
      <c r="CQ15" s="1777">
        <v>8</v>
      </c>
      <c r="CR15" s="1777">
        <v>8</v>
      </c>
      <c r="CS15" s="1777">
        <v>8</v>
      </c>
      <c r="CT15" s="1777">
        <v>8</v>
      </c>
      <c r="CU15" s="1777">
        <v>8</v>
      </c>
      <c r="CV15" s="1777">
        <v>8</v>
      </c>
      <c r="CW15" s="1777">
        <v>8</v>
      </c>
      <c r="CX15" s="1777">
        <v>8</v>
      </c>
      <c r="CY15" s="1777">
        <v>8</v>
      </c>
      <c r="CZ15" s="1777">
        <v>8</v>
      </c>
      <c r="DA15" s="1777">
        <v>8</v>
      </c>
      <c r="DB15" s="1777">
        <v>8</v>
      </c>
      <c r="DC15" s="1777">
        <v>8</v>
      </c>
      <c r="DD15" s="1777">
        <v>8</v>
      </c>
      <c r="DE15" s="1777">
        <v>8</v>
      </c>
      <c r="DF15" s="1777">
        <v>8</v>
      </c>
      <c r="DG15" s="1777">
        <v>8</v>
      </c>
      <c r="DH15" s="1777">
        <v>8</v>
      </c>
      <c r="DI15" s="1777">
        <v>8</v>
      </c>
      <c r="DJ15" s="1777">
        <v>8</v>
      </c>
      <c r="DK15" s="1777">
        <v>8</v>
      </c>
      <c r="DL15" s="1777">
        <v>8</v>
      </c>
      <c r="DM15" s="1777">
        <v>8</v>
      </c>
      <c r="DN15" s="1777">
        <v>8</v>
      </c>
      <c r="DO15" s="1777">
        <v>8</v>
      </c>
      <c r="DP15" s="1777">
        <v>8</v>
      </c>
      <c r="DQ15" s="1777">
        <v>8</v>
      </c>
      <c r="DR15" s="1777">
        <v>8</v>
      </c>
      <c r="DS15" s="1777">
        <v>8</v>
      </c>
      <c r="DT15" s="1777">
        <v>8</v>
      </c>
      <c r="DU15" s="1777">
        <v>8</v>
      </c>
      <c r="DV15" s="1777">
        <v>8</v>
      </c>
      <c r="DW15" s="1777">
        <v>8</v>
      </c>
      <c r="DX15" s="1777">
        <v>8</v>
      </c>
      <c r="DY15" s="1777">
        <v>8</v>
      </c>
      <c r="DZ15" s="1777">
        <v>8</v>
      </c>
      <c r="EA15" s="1777">
        <v>8</v>
      </c>
      <c r="EB15" s="1777">
        <v>8</v>
      </c>
      <c r="EC15" s="1777">
        <v>8</v>
      </c>
      <c r="ED15" s="1777">
        <v>8</v>
      </c>
      <c r="EE15" s="1777">
        <v>8</v>
      </c>
      <c r="EF15" s="1777">
        <v>8</v>
      </c>
      <c r="EG15" s="1777">
        <v>8</v>
      </c>
      <c r="EH15" s="1777">
        <v>8</v>
      </c>
      <c r="EI15" s="1777">
        <v>8</v>
      </c>
      <c r="EJ15" s="1777">
        <v>8</v>
      </c>
      <c r="EK15" s="1777">
        <v>8</v>
      </c>
      <c r="EL15" s="1777">
        <v>8</v>
      </c>
      <c r="EM15" s="1777">
        <v>8</v>
      </c>
      <c r="EN15" s="1777">
        <v>8</v>
      </c>
      <c r="EO15" s="1777">
        <v>8</v>
      </c>
      <c r="EP15" s="1777">
        <v>8</v>
      </c>
      <c r="EQ15" s="1777">
        <v>8</v>
      </c>
      <c r="ER15" s="1777">
        <v>8</v>
      </c>
      <c r="ES15" s="1777">
        <v>8</v>
      </c>
      <c r="ET15" s="1777">
        <v>8</v>
      </c>
      <c r="EU15" s="1777">
        <v>8</v>
      </c>
      <c r="EV15" s="1777">
        <v>8</v>
      </c>
      <c r="EW15" s="1777">
        <v>8</v>
      </c>
      <c r="EX15" s="1777">
        <v>8</v>
      </c>
      <c r="EY15" s="1777">
        <v>8</v>
      </c>
      <c r="EZ15" s="1777">
        <v>8</v>
      </c>
      <c r="FA15" s="1777">
        <v>8</v>
      </c>
      <c r="FB15" s="1777">
        <v>8</v>
      </c>
      <c r="FC15" s="1777">
        <v>8</v>
      </c>
      <c r="FD15" s="1777">
        <v>8</v>
      </c>
      <c r="FE15" s="1777">
        <v>8</v>
      </c>
      <c r="FF15" s="1777">
        <v>8</v>
      </c>
      <c r="FG15" s="1777">
        <v>8</v>
      </c>
      <c r="FH15" s="1777">
        <v>8</v>
      </c>
      <c r="FI15" s="1777">
        <v>8</v>
      </c>
      <c r="FJ15" s="1777">
        <v>8</v>
      </c>
      <c r="FK15" s="1777">
        <v>8</v>
      </c>
      <c r="FL15" s="1777">
        <v>8</v>
      </c>
      <c r="FM15" s="1777">
        <v>8</v>
      </c>
      <c r="FN15" s="1777">
        <v>8</v>
      </c>
      <c r="FO15" s="1777">
        <v>8</v>
      </c>
      <c r="FP15" s="1777">
        <v>8</v>
      </c>
      <c r="FQ15" s="1777">
        <v>8</v>
      </c>
      <c r="FR15" s="1777">
        <v>8</v>
      </c>
      <c r="FS15" s="1777">
        <v>8</v>
      </c>
      <c r="FT15" s="1777">
        <v>8</v>
      </c>
      <c r="FU15" s="1777">
        <v>8</v>
      </c>
      <c r="FV15" s="1777">
        <v>8</v>
      </c>
      <c r="FW15" s="1777">
        <v>8</v>
      </c>
      <c r="FX15" s="1777">
        <v>8</v>
      </c>
      <c r="FY15" s="1777">
        <v>8</v>
      </c>
      <c r="FZ15" s="1777">
        <v>8</v>
      </c>
      <c r="GA15" s="1777">
        <v>8</v>
      </c>
      <c r="GB15" s="1777">
        <v>8</v>
      </c>
      <c r="GC15" s="1777">
        <v>8</v>
      </c>
      <c r="GD15" s="1777">
        <v>8</v>
      </c>
      <c r="GE15" s="1777">
        <v>8</v>
      </c>
      <c r="GF15" s="1777">
        <v>8</v>
      </c>
      <c r="GG15" s="1777">
        <v>8</v>
      </c>
      <c r="GH15" s="1777">
        <v>8</v>
      </c>
      <c r="GI15" s="1777">
        <v>8</v>
      </c>
      <c r="GJ15" s="1777">
        <v>8</v>
      </c>
      <c r="GK15" s="1777">
        <v>8</v>
      </c>
      <c r="GL15" s="1777">
        <v>8</v>
      </c>
      <c r="GM15" s="1777">
        <v>8</v>
      </c>
      <c r="GN15" s="1777">
        <v>8</v>
      </c>
      <c r="GO15" s="1777">
        <v>8</v>
      </c>
      <c r="GP15" s="1777">
        <v>8</v>
      </c>
      <c r="GQ15" s="1777">
        <v>8</v>
      </c>
      <c r="GR15" s="1777">
        <v>8</v>
      </c>
      <c r="GS15" s="1777">
        <v>8</v>
      </c>
      <c r="GT15" s="1777">
        <v>8</v>
      </c>
      <c r="GU15" s="1777">
        <v>8</v>
      </c>
      <c r="GV15" s="1777">
        <v>8</v>
      </c>
      <c r="GW15" s="1777">
        <v>8</v>
      </c>
      <c r="GX15" s="1777">
        <v>8</v>
      </c>
      <c r="GY15" s="1777">
        <v>8</v>
      </c>
      <c r="GZ15" s="1777">
        <v>8</v>
      </c>
      <c r="HA15" s="1777">
        <v>8</v>
      </c>
      <c r="HB15" s="1777">
        <v>8</v>
      </c>
      <c r="HC15" s="1777">
        <v>8</v>
      </c>
      <c r="HD15" s="1777">
        <v>8</v>
      </c>
      <c r="HE15" s="1777">
        <v>8</v>
      </c>
      <c r="HF15" s="1777">
        <v>8</v>
      </c>
      <c r="HG15" s="1777">
        <v>8</v>
      </c>
      <c r="HH15" s="1777">
        <v>8</v>
      </c>
      <c r="HI15" s="1777">
        <v>8</v>
      </c>
      <c r="HJ15" s="1777">
        <v>8</v>
      </c>
      <c r="HK15" s="1777">
        <v>8</v>
      </c>
      <c r="HL15" s="1777">
        <v>8</v>
      </c>
      <c r="HM15" s="1777">
        <v>8</v>
      </c>
      <c r="HN15" s="1777">
        <v>8</v>
      </c>
      <c r="HO15" s="1777">
        <v>8</v>
      </c>
      <c r="HP15" s="1777">
        <v>8</v>
      </c>
      <c r="HQ15" s="1777">
        <v>8</v>
      </c>
      <c r="HR15" s="1777">
        <v>8</v>
      </c>
      <c r="HS15" s="1777">
        <v>8</v>
      </c>
      <c r="HT15" s="1777">
        <v>8</v>
      </c>
      <c r="HU15" s="1777">
        <v>8</v>
      </c>
      <c r="HV15" s="1777">
        <v>8</v>
      </c>
      <c r="HW15" s="1777">
        <v>8</v>
      </c>
      <c r="HX15" s="1777">
        <v>8</v>
      </c>
      <c r="HY15" s="1777">
        <v>8</v>
      </c>
      <c r="HZ15" s="1777">
        <v>8</v>
      </c>
      <c r="IA15" s="1777">
        <v>8</v>
      </c>
      <c r="IB15" s="1777">
        <v>8</v>
      </c>
      <c r="IC15" s="1777">
        <v>8</v>
      </c>
      <c r="ID15" s="1777">
        <v>8</v>
      </c>
      <c r="IE15" s="1777">
        <v>8</v>
      </c>
      <c r="IF15" s="1777">
        <v>8</v>
      </c>
      <c r="IG15" s="1777">
        <v>8</v>
      </c>
      <c r="IH15" s="1777">
        <v>8</v>
      </c>
      <c r="II15" s="1777">
        <v>8</v>
      </c>
      <c r="IJ15" s="1777">
        <v>8</v>
      </c>
      <c r="IK15" s="1777">
        <v>8</v>
      </c>
      <c r="IL15" s="1777">
        <v>8</v>
      </c>
      <c r="IM15" s="1777">
        <v>8</v>
      </c>
      <c r="IN15" s="1777">
        <v>8</v>
      </c>
      <c r="IO15" s="1777">
        <v>8</v>
      </c>
      <c r="IP15" s="1777">
        <v>8</v>
      </c>
      <c r="IQ15" s="1777">
        <v>8</v>
      </c>
      <c r="IR15" s="1777">
        <v>8</v>
      </c>
      <c r="IS15" s="1777">
        <v>8</v>
      </c>
      <c r="IT15" s="1777">
        <v>8</v>
      </c>
      <c r="IU15" s="1777">
        <v>8</v>
      </c>
      <c r="IV15" s="1777">
        <v>8</v>
      </c>
      <c r="IW15" s="1777">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DD6ADC-59FD-47BD-8AB8-0.C7F464FD}" mc:Ignorable="x14ac xr xr2 xr3">
  <dimension ref="A1:Q19"/>
  <sheetViews>
    <sheetView topLeftCell="A1" showGridLines="0" zoomScale="90" workbookViewId="0">
      <selection activeCell="A1" sqref="A1"/>
    </sheetView>
  </sheetViews>
  <sheetFormatPr defaultColWidth="9.140625" customHeight="1" defaultRowHeight="14.25"/>
  <cols>
    <col min="1" max="1" style="7235" width="9.140625" hidden="1"/>
    <col min="2" max="2" style="7180" width="9.140625" hidden="1"/>
    <col min="3" max="3" style="7235" width="3.7109375" hidden="1" customWidth="1"/>
    <col min="4" max="4" style="7758" width="3.00390625" customWidth="1"/>
    <col min="5" max="5" style="7235" width="6.00390625" customWidth="1"/>
    <col min="6" max="6" style="7235" width="27.00390625" customWidth="1"/>
    <col min="7" max="7" style="7235" width="29.00390625" customWidth="1"/>
    <col min="8" max="8" style="7235" width="25.00390625" customWidth="1"/>
    <col min="9" max="9" style="7235" width="5.00390625" customWidth="1"/>
    <col min="10" max="10" style="7235" width="6.00390625" customWidth="1"/>
    <col min="11" max="11" style="7235" width="41.00390625" customWidth="1"/>
    <col min="12" max="12" style="7235" width="42.00390625" customWidth="1"/>
    <col min="13" max="13" style="7235" width="41.00390625" customWidth="1"/>
    <col min="14" max="14" style="7235" width="89.00390625" customWidth="1"/>
    <col min="15" max="15" style="7183" width="3.00390625" customWidth="1"/>
    <col min="16" max="16" style="7183" width="8.00390625" customWidth="1"/>
    <col min="17" max="17" style="7235" width="9.140625" hidden="1"/>
  </cols>
  <sheetData>
    <row customHeight="1" ht="22.5" hidden="1">
      <c r="Q1" s="1301" t="s">
        <v>14</v>
      </c>
    </row>
    <row s="7976" customFormat="1" customHeight="1" ht="22.5" hidden="1">
      <c r="A2" s="642"/>
      <c r="B2" s="1306">
        <v>1</v>
      </c>
      <c r="C2" s="1306"/>
      <c r="D2" s="2071" t="s">
        <v>106</v>
      </c>
      <c r="E2" s="2286">
        <v>1</v>
      </c>
      <c r="F2" s="2462" t="str">
        <f>IF(region_name="","",region_name)</f>
        <v>Забайкальский край</v>
      </c>
      <c r="G2" s="2642"/>
      <c r="H2" s="2643"/>
      <c r="I2" s="620"/>
      <c r="J2" s="2053">
        <v>1</v>
      </c>
      <c r="K2" s="2055"/>
      <c r="L2" s="2055"/>
      <c r="M2" s="2055"/>
      <c r="N2" s="638"/>
      <c r="O2" s="1681"/>
      <c r="P2" s="657"/>
      <c r="Q2" s="569">
        <v>0</v>
      </c>
    </row>
    <row s="7976" customFormat="1" customHeight="1" ht="22.5" hidden="1">
      <c r="A3" s="977"/>
      <c r="B3" s="1306"/>
      <c r="C3" s="1306"/>
      <c r="D3" s="947"/>
      <c r="E3" s="2286"/>
      <c r="F3" s="2462"/>
      <c r="G3" s="2642"/>
      <c r="H3" s="2644"/>
      <c r="I3" s="567"/>
      <c r="J3" s="1646"/>
      <c r="K3" s="1646" t="s">
        <v>2170</v>
      </c>
      <c r="L3" s="1689"/>
      <c r="M3" s="2063"/>
      <c r="N3" s="2056"/>
      <c r="O3" s="1681"/>
      <c r="P3" s="657"/>
      <c r="Q3" s="569">
        <v>0</v>
      </c>
    </row>
    <row s="6720" customFormat="1" customHeight="1" ht="5.25" hidden="1">
      <c r="A4" s="642"/>
      <c r="D4" s="640"/>
      <c r="F4" s="393" t="s">
        <v>84</v>
      </c>
      <c r="G4" s="640" t="s">
        <v>85</v>
      </c>
      <c r="H4" s="640"/>
      <c r="I4" s="2066"/>
      <c r="J4" s="1690"/>
      <c r="K4" s="2054"/>
      <c r="L4" s="2054"/>
      <c r="M4" s="2054"/>
      <c r="N4" s="2050"/>
      <c r="O4" s="393" t="s">
        <v>84</v>
      </c>
      <c r="P4" s="393"/>
      <c r="Q4" s="657">
        <v>0</v>
      </c>
    </row>
    <row s="7976" customFormat="1" customHeight="1" ht="22.5" hidden="1">
      <c r="A5" s="1787"/>
      <c r="B5" s="1512">
        <v>1</v>
      </c>
      <c r="C5" s="1512"/>
      <c r="D5" s="947"/>
      <c r="E5" s="2056"/>
      <c r="F5" s="2056"/>
      <c r="G5" s="2056"/>
      <c r="H5" s="2067"/>
      <c r="I5" s="2072" t="s">
        <v>106</v>
      </c>
      <c r="J5" s="2065">
        <v>1</v>
      </c>
      <c r="K5" s="2055"/>
      <c r="L5" s="2055"/>
      <c r="M5" s="2055"/>
      <c r="N5" s="638"/>
      <c r="O5" s="1681"/>
      <c r="P5" s="1782"/>
      <c r="Q5" s="770">
        <v>0</v>
      </c>
    </row>
    <row s="6055" customFormat="1" customHeight="1" ht="14.699999999999998">
      <c r="A6" s="1301"/>
      <c r="B6" s="1306"/>
      <c r="C6" s="1301"/>
      <c r="D6" s="1641"/>
      <c r="E6" s="655"/>
      <c r="F6" s="655"/>
      <c r="G6" s="655"/>
      <c r="H6" s="655"/>
      <c r="I6" s="655"/>
      <c r="J6" s="655"/>
      <c r="K6" s="655"/>
      <c r="L6" s="655"/>
      <c r="M6" s="655"/>
      <c r="N6" s="1781"/>
      <c r="O6" s="393"/>
      <c r="P6" s="646"/>
      <c r="Q6" s="653">
        <v>14</v>
      </c>
    </row>
    <row s="6055" customFormat="1" customHeight="1" ht="27.299999999999997">
      <c r="A7" s="1301"/>
      <c r="B7" s="1306"/>
      <c r="C7" s="1301"/>
      <c r="D7" s="1641"/>
      <c r="E7" s="264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49"/>
      <c r="G7" s="2649"/>
      <c r="H7" s="2649"/>
      <c r="I7" s="2649"/>
      <c r="J7" s="2649"/>
      <c r="K7" s="2649"/>
      <c r="L7" s="2649"/>
      <c r="M7" s="2649"/>
      <c r="N7" s="1398"/>
      <c r="O7" s="393"/>
      <c r="P7" s="646"/>
      <c r="Q7" s="653">
        <v>26</v>
      </c>
    </row>
    <row s="6055" customFormat="1" customHeight="1" ht="14.699999999999998">
      <c r="A8" s="1301"/>
      <c r="B8" s="1306"/>
      <c r="C8" s="1301"/>
      <c r="D8" s="1641"/>
      <c r="E8" s="655"/>
      <c r="F8" s="313"/>
      <c r="G8" s="313"/>
      <c r="H8" s="313"/>
      <c r="I8" s="313"/>
      <c r="J8" s="313"/>
      <c r="K8" s="313"/>
      <c r="L8" s="313"/>
      <c r="M8" s="313"/>
      <c r="N8" s="762"/>
      <c r="O8" s="646"/>
      <c r="P8" s="646"/>
      <c r="Q8" s="653">
        <v>14</v>
      </c>
    </row>
    <row s="7472" customFormat="1" customHeight="1" ht="14.25" hidden="1">
      <c r="A9" s="1614"/>
      <c r="B9" s="1624"/>
      <c r="C9" s="1614"/>
      <c r="D9" s="1641"/>
      <c r="E9" s="2057"/>
      <c r="F9" s="2057"/>
      <c r="G9" s="2057"/>
      <c r="H9" s="2057"/>
      <c r="I9" s="2652"/>
      <c r="J9" s="2652"/>
      <c r="K9" s="2652"/>
      <c r="L9" s="2057"/>
      <c r="M9" s="2058"/>
      <c r="O9" s="1691"/>
      <c r="P9" s="1691"/>
      <c r="Q9" s="1692">
        <v>0</v>
      </c>
    </row>
    <row s="6055" customFormat="1" customHeight="1" ht="14.699999999999998">
      <c r="A10" s="1301"/>
      <c r="B10" s="1306"/>
      <c r="C10" s="1301"/>
      <c r="D10" s="1641"/>
      <c r="E10" s="2286" t="s">
        <v>322</v>
      </c>
      <c r="F10" s="2286"/>
      <c r="G10" s="2286"/>
      <c r="H10" s="2286"/>
      <c r="I10" s="2286"/>
      <c r="J10" s="2286"/>
      <c r="K10" s="2286"/>
      <c r="L10" s="2286"/>
      <c r="M10" s="2260"/>
      <c r="N10" s="2637" t="s">
        <v>323</v>
      </c>
      <c r="O10" s="646"/>
      <c r="P10" s="646"/>
      <c r="Q10" s="653">
        <v>14</v>
      </c>
    </row>
    <row s="6055" customFormat="1" customHeight="1" ht="44.25">
      <c r="A11" s="1777"/>
      <c r="B11" s="1512"/>
      <c r="C11" s="1777"/>
      <c r="D11" s="1661"/>
      <c r="E11" s="2651" t="s">
        <v>89</v>
      </c>
      <c r="F11" s="2651" t="s">
        <v>326</v>
      </c>
      <c r="G11" s="2651" t="s">
        <v>2171</v>
      </c>
      <c r="H11" s="2651"/>
      <c r="I11" s="2651" t="s">
        <v>2172</v>
      </c>
      <c r="J11" s="2651"/>
      <c r="K11" s="2651"/>
      <c r="L11" s="2651" t="s">
        <v>2173</v>
      </c>
      <c r="M11" s="2639" t="s">
        <v>2174</v>
      </c>
      <c r="N11" s="2650"/>
      <c r="O11" s="1770"/>
      <c r="P11" s="1770"/>
      <c r="Q11" s="1755">
        <v>42</v>
      </c>
    </row>
    <row s="6055" customFormat="1" customHeight="1" ht="29.25">
      <c r="A12" s="1301"/>
      <c r="B12" s="1306"/>
      <c r="C12" s="1301"/>
      <c r="D12" s="1641"/>
      <c r="E12" s="2637"/>
      <c r="F12" s="2651"/>
      <c r="G12" s="2052" t="s">
        <v>2175</v>
      </c>
      <c r="H12" s="2052" t="s">
        <v>330</v>
      </c>
      <c r="I12" s="2651"/>
      <c r="J12" s="2651"/>
      <c r="K12" s="2651"/>
      <c r="L12" s="2651"/>
      <c r="M12" s="2639"/>
      <c r="N12" s="2638"/>
      <c r="O12" s="646"/>
      <c r="P12" s="646"/>
      <c r="Q12" s="653">
        <v>28</v>
      </c>
    </row>
    <row s="7976" customFormat="1" customHeight="1" ht="23.25">
      <c r="A13" s="2258">
        <v>26379339</v>
      </c>
      <c r="B13" s="1306">
        <v>1</v>
      </c>
      <c r="C13" s="1306"/>
      <c r="D13" s="947"/>
      <c r="E13" s="2286">
        <v>1</v>
      </c>
      <c r="F13" s="2645" t="str">
        <f>IF(region_name="","",region_name)</f>
        <v>Забайкальский край</v>
      </c>
      <c r="G13" s="2646"/>
      <c r="H13" s="2653"/>
      <c r="I13" s="620"/>
      <c r="J13" s="2048">
        <v>1</v>
      </c>
      <c r="K13" s="2061"/>
      <c r="L13" s="2062"/>
      <c r="M13" s="2062"/>
      <c r="N13" s="2647" t="s">
        <v>2176</v>
      </c>
      <c r="O13" s="1681"/>
      <c r="P13" s="657"/>
      <c r="Q13" s="569">
        <v>22</v>
      </c>
    </row>
    <row s="7976" customFormat="1" customHeight="1" ht="23.25">
      <c r="A14" s="2258"/>
      <c r="B14" s="1306"/>
      <c r="C14" s="1306"/>
      <c r="D14" s="947"/>
      <c r="E14" s="2286"/>
      <c r="F14" s="2645"/>
      <c r="G14" s="2646"/>
      <c r="H14" s="2654"/>
      <c r="I14" s="567"/>
      <c r="J14" s="1646"/>
      <c r="K14" s="1646" t="s">
        <v>2170</v>
      </c>
      <c r="L14" s="1689"/>
      <c r="M14" s="1689"/>
      <c r="N14" s="2648"/>
      <c r="O14" s="1681"/>
      <c r="P14" s="657"/>
      <c r="Q14" s="569">
        <v>22</v>
      </c>
    </row>
    <row s="7976" customFormat="1" customHeight="1" ht="23.25">
      <c r="A15" s="2258"/>
      <c r="B15" s="1306"/>
      <c r="C15" s="558"/>
      <c r="D15" s="947"/>
      <c r="E15" s="567"/>
      <c r="F15" s="1646" t="s">
        <v>2162</v>
      </c>
      <c r="G15" s="1688"/>
      <c r="H15" s="1688"/>
      <c r="I15" s="333"/>
      <c r="J15" s="333"/>
      <c r="K15" s="333"/>
      <c r="L15" s="333"/>
      <c r="M15" s="333"/>
      <c r="N15" s="2648"/>
      <c r="O15" s="1682"/>
      <c r="P15" s="657"/>
      <c r="Q15" s="569">
        <v>22</v>
      </c>
    </row>
    <row s="6055" customFormat="1" customHeight="1" ht="22.049999999999997">
      <c r="A16" s="1301"/>
      <c r="B16" s="1306"/>
      <c r="C16" s="1301"/>
      <c r="D16" s="597"/>
      <c r="E16" s="326"/>
      <c r="F16" s="326"/>
      <c r="G16" s="326"/>
      <c r="H16" s="326"/>
      <c r="I16" s="326"/>
      <c r="J16" s="326"/>
      <c r="K16" s="326"/>
      <c r="L16" s="326"/>
      <c r="M16" s="655"/>
      <c r="N16" s="1781"/>
      <c r="O16" s="646"/>
      <c r="P16" s="646"/>
      <c r="Q16" s="653">
        <v>21</v>
      </c>
    </row>
    <row s="6055" customFormat="1" customHeight="1" ht="14.699999999999998">
      <c r="A17" s="1301"/>
      <c r="B17" s="1306"/>
      <c r="C17" s="1301"/>
      <c r="D17" s="597"/>
      <c r="E17" s="1301"/>
      <c r="F17" s="1301"/>
      <c r="G17" s="1301"/>
      <c r="H17" s="1301"/>
      <c r="I17" s="1301"/>
      <c r="J17" s="1301"/>
      <c r="K17" s="1301"/>
      <c r="L17" s="1301"/>
      <c r="M17" s="1301"/>
      <c r="N17" s="1777"/>
      <c r="O17" s="646"/>
      <c r="P17" s="646"/>
      <c r="Q17" s="653">
        <v>14</v>
      </c>
    </row>
    <row s="6055" customFormat="1" customHeight="1" ht="1.05">
      <c r="A18" s="1301"/>
      <c r="B18" s="1306"/>
      <c r="C18" s="1301"/>
      <c r="D18" s="597"/>
      <c r="E18" s="1301"/>
      <c r="F18" s="1301"/>
      <c r="G18" s="1301"/>
      <c r="H18" s="1301"/>
      <c r="I18" s="1301"/>
      <c r="J18" s="1301"/>
      <c r="K18" s="1301"/>
      <c r="L18" s="1301"/>
      <c r="M18" s="1301"/>
      <c r="N18" s="1777"/>
      <c r="O18" s="646"/>
      <c r="P18" s="646"/>
      <c r="Q18" s="653">
        <v>1</v>
      </c>
    </row>
    <row customHeight="1" ht="22.5" hidden="1">
      <c r="A19" s="1301" t="s">
        <v>83</v>
      </c>
      <c r="B19" s="1306">
        <v>0</v>
      </c>
      <c r="C19" s="1301">
        <v>0</v>
      </c>
      <c r="D19" s="597">
        <v>3</v>
      </c>
      <c r="E19" s="1301">
        <v>6</v>
      </c>
      <c r="F19" s="1301">
        <v>27</v>
      </c>
      <c r="G19" s="1301">
        <v>29</v>
      </c>
      <c r="H19" s="1301">
        <v>25</v>
      </c>
      <c r="I19" s="1301">
        <v>5</v>
      </c>
      <c r="J19" s="1301">
        <v>6</v>
      </c>
      <c r="K19" s="1301">
        <v>41</v>
      </c>
      <c r="L19" s="1301">
        <v>42</v>
      </c>
      <c r="M19" s="1301">
        <v>41</v>
      </c>
      <c r="N19" s="1777">
        <v>89</v>
      </c>
      <c r="O19" s="646">
        <v>3</v>
      </c>
      <c r="P19" s="646">
        <v>8</v>
      </c>
      <c r="Q19" s="1301">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E95E47-44B1-F3AC-7FA4-0.ECDCA716}"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7928" width="9.140625" hidden="1"/>
    <col min="2" max="2" style="7711" width="9.140625" hidden="1"/>
    <col min="3" max="3" style="7506" width="3.00390625" customWidth="1"/>
    <col min="4" max="4" style="7711" width="6.00390625" customWidth="1"/>
    <col min="5" max="5" style="7711" width="22.00390625" customWidth="1"/>
    <col min="6" max="6" style="7711" width="15.00390625" customWidth="1"/>
    <col min="7" max="7" style="7711" width="14.00390625" customWidth="1"/>
    <col min="8" max="8" style="7711" width="47.00390625" customWidth="1"/>
    <col min="9" max="9" style="7711" width="115.00390625" customWidth="1"/>
    <col min="10" max="10" style="7711" width="3.00390625" customWidth="1"/>
    <col min="11" max="12" style="7711" width="8.00390625" customWidth="1"/>
    <col min="13" max="13" style="7711" width="9.140625" hidden="1"/>
  </cols>
  <sheetData>
    <row customHeight="1" ht="14.25" hidden="1">
      <c r="M1" s="267" t="s">
        <v>14</v>
      </c>
    </row>
    <row customHeight="1" ht="14.25" hidden="1">
      <c r="M2" s="267">
        <v>0</v>
      </c>
    </row>
    <row customHeight="1" ht="14.25" hidden="1">
      <c r="M3" s="267">
        <v>0</v>
      </c>
    </row>
    <row customHeight="1" ht="3">
      <c r="M4" s="267">
        <v>3</v>
      </c>
    </row>
    <row s="7235" customFormat="1" customHeight="1" ht="31.5">
      <c r="A5" s="261"/>
      <c r="C5" s="236"/>
      <c r="D5" s="2259" t="s">
        <v>2177</v>
      </c>
      <c r="E5" s="2259"/>
      <c r="F5" s="2259"/>
      <c r="G5" s="2259"/>
      <c r="H5" s="2259"/>
      <c r="I5" s="411"/>
      <c r="M5" s="229">
        <v>30</v>
      </c>
    </row>
    <row customHeight="1" ht="3" hidden="1">
      <c r="D6" s="268"/>
      <c r="E6" s="268"/>
      <c r="F6" s="268"/>
      <c r="G6" s="268"/>
      <c r="H6" s="268"/>
      <c r="I6" s="268"/>
      <c r="M6" s="267">
        <v>0</v>
      </c>
    </row>
    <row s="7928" customFormat="1" customHeight="1" ht="14.699999999999998">
      <c r="B7" s="265"/>
      <c r="C7" s="266"/>
      <c r="D7" s="269"/>
      <c r="E7" s="269"/>
      <c r="F7" s="269"/>
      <c r="G7" s="269"/>
      <c r="H7" s="898"/>
      <c r="I7" s="269"/>
      <c r="J7" s="270"/>
      <c r="M7" s="264">
        <v>14</v>
      </c>
    </row>
    <row customHeight="1" ht="14.699999999999998">
      <c r="D8" s="2368" t="s">
        <v>322</v>
      </c>
      <c r="E8" s="2368"/>
      <c r="F8" s="2368"/>
      <c r="G8" s="2368"/>
      <c r="H8" s="2368"/>
      <c r="I8" s="2368" t="s">
        <v>323</v>
      </c>
      <c r="M8" s="267">
        <v>14</v>
      </c>
    </row>
    <row customHeight="1" ht="29.25">
      <c r="D9" s="2368" t="s">
        <v>89</v>
      </c>
      <c r="E9" s="2368" t="s">
        <v>2178</v>
      </c>
      <c r="F9" s="2368"/>
      <c r="G9" s="2368"/>
      <c r="H9" s="2368"/>
      <c r="I9" s="2368"/>
      <c r="M9" s="267">
        <v>28</v>
      </c>
    </row>
    <row customHeight="1" ht="24">
      <c r="D10" s="2368"/>
      <c r="E10" s="273" t="s">
        <v>2179</v>
      </c>
      <c r="F10" s="273" t="s">
        <v>2180</v>
      </c>
      <c r="G10" s="273" t="s">
        <v>2181</v>
      </c>
      <c r="H10" s="273" t="s">
        <v>412</v>
      </c>
      <c r="I10" s="2368"/>
      <c r="M10" s="267">
        <v>23</v>
      </c>
    </row>
    <row customHeight="1" ht="12" hidden="1">
      <c r="D11" s="233" t="s">
        <v>121</v>
      </c>
      <c r="E11" s="233" t="s">
        <v>92</v>
      </c>
      <c r="F11" s="233" t="s">
        <v>122</v>
      </c>
      <c r="G11" s="233" t="s">
        <v>93</v>
      </c>
      <c r="H11" s="233" t="s">
        <v>94</v>
      </c>
      <c r="I11" s="233" t="s">
        <v>123</v>
      </c>
      <c r="M11" s="267">
        <v>0</v>
      </c>
    </row>
    <row s="7711" customFormat="1" customHeight="1" ht="26.25">
      <c r="A12" s="291" t="s">
        <v>91</v>
      </c>
      <c r="B12" s="271" t="s">
        <v>22</v>
      </c>
      <c r="C12" s="272"/>
      <c r="D12" s="274" t="s">
        <v>121</v>
      </c>
      <c r="E12" s="527"/>
      <c r="F12" s="527"/>
      <c r="G12" s="1879" t="s">
        <v>22</v>
      </c>
      <c r="H12" s="528"/>
      <c r="I12" s="2328" t="s">
        <v>2182</v>
      </c>
      <c r="K12" s="418"/>
      <c r="L12" s="419"/>
      <c r="M12" s="263">
        <v>25</v>
      </c>
    </row>
    <row customHeight="1" ht="15.75">
      <c r="A13" s="267"/>
      <c r="B13" s="267"/>
      <c r="C13" s="267"/>
      <c r="D13" s="255"/>
      <c r="E13" s="276" t="s">
        <v>490</v>
      </c>
      <c r="F13" s="275"/>
      <c r="G13" s="275"/>
      <c r="H13" s="360"/>
      <c r="I13" s="2330"/>
      <c r="M13" s="267">
        <v>15</v>
      </c>
    </row>
    <row customHeight="1" ht="3">
      <c r="A14" s="267"/>
      <c r="B14" s="267"/>
      <c r="C14" s="267"/>
      <c r="M14" s="267">
        <v>3</v>
      </c>
    </row>
    <row customHeight="1" ht="29.25">
      <c r="E15" s="2655" t="s">
        <v>2183</v>
      </c>
      <c r="F15" s="2655"/>
      <c r="G15" s="2655"/>
      <c r="H15" s="2655"/>
      <c r="M15" s="267">
        <v>28</v>
      </c>
    </row>
    <row customHeight="1" ht="14.25" hidden="1">
      <c r="A16" s="264" t="s">
        <v>83</v>
      </c>
      <c r="B16" s="265">
        <v>0</v>
      </c>
      <c r="C16" s="266">
        <v>3</v>
      </c>
      <c r="D16" s="267">
        <v>6</v>
      </c>
      <c r="E16" s="267">
        <v>22</v>
      </c>
      <c r="F16" s="267">
        <v>15</v>
      </c>
      <c r="G16" s="267">
        <v>14</v>
      </c>
      <c r="H16" s="267">
        <v>47</v>
      </c>
      <c r="I16" s="267">
        <v>115</v>
      </c>
      <c r="J16" s="267">
        <v>3</v>
      </c>
      <c r="K16" s="267">
        <v>8</v>
      </c>
      <c r="L16" s="267">
        <v>8</v>
      </c>
      <c r="M16" s="267">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4031A4-FE8C-DDA8-8F07-0.DFC4BBE}" mc:Ignorable="x14ac xr xr2 xr3">
  <sheetPr>
    <tabColor rgb="FFCCCCFF"/>
    <pageSetUpPr fitToPage="1"/>
  </sheetPr>
  <dimension ref="A1:J16"/>
  <sheetViews>
    <sheetView topLeftCell="A1" showGridLines="0" zoomScale="90" workbookViewId="0">
      <selection activeCell="D15" sqref="D15:E15"/>
    </sheetView>
  </sheetViews>
  <sheetFormatPr defaultColWidth="9.140625" customHeight="1" defaultRowHeight="14.25"/>
  <cols>
    <col min="1" max="2" style="7527" width="9.140625" hidden="1"/>
    <col min="3" max="3" style="7526" width="3.00390625" customWidth="1"/>
    <col min="4" max="4" style="7527" width="6.00390625" customWidth="1"/>
    <col min="5" max="5" style="7527" width="94.00390625" customWidth="1"/>
    <col min="6" max="9" style="7527" width="8.00390625" customWidth="1"/>
    <col min="10" max="10" style="7527" width="9.140625" hidden="1"/>
  </cols>
  <sheetData>
    <row customHeight="1" ht="14.25" hidden="1">
      <c r="J1" s="215" t="s">
        <v>14</v>
      </c>
    </row>
    <row customHeight="1" ht="14.25" hidden="1">
      <c r="J2" s="215">
        <v>0</v>
      </c>
    </row>
    <row customHeight="1" ht="14.25" hidden="1">
      <c r="J3" s="215">
        <v>0</v>
      </c>
    </row>
    <row customHeight="1" ht="14.25" hidden="1">
      <c r="J4" s="215">
        <v>0</v>
      </c>
    </row>
    <row customHeight="1" ht="14.25" hidden="1">
      <c r="J5" s="215">
        <v>0</v>
      </c>
    </row>
    <row customHeight="1" ht="3">
      <c r="C6" s="238"/>
      <c r="D6" s="216"/>
      <c r="E6" s="216"/>
      <c r="J6" s="215">
        <v>3</v>
      </c>
    </row>
    <row customHeight="1" ht="23.25">
      <c r="C7" s="238"/>
      <c r="D7" s="2656" t="s">
        <v>2184</v>
      </c>
      <c r="E7" s="2657"/>
      <c r="F7" s="413"/>
      <c r="J7" s="215">
        <v>22</v>
      </c>
    </row>
    <row customHeight="1" ht="3">
      <c r="C8" s="238"/>
      <c r="D8" s="216"/>
      <c r="E8" s="216"/>
      <c r="J8" s="215">
        <v>3</v>
      </c>
    </row>
    <row customHeight="1" ht="16.8">
      <c r="C9" s="238"/>
      <c r="D9" s="251" t="s">
        <v>89</v>
      </c>
      <c r="E9" s="406" t="s">
        <v>2185</v>
      </c>
      <c r="J9" s="215">
        <v>16</v>
      </c>
    </row>
    <row customHeight="1" ht="1.05">
      <c r="C10" s="238"/>
      <c r="D10" s="233"/>
      <c r="E10" s="233"/>
      <c r="J10" s="215">
        <v>1</v>
      </c>
    </row>
    <row customHeight="1" ht="11.25" hidden="1">
      <c r="C11" s="238"/>
      <c r="D11" s="296">
        <v>0</v>
      </c>
      <c r="E11" s="407"/>
      <c r="J11" s="215">
        <v>0</v>
      </c>
    </row>
    <row customHeight="1" ht="42.75">
      <c r="C12" s="282"/>
      <c r="D12" s="259">
        <v>1</v>
      </c>
      <c r="E12" s="523" t="s">
        <v>2186</v>
      </c>
      <c r="J12" s="215">
        <v>15</v>
      </c>
    </row>
    <row customHeight="1" ht="12.75">
      <c r="C13" s="238"/>
      <c r="D13" s="408"/>
      <c r="E13" s="409" t="s">
        <v>2187</v>
      </c>
      <c r="J13" s="215">
        <v>12</v>
      </c>
    </row>
    <row customHeight="1" ht="3">
      <c r="J14" s="215">
        <v>3</v>
      </c>
    </row>
    <row customHeight="1" ht="23.25">
      <c r="C15" s="283"/>
      <c r="D15" s="2658" t="s">
        <v>2188</v>
      </c>
      <c r="E15" s="2658"/>
      <c r="F15" s="284"/>
      <c r="G15" s="284"/>
      <c r="H15" s="284"/>
      <c r="I15" s="284"/>
      <c r="J15" s="215">
        <v>22</v>
      </c>
    </row>
    <row customHeight="1" ht="14.25" hidden="1">
      <c r="A16" s="215" t="s">
        <v>83</v>
      </c>
      <c r="B16" s="215">
        <v>0</v>
      </c>
      <c r="C16" s="237">
        <v>3</v>
      </c>
      <c r="D16" s="215">
        <v>6</v>
      </c>
      <c r="E16" s="215">
        <v>94</v>
      </c>
      <c r="F16" s="215">
        <v>8</v>
      </c>
      <c r="G16" s="215">
        <v>8</v>
      </c>
      <c r="H16" s="215">
        <v>8</v>
      </c>
      <c r="I16" s="215">
        <v>8</v>
      </c>
      <c r="J16" s="215">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7C659F-36AE-1C3E-56BD-0.F0F328B}" mc:Ignorable="x14ac xr xr2 xr3">
  <sheetPr>
    <tabColor rgb="FFCCCCFF"/>
    <pageSetUpPr fitToPage="1"/>
  </sheetPr>
  <dimension ref="A1:M16"/>
  <sheetViews>
    <sheetView topLeftCell="A1" showGridLines="0" zoomScale="90" workbookViewId="0">
      <selection activeCell="E14" sqref="E14"/>
    </sheetView>
  </sheetViews>
  <sheetFormatPr defaultColWidth="9.140625" customHeight="1" defaultRowHeight="14.25"/>
  <cols>
    <col min="1" max="2" style="7527" width="9.140625" hidden="1"/>
    <col min="3" max="3" style="7526" width="3.00390625" customWidth="1"/>
    <col min="4" max="4" style="7527" width="6.00390625" customWidth="1"/>
    <col min="5" max="5" style="7527" width="94.00390625" customWidth="1"/>
    <col min="6" max="12" style="7527" width="8.00390625" customWidth="1"/>
    <col min="13" max="13" style="7527" width="9.140625" hidden="1"/>
  </cols>
  <sheetData>
    <row customHeight="1" ht="14.25" hidden="1">
      <c r="L1" s="410"/>
      <c r="M1" s="215" t="s">
        <v>14</v>
      </c>
    </row>
    <row customHeight="1" ht="14.25" hidden="1">
      <c r="M2" s="215">
        <v>0</v>
      </c>
    </row>
    <row customHeight="1" ht="14.25" hidden="1">
      <c r="M3" s="215">
        <v>0</v>
      </c>
    </row>
    <row customHeight="1" ht="14.25" hidden="1">
      <c r="M4" s="215">
        <v>0</v>
      </c>
    </row>
    <row customHeight="1" ht="14.25" hidden="1">
      <c r="M5" s="215">
        <v>0</v>
      </c>
    </row>
    <row customHeight="1" ht="3">
      <c r="C6" s="238"/>
      <c r="D6" s="216"/>
      <c r="E6" s="216"/>
      <c r="M6" s="215">
        <v>3</v>
      </c>
    </row>
    <row customHeight="1" ht="23.25">
      <c r="C7" s="238"/>
      <c r="D7" s="2259" t="s">
        <v>2189</v>
      </c>
      <c r="E7" s="2259"/>
      <c r="F7" s="413"/>
      <c r="M7" s="215">
        <v>22</v>
      </c>
    </row>
    <row customHeight="1" ht="3">
      <c r="C8" s="238"/>
      <c r="D8" s="216"/>
      <c r="E8" s="216"/>
      <c r="M8" s="215">
        <v>3</v>
      </c>
    </row>
    <row customHeight="1" ht="16.8">
      <c r="C9" s="238"/>
      <c r="D9" s="251" t="s">
        <v>89</v>
      </c>
      <c r="E9" s="254" t="s">
        <v>309</v>
      </c>
      <c r="M9" s="215">
        <v>16</v>
      </c>
    </row>
    <row customHeight="1" ht="12.75">
      <c r="C10" s="238"/>
      <c r="D10" s="233" t="s">
        <v>121</v>
      </c>
      <c r="E10" s="233" t="s">
        <v>105</v>
      </c>
      <c r="M10" s="215">
        <v>12</v>
      </c>
    </row>
    <row customHeight="1" ht="15" hidden="1">
      <c r="C11" s="238"/>
      <c r="D11" s="259">
        <v>0</v>
      </c>
      <c r="E11" s="295"/>
      <c r="M11" s="215">
        <v>0</v>
      </c>
    </row>
    <row customHeight="1" ht="43.5">
      <c r="A12" s="7527"/>
      <c r="B12" s="7527"/>
      <c r="C12" s="1962" t="s">
        <v>106</v>
      </c>
      <c r="D12" s="259" t="s">
        <v>121</v>
      </c>
      <c r="E12" s="260" t="s">
        <v>2190</v>
      </c>
      <c r="F12" s="7527"/>
      <c r="G12" s="7527"/>
      <c r="H12" s="7527"/>
      <c r="I12" s="7527"/>
      <c r="J12" s="7527"/>
      <c r="K12" s="7527"/>
      <c r="L12" s="7527"/>
      <c r="M12" s="7527"/>
    </row>
    <row customHeight="1" ht="48">
      <c r="A13" s="7527"/>
      <c r="B13" s="7527"/>
      <c r="C13" s="1962" t="s">
        <v>106</v>
      </c>
      <c r="D13" s="259" t="s">
        <v>105</v>
      </c>
      <c r="E13" s="260" t="s">
        <v>2191</v>
      </c>
      <c r="F13" s="7527"/>
      <c r="G13" s="7527"/>
      <c r="H13" s="7527"/>
      <c r="I13" s="7527"/>
      <c r="J13" s="7527"/>
      <c r="K13" s="7527"/>
      <c r="L13" s="7527"/>
      <c r="M13" s="7527"/>
    </row>
    <row customHeight="1" ht="53.25">
      <c r="A14" s="7527"/>
      <c r="B14" s="7527"/>
      <c r="C14" s="1962" t="s">
        <v>106</v>
      </c>
      <c r="D14" s="259" t="s">
        <v>91</v>
      </c>
      <c r="E14" s="260" t="s">
        <v>2192</v>
      </c>
      <c r="F14" s="7527"/>
      <c r="G14" s="7527"/>
      <c r="H14" s="7527"/>
      <c r="I14" s="7527"/>
      <c r="J14" s="7527"/>
      <c r="K14" s="7527"/>
      <c r="L14" s="7527"/>
      <c r="M14" s="7527"/>
    </row>
    <row customHeight="1" ht="14.699999999999998">
      <c r="C15" s="238"/>
      <c r="D15" s="255"/>
      <c r="E15" s="253" t="s">
        <v>2187</v>
      </c>
      <c r="M15" s="215">
        <v>14</v>
      </c>
    </row>
    <row customHeight="1" ht="14.25" hidden="1">
      <c r="A16" s="215" t="s">
        <v>83</v>
      </c>
      <c r="B16" s="215">
        <v>0</v>
      </c>
      <c r="C16" s="237">
        <v>3</v>
      </c>
      <c r="D16" s="215">
        <v>6</v>
      </c>
      <c r="E16" s="215">
        <v>94</v>
      </c>
      <c r="F16" s="215">
        <v>8</v>
      </c>
      <c r="G16" s="215">
        <v>8</v>
      </c>
      <c r="H16" s="215">
        <v>8</v>
      </c>
      <c r="I16" s="215">
        <v>8</v>
      </c>
      <c r="J16" s="215">
        <v>8</v>
      </c>
      <c r="K16" s="215">
        <v>8</v>
      </c>
      <c r="L16" s="215">
        <v>8</v>
      </c>
      <c r="M16" s="215">
        <v>14</v>
      </c>
    </row>
  </sheetData>
  <sheetProtection formatColumns="0" formatRows="0" autoFilter="0" sort="0" insertRows="0" insertColumns="1" deleteRows="0" deleteColumns="0"/>
  <mergeCells count="1">
    <mergeCell ref="D7:E7"/>
  </mergeCells>
  <dataValidations count="4">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B3F21F-6122-30CC-36B6-0.033A650C}"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7976" width="9.140625" hidden="1"/>
    <col min="3" max="4" style="7976" width="3.00390625" customWidth="1"/>
    <col min="5" max="6" style="7976" width="15.00390625" customWidth="1"/>
    <col min="7" max="7" style="7976" width="11.57421875" customWidth="1"/>
    <col min="8" max="9" style="7976" width="3.00390625" customWidth="1"/>
    <col min="10" max="10" style="7976" width="12.00390625" customWidth="1"/>
    <col min="11" max="11" style="7976" width="0.28125" customWidth="1"/>
    <col min="12" max="13" style="7976" width="10.00390625" customWidth="1"/>
    <col min="14" max="15" style="7976" width="3.00390625" customWidth="1"/>
    <col min="16" max="16" style="7976" width="19.00390625" customWidth="1"/>
    <col min="17" max="17" style="7976" width="0.28125" customWidth="1"/>
    <col min="18" max="19" style="7976" width="10.00390625" customWidth="1"/>
    <col min="20" max="21" style="7976" width="3.00390625" customWidth="1"/>
    <col min="22" max="22" style="7976" width="25.00390625" customWidth="1"/>
    <col min="23" max="23" style="7976" width="0.28125" customWidth="1"/>
    <col min="24" max="25" style="7976" width="10.00390625" customWidth="1"/>
    <col min="26" max="27" style="7976" width="3.00390625" customWidth="1"/>
    <col min="28" max="28" style="7976" width="16.00390625" customWidth="1"/>
    <col min="29" max="29" style="7976" width="0.28125" customWidth="1"/>
    <col min="30" max="31" style="7976" width="10.00390625" customWidth="1"/>
    <col min="32" max="33" style="7976" width="3.00390625" customWidth="1"/>
    <col min="34" max="34" style="7976" width="8.00390625" customWidth="1"/>
    <col min="35" max="35" style="7976" width="21.00390625" customWidth="1"/>
    <col min="36" max="36" style="7976" width="8.00390625" customWidth="1"/>
    <col min="37" max="37" style="7928" width="8.00390625" customWidth="1"/>
    <col min="38" max="64" style="7976" width="8.00390625" customWidth="1"/>
    <col min="65" max="65" style="7976" width="9.140625" hidden="1"/>
  </cols>
  <sheetData>
    <row s="7936" customFormat="1" customHeight="1" ht="11.25" hidden="1">
      <c r="AJ1" s="568"/>
      <c r="AK1" s="568"/>
      <c r="AL1" s="568"/>
      <c r="AM1" s="568"/>
      <c r="AN1" s="568"/>
      <c r="AO1" s="568"/>
      <c r="AP1" s="568"/>
      <c r="AQ1" s="568"/>
      <c r="AR1" s="568"/>
      <c r="AS1" s="568"/>
      <c r="AT1" s="568"/>
      <c r="AU1" s="568"/>
      <c r="AV1" s="568"/>
      <c r="AW1" s="568"/>
      <c r="AX1" s="568"/>
      <c r="AY1" s="568"/>
      <c r="AZ1" s="568"/>
      <c r="BA1" s="568"/>
      <c r="BB1" s="568"/>
      <c r="BC1" s="568"/>
      <c r="BD1" s="568"/>
      <c r="BE1" s="568"/>
      <c r="BF1" s="568"/>
      <c r="BG1" s="568"/>
      <c r="BH1" s="568"/>
      <c r="BI1" s="568"/>
      <c r="BJ1" s="568"/>
      <c r="BK1" s="568"/>
      <c r="BL1" s="568"/>
      <c r="BM1" s="565" t="s">
        <v>14</v>
      </c>
    </row>
    <row s="5824" customFormat="1" customHeight="1" ht="11.25" hidden="1">
      <c r="L2" s="1699" t="s">
        <v>301</v>
      </c>
      <c r="M2" s="1699" t="s">
        <v>302</v>
      </c>
      <c r="R2" s="1699" t="s">
        <v>303</v>
      </c>
      <c r="S2" s="1699" t="s">
        <v>302</v>
      </c>
      <c r="X2" s="1699" t="s">
        <v>301</v>
      </c>
      <c r="Y2" s="1699" t="s">
        <v>302</v>
      </c>
      <c r="AD2" s="1699" t="s">
        <v>301</v>
      </c>
      <c r="AE2" s="1699" t="s">
        <v>302</v>
      </c>
      <c r="AJ2" s="1721"/>
      <c r="AK2" s="1721"/>
      <c r="AL2" s="1721"/>
      <c r="AM2" s="1721"/>
      <c r="AN2" s="1721"/>
      <c r="AO2" s="1721"/>
      <c r="AP2" s="1721"/>
      <c r="AQ2" s="1721"/>
      <c r="AR2" s="1721"/>
      <c r="AS2" s="1721"/>
      <c r="AT2" s="1721"/>
      <c r="AU2" s="1721"/>
      <c r="AV2" s="1721"/>
      <c r="AW2" s="1721"/>
      <c r="AX2" s="1721"/>
      <c r="AY2" s="1721"/>
      <c r="AZ2" s="1721"/>
      <c r="BA2" s="1721"/>
      <c r="BB2" s="1721"/>
      <c r="BC2" s="1721"/>
      <c r="BD2" s="1721"/>
      <c r="BE2" s="1721"/>
      <c r="BF2" s="1721"/>
      <c r="BG2" s="1721"/>
      <c r="BH2" s="1721"/>
      <c r="BI2" s="1721"/>
      <c r="BJ2" s="1721"/>
      <c r="BK2" s="1721"/>
      <c r="BL2" s="1721"/>
      <c r="BM2" s="1699">
        <v>0</v>
      </c>
    </row>
    <row s="5829" customFormat="1" customHeight="1" ht="11.549999999999999">
      <c r="AJ3" s="1720"/>
      <c r="AK3" s="452"/>
      <c r="AL3" s="1720"/>
      <c r="AM3" s="1720"/>
      <c r="AN3" s="1720"/>
      <c r="AO3" s="1720"/>
      <c r="AP3" s="1720"/>
      <c r="AQ3" s="1720"/>
      <c r="AR3" s="1720"/>
      <c r="AS3" s="1720"/>
      <c r="AT3" s="1720"/>
      <c r="AU3" s="1720"/>
      <c r="AV3" s="1720"/>
      <c r="AW3" s="1720"/>
      <c r="AX3" s="1720"/>
      <c r="AY3" s="1720"/>
      <c r="AZ3" s="1720"/>
      <c r="BA3" s="1720"/>
      <c r="BB3" s="1720"/>
      <c r="BC3" s="1720"/>
      <c r="BD3" s="1720"/>
      <c r="BE3" s="1720"/>
      <c r="BF3" s="1720"/>
      <c r="BG3" s="1720"/>
      <c r="BH3" s="1720"/>
      <c r="BI3" s="1720"/>
      <c r="BJ3" s="1720"/>
      <c r="BK3" s="1720"/>
      <c r="BL3" s="1720"/>
      <c r="BM3" s="1700">
        <v>11</v>
      </c>
    </row>
    <row s="6055" customFormat="1" customHeight="1" ht="34.5">
      <c r="A4" s="1302"/>
      <c r="B4" s="1301"/>
      <c r="C4" s="1661"/>
      <c r="D4" s="2350" t="s">
        <v>304</v>
      </c>
      <c r="E4" s="2350"/>
      <c r="F4" s="2350"/>
      <c r="G4" s="2350"/>
      <c r="H4" s="2350"/>
      <c r="I4" s="2350"/>
      <c r="J4" s="2350"/>
      <c r="K4" s="845"/>
      <c r="T4" s="1701"/>
      <c r="AJ4" s="1722"/>
      <c r="AK4" s="1723"/>
      <c r="AL4" s="1722"/>
      <c r="AM4" s="1722"/>
      <c r="AN4" s="1722"/>
      <c r="AO4" s="1722"/>
      <c r="AP4" s="1722"/>
      <c r="AQ4" s="1722"/>
      <c r="AR4" s="1722"/>
      <c r="AS4" s="1722"/>
      <c r="AT4" s="1722"/>
      <c r="AU4" s="1722"/>
      <c r="AV4" s="1722"/>
      <c r="AW4" s="1722"/>
      <c r="AX4" s="1722"/>
      <c r="AY4" s="1722"/>
      <c r="AZ4" s="1722"/>
      <c r="BA4" s="1722"/>
      <c r="BB4" s="1722"/>
      <c r="BC4" s="1722"/>
      <c r="BD4" s="1722"/>
      <c r="BE4" s="1722"/>
      <c r="BF4" s="1722"/>
      <c r="BG4" s="1722"/>
      <c r="BH4" s="1722"/>
      <c r="BI4" s="1722"/>
      <c r="BJ4" s="1722"/>
      <c r="BK4" s="1722"/>
      <c r="BL4" s="1722"/>
      <c r="BM4" s="653">
        <v>33</v>
      </c>
    </row>
    <row s="6055" customFormat="1" customHeight="1" ht="14.699999999999998">
      <c r="A5" s="1778"/>
      <c r="B5" s="1777"/>
      <c r="C5" s="1661"/>
      <c r="D5" s="2335" t="str">
        <f>IF(org=0,"Не определено",org)</f>
        <v>ПАО "ТГК-14"</v>
      </c>
      <c r="E5" s="2335"/>
      <c r="F5" s="2335"/>
      <c r="G5" s="2335"/>
      <c r="H5" s="2335"/>
      <c r="I5" s="2335"/>
      <c r="J5" s="2335"/>
      <c r="K5" s="845"/>
      <c r="T5" s="1701"/>
      <c r="AJ5" s="1722"/>
      <c r="AK5" s="1723"/>
      <c r="AL5" s="1722"/>
      <c r="AM5" s="1722"/>
      <c r="AN5" s="1722"/>
      <c r="AO5" s="1722"/>
      <c r="AP5" s="1722"/>
      <c r="AQ5" s="1722"/>
      <c r="AR5" s="1722"/>
      <c r="AS5" s="1722"/>
      <c r="AT5" s="1722"/>
      <c r="AU5" s="1722"/>
      <c r="AV5" s="1722"/>
      <c r="AW5" s="1722"/>
      <c r="AX5" s="1722"/>
      <c r="AY5" s="1722"/>
      <c r="AZ5" s="1722"/>
      <c r="BA5" s="1722"/>
      <c r="BB5" s="1722"/>
      <c r="BC5" s="1722"/>
      <c r="BD5" s="1722"/>
      <c r="BE5" s="1722"/>
      <c r="BF5" s="1722"/>
      <c r="BG5" s="1722"/>
      <c r="BH5" s="1722"/>
      <c r="BI5" s="1722"/>
      <c r="BJ5" s="1722"/>
      <c r="BK5" s="1722"/>
      <c r="BL5" s="1722"/>
      <c r="BM5" s="1755">
        <v>14</v>
      </c>
    </row>
    <row s="6055" customFormat="1" customHeight="1" ht="14.699999999999998">
      <c r="A6" s="1302"/>
      <c r="B6" s="1301"/>
      <c r="C6" s="1661"/>
      <c r="D6" s="845"/>
      <c r="E6" s="845"/>
      <c r="F6" s="845"/>
      <c r="G6" s="845"/>
      <c r="H6" s="845"/>
      <c r="I6" s="845"/>
      <c r="J6" s="845"/>
      <c r="K6" s="845"/>
      <c r="T6" s="1701"/>
      <c r="AJ6" s="1722"/>
      <c r="AK6" s="1723"/>
      <c r="AL6" s="1722"/>
      <c r="AM6" s="1722"/>
      <c r="AN6" s="1722"/>
      <c r="AO6" s="1722"/>
      <c r="AP6" s="1722"/>
      <c r="AQ6" s="1722"/>
      <c r="AR6" s="1722"/>
      <c r="AS6" s="1722"/>
      <c r="AT6" s="1722"/>
      <c r="AU6" s="1722"/>
      <c r="AV6" s="1722"/>
      <c r="AW6" s="1722"/>
      <c r="AX6" s="1722"/>
      <c r="AY6" s="1722"/>
      <c r="AZ6" s="1722"/>
      <c r="BA6" s="1722"/>
      <c r="BB6" s="1722"/>
      <c r="BC6" s="1722"/>
      <c r="BD6" s="1722"/>
      <c r="BE6" s="1722"/>
      <c r="BF6" s="1722"/>
      <c r="BG6" s="1722"/>
      <c r="BH6" s="1722"/>
      <c r="BI6" s="1722"/>
      <c r="BJ6" s="1722"/>
      <c r="BK6" s="1722"/>
      <c r="BL6" s="1722"/>
      <c r="BM6" s="653">
        <v>14</v>
      </c>
    </row>
    <row s="7936" customFormat="1" customHeight="1" ht="1.05">
      <c r="AJ7" s="568"/>
      <c r="AK7" s="568"/>
      <c r="AL7" s="568"/>
      <c r="AM7" s="568"/>
      <c r="AN7" s="568"/>
      <c r="AO7" s="568"/>
      <c r="AP7" s="568"/>
      <c r="AQ7" s="568"/>
      <c r="AR7" s="568"/>
      <c r="AS7" s="568"/>
      <c r="AT7" s="568"/>
      <c r="AU7" s="568"/>
      <c r="AV7" s="568"/>
      <c r="AW7" s="568"/>
      <c r="AX7" s="568"/>
      <c r="AY7" s="568"/>
      <c r="AZ7" s="568"/>
      <c r="BA7" s="568"/>
      <c r="BB7" s="568"/>
      <c r="BC7" s="568"/>
      <c r="BD7" s="568"/>
      <c r="BE7" s="568"/>
      <c r="BF7" s="568"/>
      <c r="BG7" s="568"/>
      <c r="BH7" s="568"/>
      <c r="BI7" s="568"/>
      <c r="BJ7" s="568"/>
      <c r="BK7" s="568"/>
      <c r="BL7" s="568"/>
      <c r="BM7" s="565">
        <v>1</v>
      </c>
    </row>
    <row customHeight="1" ht="33.75">
      <c r="D8" s="2286" t="s">
        <v>89</v>
      </c>
      <c r="E8" s="2286" t="s">
        <v>117</v>
      </c>
      <c r="F8" s="2351" t="s">
        <v>146</v>
      </c>
      <c r="G8" s="2352"/>
      <c r="H8" s="2351" t="s">
        <v>89</v>
      </c>
      <c r="I8" s="2352"/>
      <c r="J8" s="2286" t="s">
        <v>147</v>
      </c>
      <c r="K8" s="1702"/>
      <c r="L8" s="2355" t="s">
        <v>305</v>
      </c>
      <c r="M8" s="2355"/>
      <c r="N8" s="2355"/>
      <c r="O8" s="2355"/>
      <c r="P8" s="2355"/>
      <c r="Q8" s="1703"/>
      <c r="R8" s="2255" t="s">
        <v>306</v>
      </c>
      <c r="S8" s="2356"/>
      <c r="T8" s="2356"/>
      <c r="U8" s="2356"/>
      <c r="V8" s="2356"/>
      <c r="W8" s="1703"/>
      <c r="X8" s="2357" t="s">
        <v>307</v>
      </c>
      <c r="Y8" s="2357"/>
      <c r="Z8" s="2357"/>
      <c r="AA8" s="2357"/>
      <c r="AB8" s="2357"/>
      <c r="AC8" s="1704"/>
      <c r="AD8" s="2286" t="s">
        <v>308</v>
      </c>
      <c r="AE8" s="2286"/>
      <c r="AF8" s="2286"/>
      <c r="AG8" s="2286"/>
      <c r="AH8" s="2260"/>
      <c r="AI8" s="2286" t="s">
        <v>309</v>
      </c>
      <c r="AJ8" s="1720"/>
      <c r="BM8" s="439">
        <v>32</v>
      </c>
    </row>
    <row customHeight="1" ht="23.25">
      <c r="D9" s="2286"/>
      <c r="E9" s="2286"/>
      <c r="F9" s="2334" t="s">
        <v>90</v>
      </c>
      <c r="G9" s="2334" t="s">
        <v>152</v>
      </c>
      <c r="H9" s="2353"/>
      <c r="I9" s="2354"/>
      <c r="J9" s="2260"/>
      <c r="K9" s="1705"/>
      <c r="L9" s="2286" t="s">
        <v>310</v>
      </c>
      <c r="M9" s="2260"/>
      <c r="N9" s="2351" t="s">
        <v>89</v>
      </c>
      <c r="O9" s="2352"/>
      <c r="P9" s="2286" t="s">
        <v>153</v>
      </c>
      <c r="Q9" s="1702"/>
      <c r="R9" s="2286" t="s">
        <v>310</v>
      </c>
      <c r="S9" s="2260"/>
      <c r="T9" s="2351" t="s">
        <v>89</v>
      </c>
      <c r="U9" s="2352"/>
      <c r="V9" s="2286" t="s">
        <v>153</v>
      </c>
      <c r="W9" s="1702"/>
      <c r="X9" s="2286" t="s">
        <v>310</v>
      </c>
      <c r="Y9" s="2260"/>
      <c r="Z9" s="2351" t="s">
        <v>89</v>
      </c>
      <c r="AA9" s="2352"/>
      <c r="AB9" s="2286" t="s">
        <v>311</v>
      </c>
      <c r="AC9" s="1702"/>
      <c r="AD9" s="2286" t="s">
        <v>310</v>
      </c>
      <c r="AE9" s="2260"/>
      <c r="AF9" s="2351" t="s">
        <v>89</v>
      </c>
      <c r="AG9" s="2352"/>
      <c r="AH9" s="2260" t="s">
        <v>311</v>
      </c>
      <c r="AI9" s="2286"/>
      <c r="AJ9" s="1720"/>
      <c r="BM9" s="439">
        <v>22</v>
      </c>
    </row>
    <row customHeight="1" ht="24">
      <c r="D10" s="2334"/>
      <c r="E10" s="2334"/>
      <c r="F10" s="2358"/>
      <c r="G10" s="2358"/>
      <c r="H10" s="2359"/>
      <c r="I10" s="2360"/>
      <c r="J10" s="2351"/>
      <c r="K10" s="1705"/>
      <c r="L10" s="1724" t="s">
        <v>312</v>
      </c>
      <c r="M10" s="1719" t="s">
        <v>313</v>
      </c>
      <c r="N10" s="2353"/>
      <c r="O10" s="2354"/>
      <c r="P10" s="2334"/>
      <c r="Q10" s="1702"/>
      <c r="R10" s="1724" t="s">
        <v>312</v>
      </c>
      <c r="S10" s="1719" t="s">
        <v>313</v>
      </c>
      <c r="T10" s="2353"/>
      <c r="U10" s="2354"/>
      <c r="V10" s="2334"/>
      <c r="W10" s="1702"/>
      <c r="X10" s="1724" t="s">
        <v>312</v>
      </c>
      <c r="Y10" s="1719" t="s">
        <v>313</v>
      </c>
      <c r="Z10" s="2353"/>
      <c r="AA10" s="2354"/>
      <c r="AB10" s="2334"/>
      <c r="AC10" s="1702"/>
      <c r="AD10" s="1724" t="s">
        <v>312</v>
      </c>
      <c r="AE10" s="1719" t="s">
        <v>313</v>
      </c>
      <c r="AF10" s="2353"/>
      <c r="AG10" s="2354"/>
      <c r="AH10" s="2351"/>
      <c r="AI10" s="2334"/>
      <c r="AJ10" s="1720"/>
      <c r="AK10" s="400" t="s">
        <v>314</v>
      </c>
      <c r="AL10" s="400" t="s">
        <v>154</v>
      </c>
      <c r="BM10" s="439">
        <v>23</v>
      </c>
    </row>
    <row customHeight="1" ht="15">
      <c r="D11" s="2342" t="s">
        <v>121</v>
      </c>
      <c r="E11" s="2338" t="s">
        <v>315</v>
      </c>
      <c r="F11" s="2338" t="s">
        <v>316</v>
      </c>
      <c r="G11" s="2344" t="s">
        <v>19</v>
      </c>
      <c r="H11" s="1745"/>
      <c r="I11" s="2340"/>
      <c r="J11" s="2311"/>
      <c r="K11" s="1660"/>
      <c r="L11" s="2296"/>
      <c r="M11" s="2296"/>
      <c r="N11" s="1730"/>
      <c r="O11" s="2296"/>
      <c r="P11" s="2311"/>
      <c r="Q11" s="1731"/>
      <c r="R11" s="2296"/>
      <c r="S11" s="2296"/>
      <c r="T11" s="1732"/>
      <c r="U11" s="2296"/>
      <c r="V11" s="2311"/>
      <c r="W11" s="1733"/>
      <c r="X11" s="2296"/>
      <c r="Y11" s="2296"/>
      <c r="Z11" s="1730"/>
      <c r="AA11" s="2296"/>
      <c r="AB11" s="2311"/>
      <c r="AC11" s="1734"/>
      <c r="AD11" s="2296"/>
      <c r="AE11" s="2296"/>
      <c r="AF11" s="1659"/>
      <c r="AG11" s="1659"/>
      <c r="AH11" s="1735"/>
      <c r="AI11" s="1442"/>
      <c r="AJ11" s="1720"/>
      <c r="BM11" s="439">
        <v>14</v>
      </c>
    </row>
    <row customHeight="1" ht="14.699999999999998">
      <c r="D12" s="2342"/>
      <c r="E12" s="2338"/>
      <c r="F12" s="2338"/>
      <c r="G12" s="2345"/>
      <c r="H12" s="1746"/>
      <c r="I12" s="2341"/>
      <c r="J12" s="2312"/>
      <c r="K12" s="1756"/>
      <c r="L12" s="2297"/>
      <c r="M12" s="2297"/>
      <c r="N12" s="1736"/>
      <c r="O12" s="2297"/>
      <c r="P12" s="2312"/>
      <c r="Q12" s="1737"/>
      <c r="R12" s="2297"/>
      <c r="S12" s="2297"/>
      <c r="T12" s="1738"/>
      <c r="U12" s="2297"/>
      <c r="V12" s="2312"/>
      <c r="W12" s="1739"/>
      <c r="X12" s="2297"/>
      <c r="Y12" s="2297"/>
      <c r="Z12" s="1736"/>
      <c r="AA12" s="2297"/>
      <c r="AB12" s="2312"/>
      <c r="AC12" s="1740"/>
      <c r="AD12" s="2297"/>
      <c r="AE12" s="2297"/>
      <c r="AF12" s="1741"/>
      <c r="AG12" s="1741"/>
      <c r="AH12" s="2336"/>
      <c r="AI12" s="2337"/>
      <c r="AJ12" s="1720"/>
      <c r="BM12" s="439">
        <v>14</v>
      </c>
    </row>
    <row customHeight="1" ht="14.699999999999998">
      <c r="D13" s="2342"/>
      <c r="E13" s="2338"/>
      <c r="F13" s="2338"/>
      <c r="G13" s="2345"/>
      <c r="H13" s="1746"/>
      <c r="I13" s="2341"/>
      <c r="J13" s="2312"/>
      <c r="K13" s="1756"/>
      <c r="L13" s="2297"/>
      <c r="M13" s="2297"/>
      <c r="N13" s="1736"/>
      <c r="O13" s="2297"/>
      <c r="P13" s="2312"/>
      <c r="Q13" s="1737"/>
      <c r="R13" s="2297"/>
      <c r="S13" s="2297"/>
      <c r="T13" s="1738"/>
      <c r="U13" s="2297"/>
      <c r="V13" s="2312"/>
      <c r="W13" s="1739"/>
      <c r="X13" s="2297"/>
      <c r="Y13" s="2297"/>
      <c r="Z13" s="1658"/>
      <c r="AA13" s="1741"/>
      <c r="AB13" s="2336"/>
      <c r="AC13" s="2336"/>
      <c r="AD13" s="2336"/>
      <c r="AE13" s="2336"/>
      <c r="AF13" s="2336"/>
      <c r="AG13" s="2336"/>
      <c r="AH13" s="2336"/>
      <c r="AI13" s="2337"/>
      <c r="AJ13" s="1720"/>
      <c r="BM13" s="439">
        <v>14</v>
      </c>
    </row>
    <row customHeight="1" ht="14.699999999999998">
      <c r="D14" s="2342"/>
      <c r="E14" s="2338"/>
      <c r="F14" s="2338"/>
      <c r="G14" s="2345"/>
      <c r="H14" s="1746"/>
      <c r="I14" s="2341"/>
      <c r="J14" s="2312"/>
      <c r="K14" s="1756"/>
      <c r="L14" s="2297"/>
      <c r="M14" s="2297"/>
      <c r="N14" s="1736"/>
      <c r="O14" s="2297"/>
      <c r="P14" s="2312"/>
      <c r="Q14" s="1737"/>
      <c r="R14" s="2297"/>
      <c r="S14" s="2297"/>
      <c r="T14" s="1742"/>
      <c r="U14" s="1743"/>
      <c r="V14" s="2336"/>
      <c r="W14" s="2336"/>
      <c r="X14" s="2336"/>
      <c r="Y14" s="2336"/>
      <c r="Z14" s="2336"/>
      <c r="AA14" s="2336"/>
      <c r="AB14" s="2336"/>
      <c r="AC14" s="2336"/>
      <c r="AD14" s="2336"/>
      <c r="AE14" s="2336"/>
      <c r="AF14" s="2336"/>
      <c r="AG14" s="2336"/>
      <c r="AH14" s="2336"/>
      <c r="AI14" s="2337"/>
      <c r="AJ14" s="1720"/>
      <c r="BM14" s="439">
        <v>14</v>
      </c>
    </row>
    <row customHeight="1" ht="11.549999999999999">
      <c r="D15" s="2342"/>
      <c r="E15" s="2338"/>
      <c r="F15" s="2338"/>
      <c r="G15" s="2345"/>
      <c r="H15" s="1747"/>
      <c r="I15" s="2341"/>
      <c r="J15" s="2312"/>
      <c r="K15" s="1756"/>
      <c r="L15" s="2297"/>
      <c r="M15" s="2297"/>
      <c r="N15" s="1741"/>
      <c r="O15" s="1741"/>
      <c r="P15" s="2336"/>
      <c r="Q15" s="2336"/>
      <c r="R15" s="2336"/>
      <c r="S15" s="2336"/>
      <c r="T15" s="2336"/>
      <c r="U15" s="2336"/>
      <c r="V15" s="2336"/>
      <c r="W15" s="2336"/>
      <c r="X15" s="2336"/>
      <c r="Y15" s="2336"/>
      <c r="Z15" s="2336"/>
      <c r="AA15" s="2336"/>
      <c r="AB15" s="2336"/>
      <c r="AC15" s="2336"/>
      <c r="AD15" s="2336"/>
      <c r="AE15" s="2336"/>
      <c r="AF15" s="2336"/>
      <c r="AG15" s="2336"/>
      <c r="AH15" s="2336"/>
      <c r="AI15" s="2337"/>
      <c r="AJ15" s="1720"/>
      <c r="BM15" s="439">
        <v>11</v>
      </c>
    </row>
    <row s="5829" customFormat="1" customHeight="1" ht="11.549999999999999">
      <c r="D16" s="2348"/>
      <c r="E16" s="2349"/>
      <c r="F16" s="2339"/>
      <c r="G16" s="2271"/>
      <c r="H16" s="1744"/>
      <c r="I16" s="1748"/>
      <c r="J16" s="2346"/>
      <c r="K16" s="2346"/>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7"/>
      <c r="AJ16" s="1720"/>
      <c r="AK16" s="452"/>
      <c r="AL16" s="1720"/>
      <c r="AM16" s="1720"/>
      <c r="AN16" s="1720"/>
      <c r="AO16" s="1720"/>
      <c r="AP16" s="1720"/>
      <c r="AQ16" s="1720"/>
      <c r="AR16" s="1720"/>
      <c r="AS16" s="1720"/>
      <c r="AT16" s="1720"/>
      <c r="AU16" s="1720"/>
      <c r="AV16" s="1720"/>
      <c r="AW16" s="1720"/>
      <c r="AX16" s="1720"/>
      <c r="AY16" s="1720"/>
      <c r="AZ16" s="1720"/>
      <c r="BA16" s="1720"/>
      <c r="BB16" s="1720"/>
      <c r="BC16" s="1720"/>
      <c r="BD16" s="1720"/>
      <c r="BE16" s="1720"/>
      <c r="BF16" s="1720"/>
      <c r="BG16" s="1720"/>
      <c r="BH16" s="1720"/>
      <c r="BI16" s="1720"/>
      <c r="BJ16" s="1720"/>
      <c r="BK16" s="1720"/>
      <c r="BL16" s="1720"/>
      <c r="BM16" s="1700">
        <v>11</v>
      </c>
    </row>
    <row customHeight="1" ht="15">
      <c r="D17" s="2342" t="s">
        <v>105</v>
      </c>
      <c r="E17" s="2338" t="s">
        <v>315</v>
      </c>
      <c r="F17" s="2338" t="s">
        <v>317</v>
      </c>
      <c r="G17" s="2344" t="s">
        <v>19</v>
      </c>
      <c r="H17" s="1745"/>
      <c r="I17" s="2340"/>
      <c r="J17" s="2311"/>
      <c r="K17" s="1660"/>
      <c r="L17" s="2296"/>
      <c r="M17" s="2296"/>
      <c r="N17" s="1730"/>
      <c r="O17" s="2296"/>
      <c r="P17" s="2311"/>
      <c r="Q17" s="1731"/>
      <c r="R17" s="2296"/>
      <c r="S17" s="2296"/>
      <c r="T17" s="1732"/>
      <c r="U17" s="2296"/>
      <c r="V17" s="2311"/>
      <c r="W17" s="1733"/>
      <c r="X17" s="2296"/>
      <c r="Y17" s="2296"/>
      <c r="Z17" s="1730"/>
      <c r="AA17" s="2296"/>
      <c r="AB17" s="2311"/>
      <c r="AC17" s="1734"/>
      <c r="AD17" s="2296"/>
      <c r="AE17" s="2296"/>
      <c r="AF17" s="1659"/>
      <c r="AG17" s="1659"/>
      <c r="AH17" s="1735"/>
      <c r="AI17" s="1442"/>
      <c r="AJ17" s="1720"/>
      <c r="BM17" s="439">
        <v>14</v>
      </c>
    </row>
    <row customHeight="1" ht="14.699999999999998">
      <c r="D18" s="2342"/>
      <c r="E18" s="2338"/>
      <c r="F18" s="2338"/>
      <c r="G18" s="2345"/>
      <c r="H18" s="1746"/>
      <c r="I18" s="2341"/>
      <c r="J18" s="2312"/>
      <c r="K18" s="1729"/>
      <c r="L18" s="2297"/>
      <c r="M18" s="2297"/>
      <c r="N18" s="1736"/>
      <c r="O18" s="2297"/>
      <c r="P18" s="2312"/>
      <c r="Q18" s="1737"/>
      <c r="R18" s="2297"/>
      <c r="S18" s="2297"/>
      <c r="T18" s="1738"/>
      <c r="U18" s="2297"/>
      <c r="V18" s="2312"/>
      <c r="W18" s="1739"/>
      <c r="X18" s="2297"/>
      <c r="Y18" s="2297"/>
      <c r="Z18" s="1736"/>
      <c r="AA18" s="2297"/>
      <c r="AB18" s="2312"/>
      <c r="AC18" s="1740"/>
      <c r="AD18" s="2297"/>
      <c r="AE18" s="2297"/>
      <c r="AF18" s="1741"/>
      <c r="AG18" s="1741"/>
      <c r="AH18" s="2336"/>
      <c r="AI18" s="2337"/>
      <c r="AJ18" s="1720"/>
      <c r="BM18" s="439">
        <v>14</v>
      </c>
    </row>
    <row customHeight="1" ht="14.699999999999998">
      <c r="D19" s="2342"/>
      <c r="E19" s="2338"/>
      <c r="F19" s="2338"/>
      <c r="G19" s="2345"/>
      <c r="H19" s="1746"/>
      <c r="I19" s="2341"/>
      <c r="J19" s="2312"/>
      <c r="K19" s="1729"/>
      <c r="L19" s="2297"/>
      <c r="M19" s="2297"/>
      <c r="N19" s="1736"/>
      <c r="O19" s="2297"/>
      <c r="P19" s="2312"/>
      <c r="Q19" s="1737"/>
      <c r="R19" s="2297"/>
      <c r="S19" s="2297"/>
      <c r="T19" s="1738"/>
      <c r="U19" s="2297"/>
      <c r="V19" s="2312"/>
      <c r="W19" s="1739"/>
      <c r="X19" s="2297"/>
      <c r="Y19" s="2297"/>
      <c r="Z19" s="1658"/>
      <c r="AA19" s="1741"/>
      <c r="AB19" s="2336"/>
      <c r="AC19" s="2336"/>
      <c r="AD19" s="2336"/>
      <c r="AE19" s="2336"/>
      <c r="AF19" s="2336"/>
      <c r="AG19" s="2336"/>
      <c r="AH19" s="2336"/>
      <c r="AI19" s="2337"/>
      <c r="AJ19" s="1720"/>
      <c r="BM19" s="439">
        <v>14</v>
      </c>
    </row>
    <row customHeight="1" ht="14.699999999999998">
      <c r="D20" s="2342"/>
      <c r="E20" s="2338"/>
      <c r="F20" s="2338"/>
      <c r="G20" s="2345"/>
      <c r="H20" s="1746"/>
      <c r="I20" s="2341"/>
      <c r="J20" s="2312"/>
      <c r="K20" s="1729"/>
      <c r="L20" s="2297"/>
      <c r="M20" s="2297"/>
      <c r="N20" s="1736"/>
      <c r="O20" s="2297"/>
      <c r="P20" s="2312"/>
      <c r="Q20" s="1737"/>
      <c r="R20" s="2297"/>
      <c r="S20" s="2297"/>
      <c r="T20" s="1742"/>
      <c r="U20" s="1743"/>
      <c r="V20" s="2336"/>
      <c r="W20" s="2336"/>
      <c r="X20" s="2336"/>
      <c r="Y20" s="2336"/>
      <c r="Z20" s="2336"/>
      <c r="AA20" s="2336"/>
      <c r="AB20" s="2336"/>
      <c r="AC20" s="2336"/>
      <c r="AD20" s="2336"/>
      <c r="AE20" s="2336"/>
      <c r="AF20" s="2336"/>
      <c r="AG20" s="2336"/>
      <c r="AH20" s="2336"/>
      <c r="AI20" s="2337"/>
      <c r="AJ20" s="1720"/>
      <c r="BM20" s="439">
        <v>14</v>
      </c>
    </row>
    <row customHeight="1" ht="11.549999999999999">
      <c r="D21" s="2342"/>
      <c r="E21" s="2338"/>
      <c r="F21" s="2338"/>
      <c r="G21" s="2345"/>
      <c r="H21" s="1747"/>
      <c r="I21" s="2341"/>
      <c r="J21" s="2312"/>
      <c r="K21" s="1729"/>
      <c r="L21" s="2297"/>
      <c r="M21" s="2297"/>
      <c r="N21" s="1741"/>
      <c r="O21" s="1741"/>
      <c r="P21" s="2336"/>
      <c r="Q21" s="2336"/>
      <c r="R21" s="2336"/>
      <c r="S21" s="2336"/>
      <c r="T21" s="2336"/>
      <c r="U21" s="2336"/>
      <c r="V21" s="2336"/>
      <c r="W21" s="2336"/>
      <c r="X21" s="2336"/>
      <c r="Y21" s="2336"/>
      <c r="Z21" s="2336"/>
      <c r="AA21" s="2336"/>
      <c r="AB21" s="2336"/>
      <c r="AC21" s="2336"/>
      <c r="AD21" s="2336"/>
      <c r="AE21" s="2336"/>
      <c r="AF21" s="2336"/>
      <c r="AG21" s="2336"/>
      <c r="AH21" s="2336"/>
      <c r="AI21" s="2337"/>
      <c r="AJ21" s="1720"/>
      <c r="BM21" s="439">
        <v>11</v>
      </c>
    </row>
    <row s="5829" customFormat="1" customHeight="1" ht="11.549999999999999">
      <c r="D22" s="2348"/>
      <c r="E22" s="2349"/>
      <c r="F22" s="2339"/>
      <c r="G22" s="2271"/>
      <c r="H22" s="1744"/>
      <c r="I22" s="1748"/>
      <c r="J22" s="2346"/>
      <c r="K22" s="2346"/>
      <c r="L22" s="2346"/>
      <c r="M22" s="2346"/>
      <c r="N22" s="2346"/>
      <c r="O22" s="2346"/>
      <c r="P22" s="2346"/>
      <c r="Q22" s="2346"/>
      <c r="R22" s="2346"/>
      <c r="S22" s="2346"/>
      <c r="T22" s="2346"/>
      <c r="U22" s="2346"/>
      <c r="V22" s="2346"/>
      <c r="W22" s="2346"/>
      <c r="X22" s="2346"/>
      <c r="Y22" s="2346"/>
      <c r="Z22" s="2346"/>
      <c r="AA22" s="2346"/>
      <c r="AB22" s="2346"/>
      <c r="AC22" s="2346"/>
      <c r="AD22" s="2346"/>
      <c r="AE22" s="2346"/>
      <c r="AF22" s="2346"/>
      <c r="AG22" s="2346"/>
      <c r="AH22" s="2346"/>
      <c r="AI22" s="2347"/>
      <c r="AJ22" s="1720"/>
      <c r="AK22" s="452"/>
      <c r="AL22" s="1720"/>
      <c r="AM22" s="1720"/>
      <c r="AN22" s="1720"/>
      <c r="AO22" s="1720"/>
      <c r="AP22" s="1720"/>
      <c r="AQ22" s="1720"/>
      <c r="AR22" s="1720"/>
      <c r="AS22" s="1720"/>
      <c r="AT22" s="1720"/>
      <c r="AU22" s="1720"/>
      <c r="AV22" s="1720"/>
      <c r="AW22" s="1720"/>
      <c r="AX22" s="1720"/>
      <c r="AY22" s="1720"/>
      <c r="AZ22" s="1720"/>
      <c r="BA22" s="1720"/>
      <c r="BB22" s="1720"/>
      <c r="BC22" s="1720"/>
      <c r="BD22" s="1720"/>
      <c r="BE22" s="1720"/>
      <c r="BF22" s="1720"/>
      <c r="BG22" s="1720"/>
      <c r="BH22" s="1720"/>
      <c r="BI22" s="1720"/>
      <c r="BJ22" s="1720"/>
      <c r="BK22" s="1720"/>
      <c r="BL22" s="1720"/>
      <c r="BM22" s="1700">
        <v>11</v>
      </c>
    </row>
    <row customHeight="1" ht="15">
      <c r="D23" s="2342" t="s">
        <v>91</v>
      </c>
      <c r="E23" s="2338" t="s">
        <v>315</v>
      </c>
      <c r="F23" s="2338" t="s">
        <v>318</v>
      </c>
      <c r="G23" s="2344" t="s">
        <v>19</v>
      </c>
      <c r="H23" s="1745"/>
      <c r="I23" s="2340"/>
      <c r="J23" s="2311"/>
      <c r="K23" s="1660"/>
      <c r="L23" s="2296"/>
      <c r="M23" s="2296"/>
      <c r="N23" s="1730"/>
      <c r="O23" s="2296"/>
      <c r="P23" s="2311"/>
      <c r="Q23" s="1731"/>
      <c r="R23" s="2296"/>
      <c r="S23" s="2296"/>
      <c r="T23" s="1732"/>
      <c r="U23" s="2296"/>
      <c r="V23" s="2311"/>
      <c r="W23" s="1733"/>
      <c r="X23" s="2296"/>
      <c r="Y23" s="2296"/>
      <c r="Z23" s="1730"/>
      <c r="AA23" s="2296"/>
      <c r="AB23" s="2311"/>
      <c r="AC23" s="1734"/>
      <c r="AD23" s="2296"/>
      <c r="AE23" s="2296"/>
      <c r="AF23" s="1659"/>
      <c r="AG23" s="1659"/>
      <c r="AH23" s="1735"/>
      <c r="AI23" s="1442"/>
      <c r="AJ23" s="1720"/>
      <c r="AK23" s="452" t="s">
        <v>99</v>
      </c>
      <c r="BM23" s="439">
        <v>14</v>
      </c>
    </row>
    <row customHeight="1" ht="14.699999999999998">
      <c r="D24" s="2342"/>
      <c r="E24" s="2338"/>
      <c r="F24" s="2338"/>
      <c r="G24" s="2345"/>
      <c r="H24" s="1746"/>
      <c r="I24" s="2341"/>
      <c r="J24" s="2312"/>
      <c r="K24" s="1756"/>
      <c r="L24" s="2297"/>
      <c r="M24" s="2297"/>
      <c r="N24" s="1736"/>
      <c r="O24" s="2297"/>
      <c r="P24" s="2312"/>
      <c r="Q24" s="1737"/>
      <c r="R24" s="2297"/>
      <c r="S24" s="2297"/>
      <c r="T24" s="1738"/>
      <c r="U24" s="2297"/>
      <c r="V24" s="2312"/>
      <c r="W24" s="1739"/>
      <c r="X24" s="2297"/>
      <c r="Y24" s="2297"/>
      <c r="Z24" s="1736"/>
      <c r="AA24" s="2297"/>
      <c r="AB24" s="2312"/>
      <c r="AC24" s="1740"/>
      <c r="AD24" s="2297"/>
      <c r="AE24" s="2297"/>
      <c r="AF24" s="1741"/>
      <c r="AG24" s="1741"/>
      <c r="AH24" s="2336"/>
      <c r="AI24" s="2337"/>
      <c r="AJ24" s="1720"/>
      <c r="BM24" s="439">
        <v>14</v>
      </c>
    </row>
    <row customHeight="1" ht="14.699999999999998">
      <c r="D25" s="2342"/>
      <c r="E25" s="2338"/>
      <c r="F25" s="2338"/>
      <c r="G25" s="2345"/>
      <c r="H25" s="1746"/>
      <c r="I25" s="2341"/>
      <c r="J25" s="2312"/>
      <c r="K25" s="1756"/>
      <c r="L25" s="2297"/>
      <c r="M25" s="2297"/>
      <c r="N25" s="1736"/>
      <c r="O25" s="2297"/>
      <c r="P25" s="2312"/>
      <c r="Q25" s="1737"/>
      <c r="R25" s="2297"/>
      <c r="S25" s="2297"/>
      <c r="T25" s="1738"/>
      <c r="U25" s="2297"/>
      <c r="V25" s="2312"/>
      <c r="W25" s="1739"/>
      <c r="X25" s="2297"/>
      <c r="Y25" s="2297"/>
      <c r="Z25" s="1658"/>
      <c r="AA25" s="1741"/>
      <c r="AB25" s="2336"/>
      <c r="AC25" s="2336"/>
      <c r="AD25" s="2336"/>
      <c r="AE25" s="2336"/>
      <c r="AF25" s="2336"/>
      <c r="AG25" s="2336"/>
      <c r="AH25" s="2336"/>
      <c r="AI25" s="2337"/>
      <c r="AJ25" s="1720"/>
      <c r="BM25" s="439">
        <v>14</v>
      </c>
    </row>
    <row customHeight="1" ht="14.699999999999998">
      <c r="D26" s="2342"/>
      <c r="E26" s="2338"/>
      <c r="F26" s="2338"/>
      <c r="G26" s="2345"/>
      <c r="H26" s="1746"/>
      <c r="I26" s="2341"/>
      <c r="J26" s="2312"/>
      <c r="K26" s="1756"/>
      <c r="L26" s="2297"/>
      <c r="M26" s="2297"/>
      <c r="N26" s="1736"/>
      <c r="O26" s="2297"/>
      <c r="P26" s="2312"/>
      <c r="Q26" s="1737"/>
      <c r="R26" s="2297"/>
      <c r="S26" s="2297"/>
      <c r="T26" s="1742"/>
      <c r="U26" s="1743"/>
      <c r="V26" s="2336"/>
      <c r="W26" s="2336"/>
      <c r="X26" s="2336"/>
      <c r="Y26" s="2336"/>
      <c r="Z26" s="2336"/>
      <c r="AA26" s="2336"/>
      <c r="AB26" s="2336"/>
      <c r="AC26" s="2336"/>
      <c r="AD26" s="2336"/>
      <c r="AE26" s="2336"/>
      <c r="AF26" s="2336"/>
      <c r="AG26" s="2336"/>
      <c r="AH26" s="2336"/>
      <c r="AI26" s="2337"/>
      <c r="AJ26" s="1720"/>
      <c r="BM26" s="439">
        <v>14</v>
      </c>
    </row>
    <row customHeight="1" ht="11.549999999999999">
      <c r="D27" s="2342"/>
      <c r="E27" s="2338"/>
      <c r="F27" s="2338"/>
      <c r="G27" s="2345"/>
      <c r="H27" s="1747"/>
      <c r="I27" s="2341"/>
      <c r="J27" s="2312"/>
      <c r="K27" s="1756"/>
      <c r="L27" s="2297"/>
      <c r="M27" s="2297"/>
      <c r="N27" s="1741"/>
      <c r="O27" s="1741"/>
      <c r="P27" s="2336"/>
      <c r="Q27" s="2336"/>
      <c r="R27" s="2336"/>
      <c r="S27" s="2336"/>
      <c r="T27" s="2336"/>
      <c r="U27" s="2336"/>
      <c r="V27" s="2336"/>
      <c r="W27" s="2336"/>
      <c r="X27" s="2336"/>
      <c r="Y27" s="2336"/>
      <c r="Z27" s="2336"/>
      <c r="AA27" s="2336"/>
      <c r="AB27" s="2336"/>
      <c r="AC27" s="2336"/>
      <c r="AD27" s="2336"/>
      <c r="AE27" s="2336"/>
      <c r="AF27" s="2336"/>
      <c r="AG27" s="2336"/>
      <c r="AH27" s="2336"/>
      <c r="AI27" s="2337"/>
      <c r="AJ27" s="1720"/>
      <c r="BM27" s="439">
        <v>11</v>
      </c>
    </row>
    <row s="5829" customFormat="1" customHeight="1" ht="11.549999999999999">
      <c r="D28" s="2348"/>
      <c r="E28" s="2349"/>
      <c r="F28" s="2339"/>
      <c r="G28" s="2271"/>
      <c r="H28" s="1744"/>
      <c r="I28" s="1748"/>
      <c r="J28" s="2346"/>
      <c r="K28" s="2346"/>
      <c r="L28" s="2346"/>
      <c r="M28" s="2346"/>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7"/>
      <c r="AJ28" s="1720"/>
      <c r="AK28" s="452"/>
      <c r="AL28" s="1720"/>
      <c r="AM28" s="1720"/>
      <c r="AN28" s="1720"/>
      <c r="AO28" s="1720"/>
      <c r="AP28" s="1720"/>
      <c r="AQ28" s="1720"/>
      <c r="AR28" s="1720"/>
      <c r="AS28" s="1720"/>
      <c r="AT28" s="1720"/>
      <c r="AU28" s="1720"/>
      <c r="AV28" s="1720"/>
      <c r="AW28" s="1720"/>
      <c r="AX28" s="1720"/>
      <c r="AY28" s="1720"/>
      <c r="AZ28" s="1720"/>
      <c r="BA28" s="1720"/>
      <c r="BB28" s="1720"/>
      <c r="BC28" s="1720"/>
      <c r="BD28" s="1720"/>
      <c r="BE28" s="1720"/>
      <c r="BF28" s="1720"/>
      <c r="BG28" s="1720"/>
      <c r="BH28" s="1720"/>
      <c r="BI28" s="1720"/>
      <c r="BJ28" s="1720"/>
      <c r="BK28" s="1720"/>
      <c r="BL28" s="1720"/>
      <c r="BM28" s="1700">
        <v>11</v>
      </c>
    </row>
    <row customHeight="1" ht="15">
      <c r="D29" s="2342" t="s">
        <v>92</v>
      </c>
      <c r="E29" s="2338" t="s">
        <v>315</v>
      </c>
      <c r="F29" s="2338" t="s">
        <v>319</v>
      </c>
      <c r="G29" s="2344" t="s">
        <v>19</v>
      </c>
      <c r="H29" s="1745"/>
      <c r="I29" s="2340"/>
      <c r="J29" s="2311"/>
      <c r="K29" s="1660"/>
      <c r="L29" s="2296"/>
      <c r="M29" s="2296"/>
      <c r="N29" s="1730"/>
      <c r="O29" s="2296"/>
      <c r="P29" s="2311"/>
      <c r="Q29" s="1731"/>
      <c r="R29" s="2296"/>
      <c r="S29" s="2296"/>
      <c r="T29" s="1732"/>
      <c r="U29" s="2296"/>
      <c r="V29" s="2311"/>
      <c r="W29" s="1733"/>
      <c r="X29" s="2296"/>
      <c r="Y29" s="2296"/>
      <c r="Z29" s="1730"/>
      <c r="AA29" s="2296"/>
      <c r="AB29" s="2311"/>
      <c r="AC29" s="1734"/>
      <c r="AD29" s="2296"/>
      <c r="AE29" s="2296"/>
      <c r="AF29" s="1659"/>
      <c r="AG29" s="1659"/>
      <c r="AH29" s="1735"/>
      <c r="AI29" s="1442"/>
      <c r="AJ29" s="1720"/>
      <c r="BM29" s="439">
        <v>14</v>
      </c>
    </row>
    <row customHeight="1" ht="14.699999999999998">
      <c r="D30" s="2342"/>
      <c r="E30" s="2338"/>
      <c r="F30" s="2338"/>
      <c r="G30" s="2345"/>
      <c r="H30" s="1746"/>
      <c r="I30" s="2341"/>
      <c r="J30" s="2312"/>
      <c r="K30" s="1729"/>
      <c r="L30" s="2297"/>
      <c r="M30" s="2297"/>
      <c r="N30" s="1736"/>
      <c r="O30" s="2297"/>
      <c r="P30" s="2312"/>
      <c r="Q30" s="1737"/>
      <c r="R30" s="2297"/>
      <c r="S30" s="2297"/>
      <c r="T30" s="1738"/>
      <c r="U30" s="2297"/>
      <c r="V30" s="2312"/>
      <c r="W30" s="1739"/>
      <c r="X30" s="2297"/>
      <c r="Y30" s="2297"/>
      <c r="Z30" s="1736"/>
      <c r="AA30" s="2297"/>
      <c r="AB30" s="2312"/>
      <c r="AC30" s="1740"/>
      <c r="AD30" s="2297"/>
      <c r="AE30" s="2297"/>
      <c r="AF30" s="1741"/>
      <c r="AG30" s="1741"/>
      <c r="AH30" s="2336"/>
      <c r="AI30" s="2337"/>
      <c r="AJ30" s="1720"/>
      <c r="BM30" s="439">
        <v>14</v>
      </c>
    </row>
    <row customHeight="1" ht="14.699999999999998">
      <c r="D31" s="2342"/>
      <c r="E31" s="2338"/>
      <c r="F31" s="2338"/>
      <c r="G31" s="2345"/>
      <c r="H31" s="1746"/>
      <c r="I31" s="2341"/>
      <c r="J31" s="2312"/>
      <c r="K31" s="1729"/>
      <c r="L31" s="2297"/>
      <c r="M31" s="2297"/>
      <c r="N31" s="1736"/>
      <c r="O31" s="2297"/>
      <c r="P31" s="2312"/>
      <c r="Q31" s="1737"/>
      <c r="R31" s="2297"/>
      <c r="S31" s="2297"/>
      <c r="T31" s="1738"/>
      <c r="U31" s="2297"/>
      <c r="V31" s="2312"/>
      <c r="W31" s="1739"/>
      <c r="X31" s="2297"/>
      <c r="Y31" s="2297"/>
      <c r="Z31" s="1658"/>
      <c r="AA31" s="1741"/>
      <c r="AB31" s="2336"/>
      <c r="AC31" s="2336"/>
      <c r="AD31" s="2336"/>
      <c r="AE31" s="2336"/>
      <c r="AF31" s="2336"/>
      <c r="AG31" s="2336"/>
      <c r="AH31" s="2336"/>
      <c r="AI31" s="2337"/>
      <c r="AJ31" s="1720"/>
      <c r="BM31" s="439">
        <v>14</v>
      </c>
    </row>
    <row customHeight="1" ht="14.699999999999998">
      <c r="D32" s="2342"/>
      <c r="E32" s="2338"/>
      <c r="F32" s="2338"/>
      <c r="G32" s="2345"/>
      <c r="H32" s="1746"/>
      <c r="I32" s="2341"/>
      <c r="J32" s="2312"/>
      <c r="K32" s="1729"/>
      <c r="L32" s="2297"/>
      <c r="M32" s="2297"/>
      <c r="N32" s="1736"/>
      <c r="O32" s="2297"/>
      <c r="P32" s="2312"/>
      <c r="Q32" s="1737"/>
      <c r="R32" s="2297"/>
      <c r="S32" s="2297"/>
      <c r="T32" s="1742"/>
      <c r="U32" s="1743"/>
      <c r="V32" s="2336"/>
      <c r="W32" s="2336"/>
      <c r="X32" s="2336"/>
      <c r="Y32" s="2336"/>
      <c r="Z32" s="2336"/>
      <c r="AA32" s="2336"/>
      <c r="AB32" s="2336"/>
      <c r="AC32" s="2336"/>
      <c r="AD32" s="2336"/>
      <c r="AE32" s="2336"/>
      <c r="AF32" s="2336"/>
      <c r="AG32" s="2336"/>
      <c r="AH32" s="2336"/>
      <c r="AI32" s="2337"/>
      <c r="AJ32" s="1720"/>
      <c r="BM32" s="439">
        <v>14</v>
      </c>
    </row>
    <row customHeight="1" ht="11.549999999999999">
      <c r="D33" s="2342"/>
      <c r="E33" s="2338"/>
      <c r="F33" s="2338"/>
      <c r="G33" s="2345"/>
      <c r="H33" s="1747"/>
      <c r="I33" s="2341"/>
      <c r="J33" s="2312"/>
      <c r="K33" s="1729"/>
      <c r="L33" s="2297"/>
      <c r="M33" s="2297"/>
      <c r="N33" s="1741"/>
      <c r="O33" s="1741"/>
      <c r="P33" s="2336"/>
      <c r="Q33" s="2336"/>
      <c r="R33" s="2336"/>
      <c r="S33" s="2336"/>
      <c r="T33" s="2336"/>
      <c r="U33" s="2336"/>
      <c r="V33" s="2336"/>
      <c r="W33" s="2336"/>
      <c r="X33" s="2336"/>
      <c r="Y33" s="2336"/>
      <c r="Z33" s="2336"/>
      <c r="AA33" s="2336"/>
      <c r="AB33" s="2336"/>
      <c r="AC33" s="2336"/>
      <c r="AD33" s="2336"/>
      <c r="AE33" s="2336"/>
      <c r="AF33" s="2336"/>
      <c r="AG33" s="2336"/>
      <c r="AH33" s="2336"/>
      <c r="AI33" s="2337"/>
      <c r="AJ33" s="1720"/>
      <c r="BM33" s="439">
        <v>11</v>
      </c>
    </row>
    <row s="5829" customFormat="1" customHeight="1" ht="11.549999999999999">
      <c r="D34" s="2348"/>
      <c r="E34" s="2349"/>
      <c r="F34" s="2339"/>
      <c r="G34" s="2271"/>
      <c r="H34" s="1744"/>
      <c r="I34" s="1748"/>
      <c r="J34" s="2346"/>
      <c r="K34" s="2346"/>
      <c r="L34" s="2346"/>
      <c r="M34" s="2346"/>
      <c r="N34" s="2346"/>
      <c r="O34" s="2346"/>
      <c r="P34" s="2346"/>
      <c r="Q34" s="2346"/>
      <c r="R34" s="2346"/>
      <c r="S34" s="2346"/>
      <c r="T34" s="2346"/>
      <c r="U34" s="2346"/>
      <c r="V34" s="2346"/>
      <c r="W34" s="2346"/>
      <c r="X34" s="2346"/>
      <c r="Y34" s="2346"/>
      <c r="Z34" s="2346"/>
      <c r="AA34" s="2346"/>
      <c r="AB34" s="2346"/>
      <c r="AC34" s="2346"/>
      <c r="AD34" s="2346"/>
      <c r="AE34" s="2346"/>
      <c r="AF34" s="2346"/>
      <c r="AG34" s="2346"/>
      <c r="AH34" s="2346"/>
      <c r="AI34" s="2347"/>
      <c r="AJ34" s="1720"/>
      <c r="AK34" s="452"/>
      <c r="AL34" s="1720"/>
      <c r="AM34" s="1720"/>
      <c r="AN34" s="1720"/>
      <c r="AO34" s="1720"/>
      <c r="AP34" s="1720"/>
      <c r="AQ34" s="1720"/>
      <c r="AR34" s="1720"/>
      <c r="AS34" s="1720"/>
      <c r="AT34" s="1720"/>
      <c r="AU34" s="1720"/>
      <c r="AV34" s="1720"/>
      <c r="AW34" s="1720"/>
      <c r="AX34" s="1720"/>
      <c r="AY34" s="1720"/>
      <c r="AZ34" s="1720"/>
      <c r="BA34" s="1720"/>
      <c r="BB34" s="1720"/>
      <c r="BC34" s="1720"/>
      <c r="BD34" s="1720"/>
      <c r="BE34" s="1720"/>
      <c r="BF34" s="1720"/>
      <c r="BG34" s="1720"/>
      <c r="BH34" s="1720"/>
      <c r="BI34" s="1720"/>
      <c r="BJ34" s="1720"/>
      <c r="BK34" s="1720"/>
      <c r="BL34" s="1720"/>
      <c r="BM34" s="1700">
        <v>11</v>
      </c>
    </row>
    <row customHeight="1" ht="15">
      <c r="D35" s="2342" t="s">
        <v>122</v>
      </c>
      <c r="E35" s="2338" t="s">
        <v>315</v>
      </c>
      <c r="F35" s="2338" t="s">
        <v>320</v>
      </c>
      <c r="G35" s="2344" t="s">
        <v>19</v>
      </c>
      <c r="H35" s="1745"/>
      <c r="I35" s="2340"/>
      <c r="J35" s="2311"/>
      <c r="K35" s="1660"/>
      <c r="L35" s="2296"/>
      <c r="M35" s="2296"/>
      <c r="N35" s="1730"/>
      <c r="O35" s="2296"/>
      <c r="P35" s="2311"/>
      <c r="Q35" s="1731"/>
      <c r="R35" s="2296"/>
      <c r="S35" s="2296"/>
      <c r="T35" s="1732"/>
      <c r="U35" s="2296"/>
      <c r="V35" s="2311"/>
      <c r="W35" s="1733"/>
      <c r="X35" s="2296"/>
      <c r="Y35" s="2296"/>
      <c r="Z35" s="1730"/>
      <c r="AA35" s="2296"/>
      <c r="AB35" s="2311"/>
      <c r="AC35" s="1734"/>
      <c r="AD35" s="2296"/>
      <c r="AE35" s="2296"/>
      <c r="AF35" s="1659"/>
      <c r="AG35" s="1659"/>
      <c r="AH35" s="1735"/>
      <c r="AI35" s="1442"/>
      <c r="AJ35" s="1720"/>
      <c r="BM35" s="439">
        <v>14</v>
      </c>
    </row>
    <row customHeight="1" ht="14.699999999999998">
      <c r="D36" s="2342"/>
      <c r="E36" s="2338"/>
      <c r="F36" s="2338"/>
      <c r="G36" s="2345"/>
      <c r="H36" s="1746"/>
      <c r="I36" s="2341"/>
      <c r="J36" s="2312"/>
      <c r="K36" s="1729"/>
      <c r="L36" s="2297"/>
      <c r="M36" s="2297"/>
      <c r="N36" s="1736"/>
      <c r="O36" s="2297"/>
      <c r="P36" s="2312"/>
      <c r="Q36" s="1737"/>
      <c r="R36" s="2297"/>
      <c r="S36" s="2297"/>
      <c r="T36" s="1738"/>
      <c r="U36" s="2297"/>
      <c r="V36" s="2312"/>
      <c r="W36" s="1739"/>
      <c r="X36" s="2297"/>
      <c r="Y36" s="2297"/>
      <c r="Z36" s="1736"/>
      <c r="AA36" s="2297"/>
      <c r="AB36" s="2312"/>
      <c r="AC36" s="1740"/>
      <c r="AD36" s="2297"/>
      <c r="AE36" s="2297"/>
      <c r="AF36" s="1741"/>
      <c r="AG36" s="1741"/>
      <c r="AH36" s="2336"/>
      <c r="AI36" s="2337"/>
      <c r="AJ36" s="1720"/>
      <c r="BM36" s="439">
        <v>14</v>
      </c>
    </row>
    <row customHeight="1" ht="14.699999999999998">
      <c r="D37" s="2342"/>
      <c r="E37" s="2338"/>
      <c r="F37" s="2338"/>
      <c r="G37" s="2345"/>
      <c r="H37" s="1746"/>
      <c r="I37" s="2341"/>
      <c r="J37" s="2312"/>
      <c r="K37" s="1729"/>
      <c r="L37" s="2297"/>
      <c r="M37" s="2297"/>
      <c r="N37" s="1736"/>
      <c r="O37" s="2297"/>
      <c r="P37" s="2312"/>
      <c r="Q37" s="1737"/>
      <c r="R37" s="2297"/>
      <c r="S37" s="2297"/>
      <c r="T37" s="1738"/>
      <c r="U37" s="2297"/>
      <c r="V37" s="2312"/>
      <c r="W37" s="1739"/>
      <c r="X37" s="2297"/>
      <c r="Y37" s="2297"/>
      <c r="Z37" s="1658"/>
      <c r="AA37" s="1741"/>
      <c r="AB37" s="2336"/>
      <c r="AC37" s="2336"/>
      <c r="AD37" s="2336"/>
      <c r="AE37" s="2336"/>
      <c r="AF37" s="2336"/>
      <c r="AG37" s="2336"/>
      <c r="AH37" s="2336"/>
      <c r="AI37" s="2337"/>
      <c r="AJ37" s="1720"/>
      <c r="BM37" s="439">
        <v>14</v>
      </c>
    </row>
    <row customHeight="1" ht="14.699999999999998">
      <c r="D38" s="2342"/>
      <c r="E38" s="2338"/>
      <c r="F38" s="2338"/>
      <c r="G38" s="2345"/>
      <c r="H38" s="1746"/>
      <c r="I38" s="2341"/>
      <c r="J38" s="2312"/>
      <c r="K38" s="1729"/>
      <c r="L38" s="2297"/>
      <c r="M38" s="2297"/>
      <c r="N38" s="1736"/>
      <c r="O38" s="2297"/>
      <c r="P38" s="2312"/>
      <c r="Q38" s="1737"/>
      <c r="R38" s="2297"/>
      <c r="S38" s="2297"/>
      <c r="T38" s="1742"/>
      <c r="U38" s="1743"/>
      <c r="V38" s="2336"/>
      <c r="W38" s="2336"/>
      <c r="X38" s="2336"/>
      <c r="Y38" s="2336"/>
      <c r="Z38" s="2336"/>
      <c r="AA38" s="2336"/>
      <c r="AB38" s="2336"/>
      <c r="AC38" s="2336"/>
      <c r="AD38" s="2336"/>
      <c r="AE38" s="2336"/>
      <c r="AF38" s="2336"/>
      <c r="AG38" s="2336"/>
      <c r="AH38" s="2336"/>
      <c r="AI38" s="2337"/>
      <c r="AJ38" s="1720"/>
      <c r="BM38" s="439">
        <v>14</v>
      </c>
    </row>
    <row customHeight="1" ht="11.549999999999999">
      <c r="D39" s="2342"/>
      <c r="E39" s="2338"/>
      <c r="F39" s="2338"/>
      <c r="G39" s="2345"/>
      <c r="H39" s="1747"/>
      <c r="I39" s="2341"/>
      <c r="J39" s="2312"/>
      <c r="K39" s="1729"/>
      <c r="L39" s="2297"/>
      <c r="M39" s="2297"/>
      <c r="N39" s="1741"/>
      <c r="O39" s="1741"/>
      <c r="P39" s="2336"/>
      <c r="Q39" s="2336"/>
      <c r="R39" s="2336"/>
      <c r="S39" s="2336"/>
      <c r="T39" s="2336"/>
      <c r="U39" s="2336"/>
      <c r="V39" s="2336"/>
      <c r="W39" s="2336"/>
      <c r="X39" s="2336"/>
      <c r="Y39" s="2336"/>
      <c r="Z39" s="2336"/>
      <c r="AA39" s="2336"/>
      <c r="AB39" s="2336"/>
      <c r="AC39" s="2336"/>
      <c r="AD39" s="2336"/>
      <c r="AE39" s="2336"/>
      <c r="AF39" s="2336"/>
      <c r="AG39" s="2336"/>
      <c r="AH39" s="2336"/>
      <c r="AI39" s="2337"/>
      <c r="AJ39" s="1720"/>
      <c r="BM39" s="439">
        <v>11</v>
      </c>
    </row>
    <row s="5829" customFormat="1" customHeight="1" ht="11.549999999999999">
      <c r="D40" s="2342"/>
      <c r="E40" s="2338"/>
      <c r="F40" s="2343"/>
      <c r="G40" s="2271"/>
      <c r="H40" s="1744"/>
      <c r="I40" s="1748"/>
      <c r="J40" s="2346"/>
      <c r="K40" s="2346"/>
      <c r="L40" s="2346"/>
      <c r="M40" s="2346"/>
      <c r="N40" s="2346"/>
      <c r="O40" s="2346"/>
      <c r="P40" s="2346"/>
      <c r="Q40" s="2346"/>
      <c r="R40" s="2346"/>
      <c r="S40" s="2346"/>
      <c r="T40" s="2346"/>
      <c r="U40" s="2346"/>
      <c r="V40" s="2346"/>
      <c r="W40" s="2346"/>
      <c r="X40" s="2346"/>
      <c r="Y40" s="2346"/>
      <c r="Z40" s="2346"/>
      <c r="AA40" s="2346"/>
      <c r="AB40" s="2346"/>
      <c r="AC40" s="2346"/>
      <c r="AD40" s="2346"/>
      <c r="AE40" s="2346"/>
      <c r="AF40" s="2346"/>
      <c r="AG40" s="2346"/>
      <c r="AH40" s="2346"/>
      <c r="AI40" s="2347"/>
      <c r="AJ40" s="1720"/>
      <c r="AK40" s="452"/>
      <c r="AL40" s="1720"/>
      <c r="AM40" s="1720"/>
      <c r="AN40" s="1720"/>
      <c r="AO40" s="1720"/>
      <c r="AP40" s="1720"/>
      <c r="AQ40" s="1720"/>
      <c r="AR40" s="1720"/>
      <c r="AS40" s="1720"/>
      <c r="AT40" s="1720"/>
      <c r="AU40" s="1720"/>
      <c r="AV40" s="1720"/>
      <c r="AW40" s="1720"/>
      <c r="AX40" s="1720"/>
      <c r="AY40" s="1720"/>
      <c r="AZ40" s="1720"/>
      <c r="BA40" s="1720"/>
      <c r="BB40" s="1720"/>
      <c r="BC40" s="1720"/>
      <c r="BD40" s="1720"/>
      <c r="BE40" s="1720"/>
      <c r="BF40" s="1720"/>
      <c r="BG40" s="1720"/>
      <c r="BH40" s="1720"/>
      <c r="BI40" s="1720"/>
      <c r="BJ40" s="1720"/>
      <c r="BK40" s="1720"/>
      <c r="BL40" s="1720"/>
      <c r="BM40" s="1700">
        <v>11</v>
      </c>
    </row>
    <row customHeight="1" ht="11.549999999999999">
      <c r="AK41" s="569"/>
      <c r="BM41" s="439">
        <v>11</v>
      </c>
    </row>
    <row customHeight="1" ht="11.549999999999999">
      <c r="AK42" s="569"/>
      <c r="BM42" s="439">
        <v>11</v>
      </c>
    </row>
    <row customHeight="1" ht="11.549999999999999">
      <c r="AK43" s="569"/>
      <c r="BM43" s="439">
        <v>11</v>
      </c>
    </row>
    <row customHeight="1" ht="11.549999999999999">
      <c r="AK44" s="569"/>
      <c r="BM44" s="439">
        <v>11</v>
      </c>
    </row>
    <row customHeight="1" ht="11.549999999999999">
      <c r="AK45" s="569"/>
      <c r="BM45" s="439">
        <v>11</v>
      </c>
    </row>
    <row customHeight="1" ht="11.549999999999999">
      <c r="AK46" s="569"/>
      <c r="BM46" s="439">
        <v>11</v>
      </c>
    </row>
    <row customHeight="1" ht="11.549999999999999">
      <c r="AK47" s="569"/>
      <c r="BM47" s="439">
        <v>11</v>
      </c>
    </row>
    <row customHeight="1" ht="11.549999999999999">
      <c r="AK48" s="569"/>
      <c r="BM48" s="439">
        <v>11</v>
      </c>
    </row>
    <row customHeight="1" ht="11.549999999999999">
      <c r="AK49" s="569"/>
      <c r="BM49" s="439">
        <v>11</v>
      </c>
    </row>
    <row customHeight="1" ht="11.25" hidden="1">
      <c r="A50" s="439" t="s">
        <v>83</v>
      </c>
      <c r="B50" s="439">
        <v>0</v>
      </c>
      <c r="C50" s="439">
        <v>3</v>
      </c>
      <c r="D50" s="439">
        <v>3</v>
      </c>
      <c r="E50" s="439">
        <v>15</v>
      </c>
      <c r="F50" s="439">
        <v>15</v>
      </c>
      <c r="G50" s="439">
        <v>11</v>
      </c>
      <c r="H50" s="439">
        <v>3</v>
      </c>
      <c r="I50" s="439">
        <v>3</v>
      </c>
      <c r="J50" s="439">
        <v>12</v>
      </c>
      <c r="K50" s="439">
        <v>0</v>
      </c>
      <c r="L50" s="439">
        <v>10</v>
      </c>
      <c r="M50" s="439">
        <v>10</v>
      </c>
      <c r="N50" s="439">
        <v>3</v>
      </c>
      <c r="O50" s="439">
        <v>3</v>
      </c>
      <c r="P50" s="439">
        <v>19</v>
      </c>
      <c r="Q50" s="439">
        <v>0</v>
      </c>
      <c r="R50" s="439">
        <v>10</v>
      </c>
      <c r="S50" s="439">
        <v>10</v>
      </c>
      <c r="T50" s="439">
        <v>3</v>
      </c>
      <c r="U50" s="439">
        <v>3</v>
      </c>
      <c r="V50" s="439">
        <v>25</v>
      </c>
      <c r="W50" s="439">
        <v>0</v>
      </c>
      <c r="X50" s="439">
        <v>10</v>
      </c>
      <c r="Y50" s="439">
        <v>10</v>
      </c>
      <c r="Z50" s="439">
        <v>3</v>
      </c>
      <c r="AA50" s="439">
        <v>3</v>
      </c>
      <c r="AB50" s="439">
        <v>16</v>
      </c>
      <c r="AC50" s="439">
        <v>0</v>
      </c>
      <c r="AD50" s="439">
        <v>10</v>
      </c>
      <c r="AE50" s="439">
        <v>10</v>
      </c>
      <c r="AF50" s="439">
        <v>3</v>
      </c>
      <c r="AG50" s="439">
        <v>3</v>
      </c>
      <c r="AH50" s="439">
        <v>8</v>
      </c>
      <c r="AI50" s="439">
        <v>21</v>
      </c>
      <c r="AJ50" s="569">
        <v>8</v>
      </c>
      <c r="AK50" s="452">
        <v>8</v>
      </c>
      <c r="AL50" s="569">
        <v>8</v>
      </c>
      <c r="AM50" s="569">
        <v>8</v>
      </c>
      <c r="AN50" s="569">
        <v>8</v>
      </c>
      <c r="AO50" s="569">
        <v>8</v>
      </c>
      <c r="AP50" s="569">
        <v>8</v>
      </c>
      <c r="AQ50" s="569">
        <v>8</v>
      </c>
      <c r="AR50" s="569">
        <v>8</v>
      </c>
      <c r="AS50" s="569">
        <v>8</v>
      </c>
      <c r="AT50" s="569">
        <v>8</v>
      </c>
      <c r="AU50" s="569">
        <v>8</v>
      </c>
      <c r="AV50" s="569">
        <v>8</v>
      </c>
      <c r="AW50" s="569">
        <v>8</v>
      </c>
      <c r="AX50" s="569">
        <v>8</v>
      </c>
      <c r="AY50" s="569">
        <v>8</v>
      </c>
      <c r="AZ50" s="569">
        <v>8</v>
      </c>
      <c r="BA50" s="569">
        <v>8</v>
      </c>
      <c r="BB50" s="569">
        <v>8</v>
      </c>
      <c r="BC50" s="569">
        <v>8</v>
      </c>
      <c r="BD50" s="569">
        <v>8</v>
      </c>
      <c r="BE50" s="569">
        <v>8</v>
      </c>
      <c r="BF50" s="569">
        <v>8</v>
      </c>
      <c r="BG50" s="569">
        <v>8</v>
      </c>
      <c r="BH50" s="569">
        <v>8</v>
      </c>
      <c r="BI50" s="569">
        <v>8</v>
      </c>
      <c r="BJ50" s="569">
        <v>8</v>
      </c>
      <c r="BK50" s="569">
        <v>8</v>
      </c>
      <c r="BL50" s="569">
        <v>8</v>
      </c>
      <c r="BM50" s="439">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BE440A-1BC3-8B76-D70A-0.8B95236C}"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7976" width="1.7109375" customWidth="1"/>
    <col min="2" max="2" style="7976" width="34.57421875" customWidth="1"/>
    <col min="3" max="3" style="7976" width="85.00390625" customWidth="1"/>
    <col min="4" max="4" style="7976" width="17.00390625" customWidth="1"/>
    <col min="5" max="5" style="7976" width="8.00390625" customWidth="1"/>
    <col min="6" max="6" style="7976" width="9.140625" hidden="1"/>
  </cols>
  <sheetData>
    <row customHeight="1" ht="3">
      <c r="F1" s="235" t="s">
        <v>14</v>
      </c>
    </row>
    <row customHeight="1" ht="22.5">
      <c r="B2" s="2773" t="s">
        <v>2193</v>
      </c>
      <c r="C2" s="2659"/>
      <c r="D2" s="2659"/>
      <c r="E2" s="414"/>
      <c r="F2" s="235">
        <v>22</v>
      </c>
    </row>
    <row customHeight="1" ht="3">
      <c r="F3" s="235">
        <v>3</v>
      </c>
    </row>
    <row customHeight="1" ht="23.25">
      <c r="B4" s="2774" t="s">
        <v>2194</v>
      </c>
      <c r="C4" s="529" t="s">
        <v>2195</v>
      </c>
      <c r="D4" s="529" t="s">
        <v>2196</v>
      </c>
      <c r="F4" s="235">
        <v>22</v>
      </c>
    </row>
    <row customHeight="1" ht="11.25" hidden="1">
      <c r="A5" s="235" t="s">
        <v>83</v>
      </c>
      <c r="B5" s="235">
        <v>34</v>
      </c>
      <c r="C5" s="235">
        <v>85</v>
      </c>
      <c r="D5" s="235">
        <v>17</v>
      </c>
      <c r="E5" s="235">
        <v>8</v>
      </c>
      <c r="F5" s="235">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4BEFE1-51A9-A7CC-0E71-0.E5A1242}"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7976" width="26.57421875" customWidth="1"/>
    <col min="2" max="2" style="7976" width="10.00390625" customWidth="1"/>
    <col min="3" max="3" style="7976" width="9.140625"/>
    <col min="4" max="4" style="7976" width="11.140625" customWidth="1"/>
    <col min="5" max="5" style="7976" width="16.57421875" customWidth="1"/>
    <col min="6" max="6" style="7976" width="16.28125" customWidth="1"/>
    <col min="7" max="7" style="7976" width="19.140625" customWidth="1"/>
    <col min="8" max="11" style="7976" width="10.00390625" customWidth="1"/>
    <col min="12" max="12" style="7976" width="12.7109375" customWidth="1"/>
    <col min="13" max="13" style="7976" width="61.28125" customWidth="1"/>
    <col min="14" max="14" style="7976" width="10.00390625" customWidth="1"/>
    <col min="15" max="17" style="7976" width="23.7109375" customWidth="1"/>
    <col min="18" max="18" style="7976" width="11.7109375" customWidth="1"/>
    <col min="19" max="19" style="7976" width="8.57421875" customWidth="1"/>
    <col min="20" max="20" style="7976" width="11.7109375" customWidth="1"/>
    <col min="21" max="21" style="7976" width="8.57421875" customWidth="1"/>
    <col min="22" max="22" style="7976" width="4.7109375" customWidth="1"/>
    <col min="23" max="23" style="7976" width="115.7109375" customWidth="1"/>
    <col min="24" max="24" style="7976" width="115.28125" customWidth="1"/>
    <col min="25" max="27" style="7976" width="9.140625"/>
    <col min="28" max="28" style="7976" width="115.7109375" customWidth="1"/>
    <col min="29" max="29" style="7976" width="9.140625"/>
    <col min="30" max="90" style="7976" width="115.7109375" customWidth="1"/>
    <col min="91" max="184" style="7976" width="9.140625"/>
  </cols>
  <sheetData>
    <row r="2" s="7537" customFormat="1" customHeight="1" ht="17.25">
      <c r="A2" s="1960" t="s">
        <v>2197</v>
      </c>
    </row>
    <row r="4" s="7527" customFormat="1" customHeight="1" ht="15">
      <c r="C4" s="1961"/>
      <c r="D4" s="259"/>
      <c r="E4" s="523"/>
    </row>
    <row r="6" s="7537" customFormat="1" customHeight="1" ht="17.25">
      <c r="A6" s="1960" t="s">
        <v>2198</v>
      </c>
    </row>
    <row r="8" s="7527" customFormat="1" customHeight="1" ht="17.25">
      <c r="C8" s="1962"/>
      <c r="D8" s="259"/>
      <c r="E8" s="260"/>
    </row>
    <row r="11" s="7537" customFormat="1" customHeight="1" ht="17.25">
      <c r="A11" s="1960" t="s">
        <v>2199</v>
      </c>
    </row>
    <row r="13" s="6055" customFormat="1" customHeight="1" ht="15">
      <c r="A13" s="2376">
        <v>1</v>
      </c>
      <c r="B13" s="1306"/>
      <c r="C13" s="947" t="s">
        <v>106</v>
      </c>
      <c r="D13" s="1963"/>
      <c r="E13" s="1950">
        <f>A13</f>
        <v>1</v>
      </c>
      <c r="F13" s="950"/>
      <c r="G13" s="686" t="str">
        <f>"Территория "&amp;E13</f>
        <v>Территория 1</v>
      </c>
      <c r="H13" s="938"/>
      <c r="I13" s="938"/>
      <c r="J13" s="935"/>
      <c r="K13" s="1770"/>
      <c r="L13" s="1770"/>
      <c r="M13" s="1770"/>
      <c r="N13" s="372"/>
      <c r="O13" s="1770"/>
      <c r="P13" s="371"/>
      <c r="Q13" s="371"/>
      <c r="R13" s="371"/>
      <c r="S13" s="371"/>
    </row>
    <row s="7976" customFormat="1" customHeight="1" ht="15">
      <c r="A14" s="2376"/>
      <c r="B14" s="1306">
        <v>1</v>
      </c>
      <c r="C14" s="1306"/>
      <c r="D14" s="946"/>
      <c r="E14" s="1958" t="str">
        <f>A13&amp;"."&amp;B14</f>
        <v>1.1</v>
      </c>
      <c r="F14" s="949">
        <f>$F$20</f>
        <v>0</v>
      </c>
      <c r="G14" s="939"/>
      <c r="H14" s="939"/>
      <c r="I14" s="937"/>
      <c r="J14" s="1770"/>
      <c r="K14" s="1782"/>
      <c r="L14" s="1782"/>
      <c r="M14" s="1770" t="str">
        <f t="array" ref="M14:M14">IF(ISERROR(MATCH(MID(N14,1,250),MID(note_ter,1,250),0)),"n","y")</f>
        <v>n</v>
      </c>
      <c r="N14" s="1782"/>
      <c r="O14" s="1770" t="str">
        <f>H14&amp;"("&amp;I14&amp;")"</f>
        <v>()</v>
      </c>
      <c r="P14" s="1306"/>
      <c r="Q14" s="1306"/>
      <c r="R14" s="566"/>
      <c r="S14" s="1306"/>
      <c r="T14" s="1306"/>
      <c r="U14" s="1306"/>
      <c r="V14" s="568"/>
      <c r="W14" s="568"/>
      <c r="X14" s="565"/>
      <c r="Y14" s="565"/>
      <c r="Z14" s="565"/>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8"/>
      <c r="BT14" s="568"/>
      <c r="BU14" s="568"/>
      <c r="BV14" s="568"/>
      <c r="BW14" s="568"/>
      <c r="BX14" s="568"/>
      <c r="BY14" s="568"/>
      <c r="BZ14" s="568"/>
      <c r="CA14" s="568"/>
      <c r="CB14" s="568"/>
    </row>
    <row s="7976" customFormat="1" customHeight="1" ht="15">
      <c r="A15" s="2376"/>
      <c r="B15" s="1306"/>
      <c r="C15" s="558"/>
      <c r="D15" s="947"/>
      <c r="E15" s="567"/>
      <c r="F15" s="323"/>
      <c r="G15" s="561" t="s">
        <v>104</v>
      </c>
      <c r="H15" s="333"/>
      <c r="I15" s="570"/>
      <c r="J15" s="1782"/>
      <c r="K15" s="1782"/>
      <c r="L15" s="1782"/>
      <c r="M15" s="1782"/>
      <c r="N15" s="1770"/>
      <c r="O15" s="1782"/>
      <c r="P15" s="1306"/>
      <c r="Q15" s="1306"/>
      <c r="R15" s="566"/>
      <c r="S15" s="1306"/>
      <c r="T15" s="1306"/>
      <c r="U15" s="1306"/>
      <c r="V15" s="568"/>
      <c r="W15" s="568"/>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8"/>
      <c r="BT15" s="568"/>
      <c r="BU15" s="568"/>
      <c r="BV15" s="568"/>
      <c r="BW15" s="568"/>
      <c r="BX15" s="568"/>
      <c r="BY15" s="568"/>
      <c r="BZ15" s="568"/>
      <c r="CA15" s="568"/>
      <c r="CB15" s="568"/>
    </row>
    <row r="17" s="7537" customFormat="1" customHeight="1" ht="17.25">
      <c r="A17" s="1960" t="s">
        <v>2200</v>
      </c>
    </row>
    <row r="19" s="7976" customFormat="1" customHeight="1" ht="15">
      <c r="A19" s="2025"/>
      <c r="B19" s="1512">
        <v>1</v>
      </c>
      <c r="C19" s="1512"/>
      <c r="D19" s="946" t="s">
        <v>106</v>
      </c>
      <c r="E19" s="2021"/>
      <c r="F19" s="2026">
        <f>$F$20</f>
        <v>0</v>
      </c>
      <c r="G19" s="2030"/>
      <c r="H19" s="2030"/>
      <c r="I19" s="2028"/>
      <c r="J19" s="1770"/>
      <c r="K19" s="1782"/>
      <c r="L19" s="1782"/>
      <c r="M19" s="1770" t="str">
        <f t="array" ref="M19:M19">IF(ISERROR(MATCH(MID(N19,1,250),MID(note_ter,1,250),0)),"n","y")</f>
        <v>n</v>
      </c>
      <c r="N19" s="1782"/>
      <c r="O19" s="1770" t="str">
        <f>H19&amp;"("&amp;I19&amp;")"</f>
        <v>()</v>
      </c>
      <c r="P19" s="1512"/>
      <c r="Q19" s="1512"/>
      <c r="R19" s="566"/>
      <c r="S19" s="1512"/>
      <c r="T19" s="1512"/>
      <c r="U19" s="1512"/>
      <c r="V19" s="979"/>
      <c r="W19" s="979"/>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979"/>
      <c r="BT19" s="979"/>
      <c r="BU19" s="979"/>
      <c r="BV19" s="979"/>
      <c r="BW19" s="979"/>
      <c r="BX19" s="979"/>
      <c r="BY19" s="979"/>
      <c r="BZ19" s="979"/>
      <c r="CA19" s="979"/>
      <c r="CB19" s="979"/>
    </row>
    <row r="21" s="7976" customFormat="1" customHeight="1" ht="15">
      <c r="A21" s="1960" t="s">
        <v>2201</v>
      </c>
      <c r="B21" s="1960"/>
      <c r="C21" s="1960"/>
      <c r="D21" s="1960"/>
      <c r="E21" s="1960"/>
      <c r="F21" s="1960"/>
      <c r="G21" s="1960"/>
      <c r="H21" s="1960"/>
      <c r="I21" s="1960"/>
      <c r="J21" s="1960"/>
      <c r="K21" s="1960"/>
      <c r="L21" s="1960"/>
      <c r="M21" s="1960"/>
      <c r="N21" s="1960"/>
      <c r="O21" s="1960"/>
      <c r="P21" s="1960"/>
      <c r="Q21" s="1960"/>
      <c r="R21" s="1960"/>
      <c r="S21" s="1960"/>
      <c r="T21" s="1960"/>
      <c r="U21" s="330"/>
      <c r="V21" s="1960"/>
      <c r="W21" s="1960"/>
    </row>
    <row s="7976" customFormat="1" customHeight="1" ht="15">
      <c r="U22" s="331"/>
    </row>
    <row s="7809" customFormat="1" customHeight="1" ht="15">
      <c r="A23" s="569"/>
      <c r="B23" s="569"/>
      <c r="C23" s="1873" t="s">
        <v>106</v>
      </c>
      <c r="D23" s="2267" t="s">
        <v>121</v>
      </c>
      <c r="E23" s="2268"/>
      <c r="F23" s="2266" t="s">
        <v>19</v>
      </c>
      <c r="G23" s="2716"/>
      <c r="H23" s="2286">
        <v>1</v>
      </c>
      <c r="I23" s="2718" t="str">
        <f>IF(U23="","",INDEX(TERRITORY_MR_LIST,MATCH(U23,TERRITORY_LIST_ID,0)))</f>
        <v/>
      </c>
      <c r="J23" s="2266" t="s">
        <v>19</v>
      </c>
      <c r="K23" s="978"/>
      <c r="L23" s="1927" t="s">
        <v>121</v>
      </c>
      <c r="M23" s="749"/>
      <c r="N23" s="750"/>
      <c r="O23" s="750"/>
      <c r="P23" s="750"/>
      <c r="Q23" s="750"/>
      <c r="R23" s="750"/>
      <c r="S23" s="750"/>
      <c r="T23" s="750"/>
      <c r="U23" s="751"/>
      <c r="V23" s="750"/>
      <c r="W23" s="750"/>
      <c r="X23" s="741"/>
      <c r="Y23" s="741" t="s">
        <v>131</v>
      </c>
      <c r="Z23" s="741">
        <v>1705000</v>
      </c>
      <c r="AA23" s="741"/>
      <c r="AB23" s="741"/>
      <c r="AC23" s="741"/>
      <c r="AD23" s="741"/>
      <c r="AE23" s="741"/>
      <c r="AF23" s="741"/>
      <c r="AG23" s="741"/>
      <c r="AH23" s="741"/>
      <c r="AI23" s="741"/>
      <c r="AJ23" s="741"/>
      <c r="AK23" s="741"/>
      <c r="AL23" s="741"/>
    </row>
    <row s="7809" customFormat="1" customHeight="1" ht="15">
      <c r="A24" s="569"/>
      <c r="B24" s="569"/>
      <c r="C24" s="322"/>
      <c r="D24" s="2267"/>
      <c r="E24" s="2269"/>
      <c r="F24" s="2266"/>
      <c r="G24" s="2717"/>
      <c r="H24" s="2286"/>
      <c r="I24" s="2719"/>
      <c r="J24" s="2266"/>
      <c r="K24" s="567"/>
      <c r="L24" s="323"/>
      <c r="M24" s="753" t="s">
        <v>132</v>
      </c>
      <c r="N24" s="750"/>
      <c r="O24" s="750"/>
      <c r="P24" s="750"/>
      <c r="Q24" s="750"/>
      <c r="R24" s="750"/>
      <c r="S24" s="750"/>
      <c r="T24" s="750"/>
      <c r="U24" s="751"/>
      <c r="V24" s="750"/>
      <c r="W24" s="750"/>
      <c r="X24" s="741"/>
      <c r="Y24" s="741"/>
      <c r="Z24" s="741"/>
      <c r="AA24" s="741"/>
      <c r="AB24" s="741"/>
      <c r="AC24" s="741"/>
      <c r="AD24" s="741"/>
      <c r="AE24" s="741"/>
      <c r="AF24" s="741"/>
      <c r="AG24" s="741"/>
      <c r="AH24" s="741"/>
      <c r="AI24" s="741"/>
      <c r="AJ24" s="741"/>
      <c r="AK24" s="741"/>
      <c r="AL24" s="741"/>
    </row>
    <row s="7809" customFormat="1" customHeight="1" ht="15">
      <c r="A25" s="569"/>
      <c r="B25" s="569"/>
      <c r="C25" s="322"/>
      <c r="D25" s="2267"/>
      <c r="E25" s="2270"/>
      <c r="F25" s="2266"/>
      <c r="G25" s="567"/>
      <c r="H25" s="323"/>
      <c r="I25" s="726" t="s">
        <v>135</v>
      </c>
      <c r="J25" s="323"/>
      <c r="K25" s="323"/>
      <c r="L25" s="323"/>
      <c r="M25" s="754"/>
      <c r="N25" s="750"/>
      <c r="O25" s="750"/>
      <c r="P25" s="750"/>
      <c r="Q25" s="750"/>
      <c r="R25" s="750"/>
      <c r="S25" s="750"/>
      <c r="T25" s="750"/>
      <c r="U25" s="751"/>
      <c r="V25" s="750"/>
      <c r="W25" s="750"/>
      <c r="X25" s="741"/>
      <c r="Y25" s="741"/>
      <c r="Z25" s="741"/>
      <c r="AA25" s="741"/>
      <c r="AB25" s="741"/>
      <c r="AC25" s="741"/>
      <c r="AD25" s="741"/>
      <c r="AE25" s="741"/>
      <c r="AF25" s="741"/>
      <c r="AG25" s="741"/>
      <c r="AH25" s="741"/>
      <c r="AI25" s="741"/>
      <c r="AJ25" s="741"/>
      <c r="AK25" s="741"/>
      <c r="AL25" s="741"/>
    </row>
    <row s="7976" customFormat="1" customHeight="1" ht="15">
      <c r="U26" s="331"/>
    </row>
    <row s="7976" customFormat="1" customHeight="1" ht="15">
      <c r="A27" s="1960" t="s">
        <v>2202</v>
      </c>
      <c r="B27" s="1960"/>
      <c r="C27" s="1960"/>
      <c r="D27" s="1960"/>
      <c r="E27" s="1960"/>
      <c r="F27" s="1960"/>
      <c r="G27" s="1960"/>
      <c r="H27" s="1960"/>
      <c r="I27" s="1960"/>
      <c r="J27" s="1960"/>
      <c r="K27" s="1960"/>
      <c r="L27" s="1960"/>
      <c r="M27" s="1960"/>
      <c r="N27" s="1960"/>
      <c r="O27" s="1960"/>
      <c r="P27" s="1960"/>
      <c r="Q27" s="1960"/>
      <c r="R27" s="1960"/>
      <c r="S27" s="1960"/>
      <c r="T27" s="1960"/>
      <c r="U27" s="330"/>
      <c r="V27" s="1960"/>
      <c r="W27" s="1960"/>
    </row>
    <row s="7976" customFormat="1" customHeight="1" ht="15">
      <c r="U28" s="331"/>
    </row>
    <row s="7809" customFormat="1" customHeight="1" ht="15">
      <c r="A29" s="569"/>
      <c r="B29" s="569"/>
      <c r="C29" s="322"/>
      <c r="D29" s="1966"/>
      <c r="E29" s="1966"/>
      <c r="F29" s="1966"/>
      <c r="G29" s="2720" t="s">
        <v>106</v>
      </c>
      <c r="H29" s="2262">
        <v>1</v>
      </c>
      <c r="I29" s="2721" t="str">
        <f>IF(U29="","",INDEX(TERRITORY_MR_LIST,MATCH(U29,TERRITORY_LIST_ID,0)))</f>
        <v/>
      </c>
      <c r="J29" s="2266" t="s">
        <v>19</v>
      </c>
      <c r="K29" s="978"/>
      <c r="L29" s="1927" t="s">
        <v>121</v>
      </c>
      <c r="M29" s="749"/>
      <c r="N29" s="750"/>
      <c r="O29" s="750"/>
      <c r="P29" s="750"/>
      <c r="Q29" s="750"/>
      <c r="R29" s="750"/>
      <c r="S29" s="750"/>
      <c r="T29" s="750"/>
      <c r="U29" s="751"/>
      <c r="V29" s="750"/>
      <c r="W29" s="750"/>
      <c r="X29" s="741"/>
      <c r="Y29" s="741" t="s">
        <v>131</v>
      </c>
      <c r="Z29" s="741">
        <v>1705000</v>
      </c>
      <c r="AA29" s="741"/>
      <c r="AB29" s="741"/>
      <c r="AC29" s="741"/>
      <c r="AD29" s="741"/>
      <c r="AE29" s="741"/>
      <c r="AF29" s="741"/>
      <c r="AG29" s="741"/>
      <c r="AH29" s="741"/>
      <c r="AI29" s="741"/>
      <c r="AJ29" s="741"/>
      <c r="AK29" s="741"/>
      <c r="AL29" s="741"/>
    </row>
    <row s="7809" customFormat="1" customHeight="1" ht="15">
      <c r="A30" s="569"/>
      <c r="B30" s="569"/>
      <c r="C30" s="322"/>
      <c r="D30" s="1966"/>
      <c r="E30" s="1966"/>
      <c r="F30" s="1966"/>
      <c r="G30" s="2720"/>
      <c r="H30" s="2262"/>
      <c r="I30" s="2721"/>
      <c r="J30" s="2266"/>
      <c r="K30" s="567"/>
      <c r="L30" s="323"/>
      <c r="M30" s="753" t="s">
        <v>132</v>
      </c>
      <c r="N30" s="750"/>
      <c r="O30" s="750"/>
      <c r="P30" s="750"/>
      <c r="Q30" s="750"/>
      <c r="R30" s="750"/>
      <c r="S30" s="750"/>
      <c r="T30" s="750"/>
      <c r="U30" s="751"/>
      <c r="V30" s="750"/>
      <c r="W30" s="750"/>
      <c r="X30" s="741"/>
      <c r="Y30" s="741"/>
      <c r="Z30" s="741"/>
      <c r="AA30" s="741"/>
      <c r="AB30" s="741"/>
      <c r="AC30" s="741"/>
      <c r="AD30" s="741"/>
      <c r="AE30" s="741"/>
      <c r="AF30" s="741"/>
      <c r="AG30" s="741"/>
      <c r="AH30" s="741"/>
      <c r="AI30" s="741"/>
      <c r="AJ30" s="741"/>
      <c r="AK30" s="741"/>
      <c r="AL30" s="741"/>
    </row>
    <row s="7976" customFormat="1" customHeight="1" ht="15">
      <c r="U31" s="331"/>
    </row>
    <row s="7976" customFormat="1" customHeight="1" ht="15">
      <c r="A32" s="1960" t="s">
        <v>2203</v>
      </c>
      <c r="B32" s="1960"/>
      <c r="C32" s="1960"/>
      <c r="D32" s="1960"/>
      <c r="E32" s="1960"/>
      <c r="F32" s="1960"/>
      <c r="G32" s="1960"/>
      <c r="H32" s="1960"/>
      <c r="I32" s="1960"/>
      <c r="J32" s="1960"/>
      <c r="K32" s="1960"/>
      <c r="L32" s="1960"/>
      <c r="M32" s="1960"/>
      <c r="N32" s="1960"/>
      <c r="O32" s="1960"/>
      <c r="P32" s="1960"/>
      <c r="Q32" s="1960"/>
      <c r="R32" s="1960"/>
      <c r="S32" s="1960"/>
      <c r="T32" s="1960"/>
      <c r="U32" s="330"/>
      <c r="V32" s="1960"/>
      <c r="W32" s="1960"/>
    </row>
    <row s="7976" customFormat="1" customHeight="1" ht="15">
      <c r="U33" s="331"/>
    </row>
    <row s="7809" customFormat="1" customHeight="1" ht="15">
      <c r="A34" s="569"/>
      <c r="B34" s="569"/>
      <c r="C34" s="322"/>
      <c r="D34" s="1966"/>
      <c r="E34" s="1966"/>
      <c r="F34" s="1966"/>
      <c r="G34" s="1966"/>
      <c r="H34" s="1966"/>
      <c r="I34" s="1966"/>
      <c r="J34" s="1966"/>
      <c r="K34" s="1944" t="s">
        <v>106</v>
      </c>
      <c r="L34" s="1874" t="s">
        <v>121</v>
      </c>
      <c r="M34" s="957"/>
      <c r="N34" s="958"/>
      <c r="O34" s="750"/>
      <c r="P34" s="750"/>
      <c r="Q34" s="750"/>
      <c r="R34" s="750"/>
      <c r="S34" s="750"/>
      <c r="T34" s="750"/>
      <c r="U34" s="751"/>
      <c r="V34" s="750"/>
      <c r="W34" s="750"/>
      <c r="X34" s="741"/>
      <c r="Y34" s="741" t="s">
        <v>131</v>
      </c>
      <c r="Z34" s="741">
        <v>1705000</v>
      </c>
      <c r="AA34" s="741"/>
      <c r="AB34" s="741"/>
      <c r="AC34" s="741"/>
      <c r="AD34" s="741"/>
      <c r="AE34" s="741"/>
      <c r="AF34" s="741"/>
      <c r="AG34" s="741"/>
      <c r="AH34" s="741"/>
      <c r="AI34" s="741"/>
      <c r="AJ34" s="741"/>
      <c r="AK34" s="741"/>
      <c r="AL34" s="741"/>
    </row>
    <row s="7976" customFormat="1" customHeight="1" ht="15">
      <c r="U35" s="331"/>
    </row>
    <row s="7976" customFormat="1" customHeight="1" ht="15">
      <c r="U36" s="331"/>
    </row>
    <row s="7537" customFormat="1" customHeight="1" ht="11.25">
      <c r="A37" s="1960" t="s">
        <v>2204</v>
      </c>
    </row>
    <row customHeight="1" ht="11.25"/>
    <row s="5986" customFormat="1" customHeight="1" ht="22.5">
      <c r="A39" s="1936"/>
      <c r="B39" s="603"/>
      <c r="C39" s="1005"/>
      <c r="D39" s="586"/>
      <c r="E39" s="1006"/>
      <c r="F39" s="1957"/>
      <c r="G39" s="1967"/>
      <c r="H39" s="621"/>
    </row>
    <row customHeight="1" ht="11.25"/>
    <row s="7537" customFormat="1" customHeight="1" ht="11.25">
      <c r="A41" s="1960" t="s">
        <v>2205</v>
      </c>
    </row>
    <row customHeight="1" ht="11.25"/>
    <row s="5986" customFormat="1" customHeight="1" ht="22.5">
      <c r="A43" s="603"/>
      <c r="B43" s="603"/>
      <c r="C43" s="603"/>
      <c r="D43" s="586"/>
      <c r="E43" s="1006"/>
      <c r="F43" s="1007"/>
      <c r="G43" s="1967"/>
      <c r="H43" s="621"/>
    </row>
    <row customHeight="1" ht="11.25"/>
    <row s="7537" customFormat="1" customHeight="1" ht="11.25">
      <c r="A45" s="1960" t="s">
        <v>2206</v>
      </c>
    </row>
    <row customHeight="1" ht="11.25"/>
    <row s="5986" customFormat="1" customHeight="1" ht="24">
      <c r="A47" s="2361" t="s">
        <v>335</v>
      </c>
      <c r="B47" s="648"/>
      <c r="C47" s="2372"/>
      <c r="D47" s="591" t="str">
        <f>A47</f>
        <v>5.1</v>
      </c>
      <c r="E47" s="588" t="s">
        <v>336</v>
      </c>
      <c r="F47" s="2119" t="s">
        <v>328</v>
      </c>
      <c r="G47" s="590" t="s">
        <v>337</v>
      </c>
      <c r="H47" s="621"/>
      <c r="I47" s="998"/>
    </row>
    <row s="5986" customFormat="1" customHeight="1" ht="22.5">
      <c r="A48" s="2361"/>
      <c r="B48" s="648"/>
      <c r="C48" s="2372"/>
      <c r="D48" s="586" t="str">
        <f>D47&amp;".1"</f>
        <v>5.1.1</v>
      </c>
      <c r="E48" s="585" t="s">
        <v>338</v>
      </c>
      <c r="F48" s="2120" t="s">
        <v>22</v>
      </c>
      <c r="G48" s="620"/>
      <c r="H48" s="621"/>
      <c r="I48" s="998"/>
    </row>
    <row s="5986" customFormat="1" customHeight="1" ht="22.5">
      <c r="A49" s="2361"/>
      <c r="B49" s="648"/>
      <c r="C49" s="2372"/>
      <c r="D49" s="586" t="str">
        <f>D47&amp;".2"</f>
        <v>5.1.2</v>
      </c>
      <c r="E49" s="585" t="s">
        <v>339</v>
      </c>
      <c r="F49" s="1877" t="s">
        <v>22</v>
      </c>
      <c r="G49" s="590" t="s">
        <v>340</v>
      </c>
      <c r="H49" s="621"/>
      <c r="I49" s="998"/>
    </row>
    <row s="5986" customFormat="1" customHeight="1" ht="22.5">
      <c r="A50" s="2361"/>
      <c r="B50" s="648"/>
      <c r="C50" s="2372"/>
      <c r="D50" s="586" t="str">
        <f>D47&amp;".3"</f>
        <v>5.1.3</v>
      </c>
      <c r="E50" s="585" t="s">
        <v>341</v>
      </c>
      <c r="F50" s="2120" t="s">
        <v>22</v>
      </c>
      <c r="G50" s="620"/>
      <c r="H50" s="621"/>
      <c r="I50" s="998"/>
    </row>
    <row s="5986" customFormat="1" customHeight="1" ht="22.5">
      <c r="A51" s="2361"/>
      <c r="B51" s="648"/>
      <c r="C51" s="2372"/>
      <c r="D51" s="586" t="str">
        <f>D47&amp;".4"</f>
        <v>5.1.4</v>
      </c>
      <c r="E51" s="585" t="s">
        <v>342</v>
      </c>
      <c r="F51" s="2120" t="s">
        <v>22</v>
      </c>
      <c r="G51" s="590" t="s">
        <v>343</v>
      </c>
      <c r="H51" s="621"/>
      <c r="I51" s="998"/>
    </row>
    <row r="54" s="7537" customFormat="1" customHeight="1" ht="17.25">
      <c r="A54" s="1960" t="s">
        <v>2207</v>
      </c>
    </row>
    <row r="56" s="6075" customFormat="1" customHeight="1" ht="18.75">
      <c r="A56" s="235"/>
      <c r="B56" s="1968"/>
      <c r="C56" s="1968"/>
      <c r="D56" s="1969"/>
      <c r="E56" s="1954"/>
      <c r="F56" s="1014">
        <v>13</v>
      </c>
      <c r="G56" s="1013"/>
      <c r="H56" s="939"/>
      <c r="I56" s="937"/>
      <c r="J56" s="666" t="s">
        <v>63</v>
      </c>
      <c r="K56" s="1970" t="s">
        <v>22</v>
      </c>
      <c r="L56" s="235"/>
      <c r="M56" s="1782"/>
      <c r="N56" s="1782"/>
      <c r="O56" s="1782"/>
      <c r="P56" s="662" t="s">
        <v>414</v>
      </c>
      <c r="Q56" s="662" t="s">
        <v>415</v>
      </c>
      <c r="R56" s="663" t="s">
        <v>416</v>
      </c>
      <c r="S56" s="1782" t="s">
        <v>417</v>
      </c>
      <c r="T56" s="1782"/>
      <c r="U56" s="1782"/>
      <c r="V56" s="1782"/>
    </row>
    <row r="58" s="7537" customFormat="1" customHeight="1" ht="11.25">
      <c r="A58" s="1960" t="s">
        <v>2208</v>
      </c>
    </row>
    <row r="60" s="7235" customFormat="1" customHeight="1" ht="14.25">
      <c r="C60" s="1833"/>
      <c r="D60" s="2012"/>
      <c r="E60" s="1922" t="s">
        <v>22</v>
      </c>
      <c r="F60" s="2011"/>
      <c r="G60" s="1002"/>
      <c r="H60" s="1923"/>
      <c r="I60" s="1923"/>
      <c r="J60" s="579"/>
      <c r="K60" s="2006"/>
      <c r="L60" s="578"/>
      <c r="M60" s="2006"/>
      <c r="N60" s="579"/>
      <c r="O60" s="2006"/>
      <c r="P60" s="579"/>
      <c r="Q60" s="2006"/>
      <c r="R60" s="579"/>
      <c r="S60" s="1000"/>
      <c r="T60" s="1923"/>
      <c r="U60" s="579"/>
      <c r="V60" s="579"/>
      <c r="W60" s="2010"/>
      <c r="X60" s="1923"/>
      <c r="Y60" s="579"/>
      <c r="Z60" s="579"/>
      <c r="AA60" s="2010"/>
      <c r="AB60" s="1923"/>
      <c r="AC60" s="579"/>
      <c r="AD60" s="2010"/>
      <c r="AE60" s="235"/>
      <c r="AF60" s="235"/>
      <c r="AG60" s="235"/>
      <c r="AH60" s="235"/>
      <c r="AJ60" s="1782"/>
      <c r="AK60" s="1782"/>
      <c r="AL60" s="1782"/>
      <c r="AM60" s="1782"/>
      <c r="AN60" s="1782"/>
      <c r="AO60" s="1782"/>
      <c r="AP60" s="1770" t="s">
        <v>403</v>
      </c>
      <c r="AQ60" s="1770" t="s">
        <v>403</v>
      </c>
      <c r="AR60" s="1782"/>
      <c r="AS60" s="1782"/>
    </row>
    <row r="62" s="7537" customFormat="1" customHeight="1" ht="11.25">
      <c r="A62" s="1960" t="s">
        <v>2209</v>
      </c>
    </row>
    <row r="64" s="7711" customFormat="1" customHeight="1" ht="15">
      <c r="A64" s="291" t="s">
        <v>91</v>
      </c>
      <c r="B64" s="271" t="s">
        <v>22</v>
      </c>
      <c r="C64" s="1971"/>
      <c r="D64" s="274"/>
      <c r="E64" s="527"/>
      <c r="F64" s="527"/>
      <c r="G64" s="1948"/>
      <c r="H64" s="1970"/>
      <c r="I64" s="1949"/>
      <c r="K64" s="418"/>
      <c r="L64" s="419"/>
    </row>
    <row r="66" s="7537" customFormat="1" customHeight="1" ht="11.25">
      <c r="A66" s="1960" t="s">
        <v>2210</v>
      </c>
    </row>
    <row r="68" s="7235" customFormat="1" customHeight="1" ht="14.25">
      <c r="A68" s="489"/>
      <c r="B68" s="1306"/>
      <c r="C68" s="522"/>
      <c r="D68" s="1955"/>
      <c r="E68" s="1032"/>
      <c r="F68" s="1970"/>
      <c r="G68" s="235"/>
      <c r="I68" s="1770"/>
      <c r="J68" s="1770"/>
    </row>
    <row r="70" s="7537" customFormat="1" customHeight="1" ht="11.25">
      <c r="A70" s="1960" t="s">
        <v>2211</v>
      </c>
    </row>
    <row r="72" s="7235" customFormat="1" customHeight="1" ht="27">
      <c r="A72" s="1312"/>
      <c r="B72" s="1312"/>
      <c r="C72" s="1312"/>
      <c r="D72" s="1306"/>
      <c r="E72" s="1972"/>
      <c r="F72" s="2740"/>
      <c r="G72" s="2741"/>
      <c r="H72" s="2742" t="s">
        <v>63</v>
      </c>
      <c r="I72" s="2744"/>
      <c r="J72" s="2707"/>
      <c r="K72" s="2746"/>
      <c r="L72" s="2709"/>
      <c r="M72" s="2709"/>
      <c r="N72" s="2710"/>
      <c r="O72" s="2710"/>
      <c r="P72" s="2711">
        <f>DATEDIF(DATEVALUE(N72),DATEVALUE(O72),"y")&amp;"г. "&amp;DATEDIF(DATEVALUE(N72),DATEVALUE(O72),"ym")&amp;"мес. "&amp;DATEVALUE(O72)-DATE(YEAR(DATEVALUE(O72)),MONTH(DATEVALUE(O72)),1)&amp;"дн. "</f>
      </c>
      <c r="Q72" s="2706"/>
      <c r="R72" s="2706"/>
      <c r="S72" s="2706"/>
      <c r="T72" s="2707"/>
      <c r="U72" s="2706"/>
      <c r="V72" s="2706"/>
      <c r="W72" s="2706"/>
      <c r="X72" s="2707"/>
      <c r="Y72" s="2704" t="s">
        <v>63</v>
      </c>
      <c r="Z72" s="1953"/>
      <c r="AA72" s="1937">
        <v>1</v>
      </c>
      <c r="AB72" s="1388"/>
      <c r="AD72" s="1782" t="s">
        <v>2212</v>
      </c>
    </row>
    <row s="7235" customFormat="1" customHeight="1" ht="10.5">
      <c r="A73" s="1312"/>
      <c r="B73" s="1312"/>
      <c r="C73" s="1312"/>
      <c r="D73" s="1306"/>
      <c r="E73" s="1093"/>
      <c r="F73" s="2740"/>
      <c r="G73" s="2741"/>
      <c r="H73" s="2743"/>
      <c r="I73" s="2745"/>
      <c r="J73" s="2708"/>
      <c r="K73" s="2746"/>
      <c r="L73" s="2709"/>
      <c r="M73" s="2709"/>
      <c r="N73" s="2710"/>
      <c r="O73" s="2710"/>
      <c r="P73" s="2711"/>
      <c r="Q73" s="2706"/>
      <c r="R73" s="2706"/>
      <c r="S73" s="2706"/>
      <c r="T73" s="2708"/>
      <c r="U73" s="2706"/>
      <c r="V73" s="2706"/>
      <c r="W73" s="2706"/>
      <c r="X73" s="2708"/>
      <c r="Y73" s="2705"/>
      <c r="Z73" s="493"/>
      <c r="AA73" s="718"/>
      <c r="AB73" s="798" t="s">
        <v>1061</v>
      </c>
    </row>
    <row r="75" s="7537" customFormat="1" customHeight="1" ht="11.25">
      <c r="A75" s="1960" t="s">
        <v>2213</v>
      </c>
    </row>
    <row r="77" s="7235" customFormat="1" customHeight="1" ht="27">
      <c r="A77" s="1312"/>
      <c r="B77" s="1312"/>
      <c r="C77" s="1312"/>
      <c r="D77" s="1306"/>
      <c r="E77" s="1972"/>
      <c r="F77" s="1942"/>
      <c r="G77" s="1892"/>
      <c r="H77" s="1893"/>
      <c r="I77" s="1894"/>
      <c r="J77" s="1895"/>
      <c r="K77" s="1896"/>
      <c r="L77" s="1897"/>
      <c r="M77" s="1897"/>
      <c r="N77" s="1898"/>
      <c r="O77" s="1898"/>
      <c r="P77" s="1899"/>
      <c r="Q77" s="1900"/>
      <c r="R77" s="1900"/>
      <c r="S77" s="1900"/>
      <c r="T77" s="1895"/>
      <c r="U77" s="1900"/>
      <c r="V77" s="1900"/>
      <c r="W77" s="1900"/>
      <c r="X77" s="1895"/>
      <c r="Y77" s="1893"/>
      <c r="Z77" s="1953"/>
      <c r="AA77" s="1937">
        <v>1</v>
      </c>
      <c r="AB77" s="1388"/>
      <c r="AD77" s="1782" t="s">
        <v>2212</v>
      </c>
    </row>
    <row r="79" s="7537" customFormat="1" customHeight="1" ht="11.25">
      <c r="A79" s="1960" t="s">
        <v>2214</v>
      </c>
    </row>
    <row customHeight="1" ht="17.25"/>
    <row s="7235" customFormat="1" customHeight="1" ht="21">
      <c r="A81" s="1313"/>
      <c r="B81" s="1312"/>
      <c r="C81" s="1312"/>
      <c r="D81" s="1306"/>
      <c r="E81" s="1316"/>
      <c r="F81" s="1268">
        <f>INDEX(IP_MAIN_LIST_NAME_IP,MATCH(A81,IP_MAIN_LIST_IP_ID,0))&amp;" ("&amp;INDEX(IP_MAIN_START_DATE,MATCH(A81,IP_MAIN_LIST_IP_ID,0))&amp;"-"&amp;INDEX(IP_MAIN_END_DATE,MATCH(A81,IP_MAIN_LIST_IP_ID,0))&amp;")"</f>
      </c>
      <c r="G81" s="1269"/>
      <c r="H81" s="1269"/>
      <c r="I81" s="1331"/>
      <c r="J81" s="1331"/>
      <c r="K81" s="1332"/>
      <c r="L81" s="1332"/>
      <c r="M81" s="1332"/>
      <c r="N81" s="1333"/>
      <c r="O81" s="1333"/>
      <c r="P81" s="1333"/>
      <c r="Q81" s="1333"/>
      <c r="R81" s="1333"/>
      <c r="S81" s="1333"/>
      <c r="T81" s="1333"/>
      <c r="U81" s="1333"/>
      <c r="V81" s="1333"/>
      <c r="W81" s="1333"/>
      <c r="X81" s="1333"/>
      <c r="Y81" s="1333"/>
      <c r="Z81" s="1333"/>
      <c r="AA81" s="1333"/>
      <c r="AB81" s="1333"/>
      <c r="AC81" s="1333"/>
      <c r="AD81" s="1333"/>
      <c r="AE81" s="1334"/>
      <c r="AF81" s="1332"/>
      <c r="AG81" s="1332"/>
      <c r="AH81" s="1332"/>
      <c r="AI81" s="1332"/>
      <c r="AJ81" s="1332"/>
      <c r="AK81" s="1332"/>
      <c r="AL81" s="2131"/>
      <c r="AM81" s="1968"/>
      <c r="AN81" s="1968"/>
      <c r="AO81" s="1968"/>
      <c r="AP81" s="1968"/>
      <c r="AQ81" s="1968"/>
      <c r="AR81" s="1968"/>
      <c r="AS81" s="1968"/>
      <c r="AT81" s="1968"/>
      <c r="AU81" s="1968"/>
      <c r="AV81" s="1968"/>
      <c r="AW81" s="1968"/>
      <c r="AX81" s="1968"/>
      <c r="AY81" s="1968"/>
      <c r="AZ81" s="1968"/>
      <c r="BA81" s="1968"/>
      <c r="BB81" s="1968"/>
      <c r="BC81" s="1968"/>
      <c r="BD81" s="1968"/>
      <c r="BE81" s="1968"/>
      <c r="BF81" s="1968"/>
    </row>
    <row s="7235" customFormat="1" customHeight="1" ht="0.75">
      <c r="A82" s="1312"/>
      <c r="B82" s="1312"/>
      <c r="C82" s="1312"/>
      <c r="D82" s="1306"/>
      <c r="E82" s="1316"/>
      <c r="F82" s="2695"/>
      <c r="G82" s="2674"/>
      <c r="H82" s="2699" t="s">
        <v>398</v>
      </c>
      <c r="I82" s="2700"/>
      <c r="J82" s="2701"/>
      <c r="K82" s="2701"/>
      <c r="L82" s="2693"/>
      <c r="M82" s="2427"/>
      <c r="N82" s="2179"/>
      <c r="O82" s="2178"/>
      <c r="P82" s="2179"/>
      <c r="Q82" s="2179"/>
      <c r="R82" s="2179"/>
      <c r="S82" s="2179"/>
      <c r="T82" s="2179"/>
      <c r="U82" s="2179"/>
      <c r="V82" s="2179"/>
      <c r="W82" s="2179"/>
      <c r="X82" s="2179"/>
      <c r="Y82" s="2179"/>
      <c r="Z82" s="2179"/>
      <c r="AA82" s="2179"/>
      <c r="AB82" s="2179"/>
      <c r="AC82" s="2179"/>
      <c r="AD82" s="2179"/>
      <c r="AE82" s="2179"/>
      <c r="AF82" s="2697"/>
      <c r="AG82" s="2693"/>
      <c r="AH82" s="2693"/>
      <c r="AI82" s="2697"/>
      <c r="AJ82" s="2693"/>
      <c r="AK82" s="2693"/>
      <c r="AL82" s="2131"/>
      <c r="AM82" s="1968"/>
      <c r="AN82" s="1968"/>
      <c r="AO82" s="1968"/>
      <c r="AP82" s="1968"/>
      <c r="AQ82" s="1968"/>
      <c r="AR82" s="1968"/>
      <c r="AS82" s="1968"/>
      <c r="AT82" s="1968"/>
      <c r="AU82" s="1968"/>
      <c r="AV82" s="1968"/>
      <c r="AW82" s="1968"/>
      <c r="AX82" s="1968"/>
      <c r="AY82" s="1968"/>
      <c r="AZ82" s="1968"/>
      <c r="BA82" s="1968"/>
      <c r="BB82" s="1968"/>
      <c r="BC82" s="1968"/>
      <c r="BD82" s="1968"/>
      <c r="BE82" s="1968"/>
      <c r="BF82" s="1968"/>
    </row>
    <row s="7235" customFormat="1" customHeight="1" ht="0.75">
      <c r="A83" s="1312"/>
      <c r="B83" s="1312"/>
      <c r="C83" s="1312"/>
      <c r="D83" s="1306"/>
      <c r="E83" s="1316"/>
      <c r="F83" s="2695"/>
      <c r="G83" s="2674"/>
      <c r="H83" s="2699"/>
      <c r="I83" s="2700"/>
      <c r="J83" s="2701"/>
      <c r="K83" s="2701"/>
      <c r="L83" s="2693"/>
      <c r="M83" s="2427"/>
      <c r="N83" s="2702"/>
      <c r="O83" s="2703"/>
      <c r="P83" s="2747"/>
      <c r="Q83" s="2698"/>
      <c r="R83" s="2698"/>
      <c r="S83" s="2698"/>
      <c r="T83" s="2698"/>
      <c r="U83" s="2698"/>
      <c r="V83" s="2698"/>
      <c r="W83" s="2698"/>
      <c r="X83" s="2698"/>
      <c r="Y83" s="2698"/>
      <c r="Z83" s="2180"/>
      <c r="AA83" s="2181"/>
      <c r="AB83" s="2181"/>
      <c r="AC83" s="2182"/>
      <c r="AD83" s="2182"/>
      <c r="AE83" s="2183"/>
      <c r="AF83" s="2697"/>
      <c r="AG83" s="2693"/>
      <c r="AH83" s="2693"/>
      <c r="AI83" s="2697"/>
      <c r="AJ83" s="2693"/>
      <c r="AK83" s="2693"/>
      <c r="AL83" s="2131"/>
      <c r="AM83" s="1968"/>
      <c r="AN83" s="1968"/>
      <c r="AO83" s="1968"/>
      <c r="AP83" s="1968"/>
      <c r="AQ83" s="1968"/>
      <c r="AR83" s="1968"/>
      <c r="AS83" s="1968"/>
      <c r="AT83" s="1968"/>
      <c r="AU83" s="1968"/>
      <c r="AV83" s="1968"/>
      <c r="AW83" s="1968"/>
      <c r="AX83" s="1968"/>
      <c r="AY83" s="1968"/>
      <c r="AZ83" s="1968"/>
      <c r="BA83" s="1968"/>
      <c r="BB83" s="1968"/>
      <c r="BC83" s="1968"/>
      <c r="BD83" s="1968"/>
      <c r="BE83" s="1968"/>
      <c r="BF83" s="1968"/>
    </row>
    <row s="7235" customFormat="1" customHeight="1" ht="0.75">
      <c r="A84" s="1312"/>
      <c r="B84" s="1312"/>
      <c r="C84" s="1312"/>
      <c r="D84" s="1306"/>
      <c r="E84" s="1316"/>
      <c r="F84" s="2695"/>
      <c r="G84" s="2674"/>
      <c r="H84" s="2699"/>
      <c r="I84" s="2700"/>
      <c r="J84" s="2701"/>
      <c r="K84" s="2701"/>
      <c r="L84" s="2693"/>
      <c r="M84" s="2427"/>
      <c r="N84" s="2702"/>
      <c r="O84" s="2703"/>
      <c r="P84" s="2748"/>
      <c r="Q84" s="2698"/>
      <c r="R84" s="2698"/>
      <c r="S84" s="2698"/>
      <c r="T84" s="2698"/>
      <c r="U84" s="2698"/>
      <c r="V84" s="2698"/>
      <c r="W84" s="2698"/>
      <c r="X84" s="2698"/>
      <c r="Y84" s="2698"/>
      <c r="Z84" s="2184"/>
      <c r="AA84" s="2185"/>
      <c r="AB84" s="2186"/>
      <c r="AC84" s="2187"/>
      <c r="AD84" s="2186"/>
      <c r="AE84" s="2187"/>
      <c r="AF84" s="2697"/>
      <c r="AG84" s="2693"/>
      <c r="AH84" s="2693"/>
      <c r="AI84" s="2697"/>
      <c r="AJ84" s="2693"/>
      <c r="AK84" s="2693"/>
      <c r="AL84" s="2131"/>
      <c r="AM84" s="1968"/>
      <c r="AN84" s="1968"/>
      <c r="AO84" s="1968"/>
      <c r="AP84" s="1968"/>
      <c r="AQ84" s="1968"/>
      <c r="AR84" s="1968"/>
      <c r="AS84" s="1968"/>
      <c r="AT84" s="1968"/>
      <c r="AU84" s="1968"/>
      <c r="AV84" s="1968"/>
      <c r="AW84" s="1968"/>
      <c r="AX84" s="1968"/>
      <c r="AY84" s="1968"/>
      <c r="AZ84" s="1968"/>
      <c r="BA84" s="1968"/>
      <c r="BB84" s="1968"/>
      <c r="BC84" s="1968"/>
      <c r="BD84" s="1968"/>
      <c r="BE84" s="1968"/>
      <c r="BF84" s="1968"/>
    </row>
    <row s="7235" customFormat="1" customHeight="1" ht="0.75">
      <c r="A85" s="1312"/>
      <c r="B85" s="1312"/>
      <c r="C85" s="1312"/>
      <c r="D85" s="1306"/>
      <c r="E85" s="1316"/>
      <c r="F85" s="2695"/>
      <c r="G85" s="2674"/>
      <c r="H85" s="2699"/>
      <c r="I85" s="2700"/>
      <c r="J85" s="2701"/>
      <c r="K85" s="2701"/>
      <c r="L85" s="2693"/>
      <c r="M85" s="2427"/>
      <c r="N85" s="2702"/>
      <c r="O85" s="2703"/>
      <c r="P85" s="2749"/>
      <c r="Q85" s="2698"/>
      <c r="R85" s="2698"/>
      <c r="S85" s="2698"/>
      <c r="T85" s="2698"/>
      <c r="U85" s="2698"/>
      <c r="V85" s="2698"/>
      <c r="W85" s="2698"/>
      <c r="X85" s="2698"/>
      <c r="Y85" s="2698"/>
      <c r="Z85" s="2180"/>
      <c r="AA85" s="2181"/>
      <c r="AB85" s="2188"/>
      <c r="AC85" s="2182"/>
      <c r="AD85" s="2182"/>
      <c r="AE85" s="2189"/>
      <c r="AF85" s="2697"/>
      <c r="AG85" s="2693"/>
      <c r="AH85" s="2693"/>
      <c r="AI85" s="2697"/>
      <c r="AJ85" s="2693"/>
      <c r="AK85" s="2693"/>
      <c r="AL85" s="2131"/>
      <c r="AM85" s="1968"/>
      <c r="AN85" s="1968"/>
      <c r="AO85" s="1968"/>
      <c r="AP85" s="1968"/>
      <c r="AQ85" s="1968"/>
      <c r="AR85" s="1968"/>
      <c r="AS85" s="1968"/>
      <c r="AT85" s="1968"/>
      <c r="AU85" s="1968"/>
      <c r="AV85" s="1968"/>
      <c r="AW85" s="1968"/>
      <c r="AX85" s="1968"/>
      <c r="AY85" s="1968"/>
      <c r="AZ85" s="1968"/>
      <c r="BA85" s="1968"/>
      <c r="BB85" s="1968"/>
      <c r="BC85" s="1968"/>
      <c r="BD85" s="1968"/>
      <c r="BE85" s="1968"/>
      <c r="BF85" s="1968"/>
    </row>
    <row s="7235" customFormat="1" customHeight="1" ht="0.75">
      <c r="A86" s="1312"/>
      <c r="B86" s="1312"/>
      <c r="C86" s="1312"/>
      <c r="D86" s="1306"/>
      <c r="E86" s="1316"/>
      <c r="F86" s="2695"/>
      <c r="G86" s="2674"/>
      <c r="H86" s="2699"/>
      <c r="I86" s="2700"/>
      <c r="J86" s="2701"/>
      <c r="K86" s="2701"/>
      <c r="L86" s="2693"/>
      <c r="M86" s="2427"/>
      <c r="N86" s="2181"/>
      <c r="O86" s="2181"/>
      <c r="P86" s="2188"/>
      <c r="Q86" s="2181"/>
      <c r="R86" s="2181"/>
      <c r="S86" s="2181"/>
      <c r="T86" s="2181"/>
      <c r="U86" s="2181"/>
      <c r="V86" s="2181"/>
      <c r="W86" s="2181"/>
      <c r="X86" s="2181"/>
      <c r="Y86" s="2181"/>
      <c r="Z86" s="2181"/>
      <c r="AA86" s="2181"/>
      <c r="AB86" s="2181"/>
      <c r="AC86" s="2181"/>
      <c r="AD86" s="2181"/>
      <c r="AE86" s="2190"/>
      <c r="AF86" s="2697"/>
      <c r="AG86" s="2693"/>
      <c r="AH86" s="2693"/>
      <c r="AI86" s="2697"/>
      <c r="AJ86" s="2693"/>
      <c r="AK86" s="2693"/>
      <c r="AL86" s="2131"/>
      <c r="AM86" s="1968"/>
      <c r="AN86" s="1968"/>
      <c r="AO86" s="1968"/>
      <c r="AP86" s="1968"/>
      <c r="AQ86" s="1968"/>
      <c r="AR86" s="1968"/>
      <c r="AS86" s="1968"/>
      <c r="AT86" s="1968"/>
      <c r="AU86" s="1968"/>
      <c r="AV86" s="1968"/>
      <c r="AW86" s="1968"/>
      <c r="AX86" s="1968"/>
      <c r="AY86" s="1968"/>
      <c r="AZ86" s="1968"/>
      <c r="BA86" s="1968"/>
      <c r="BB86" s="1968"/>
      <c r="BC86" s="1968"/>
      <c r="BD86" s="1968"/>
      <c r="BE86" s="1968"/>
      <c r="BF86" s="1968"/>
    </row>
    <row s="7235" customFormat="1" customHeight="1" ht="12">
      <c r="A87" s="1312"/>
      <c r="B87" s="1312"/>
      <c r="C87" s="1312"/>
      <c r="D87" s="1306"/>
      <c r="E87" s="1316"/>
      <c r="F87" s="2696"/>
      <c r="G87" s="1336"/>
      <c r="H87" s="1336"/>
      <c r="I87" s="2694" t="s">
        <v>1100</v>
      </c>
      <c r="J87" s="2694"/>
      <c r="K87" s="2694"/>
      <c r="L87" s="1319"/>
      <c r="M87" s="1319"/>
      <c r="N87" s="1320"/>
      <c r="O87" s="1320"/>
      <c r="P87" s="1320"/>
      <c r="Q87" s="1320"/>
      <c r="R87" s="1320"/>
      <c r="S87" s="1320"/>
      <c r="T87" s="1320"/>
      <c r="U87" s="1320"/>
      <c r="V87" s="1320"/>
      <c r="W87" s="1320"/>
      <c r="X87" s="1320"/>
      <c r="Y87" s="1320"/>
      <c r="Z87" s="1320"/>
      <c r="AA87" s="1320"/>
      <c r="AB87" s="1320"/>
      <c r="AC87" s="1320"/>
      <c r="AD87" s="1320"/>
      <c r="AE87" s="1320"/>
      <c r="AF87" s="1320"/>
      <c r="AG87" s="1319"/>
      <c r="AH87" s="1319"/>
      <c r="AI87" s="1320"/>
      <c r="AJ87" s="1319"/>
      <c r="AK87" s="1320"/>
      <c r="AL87" s="2131"/>
      <c r="AM87" s="1968"/>
      <c r="AN87" s="1968"/>
      <c r="AO87" s="1968"/>
      <c r="AP87" s="1968"/>
      <c r="AQ87" s="1968"/>
      <c r="AR87" s="1968"/>
      <c r="AS87" s="1968"/>
      <c r="AT87" s="1968"/>
      <c r="AU87" s="1968"/>
      <c r="AV87" s="1968"/>
      <c r="AW87" s="1968"/>
      <c r="AX87" s="1968"/>
      <c r="AY87" s="1968"/>
      <c r="AZ87" s="1968"/>
      <c r="BA87" s="1968"/>
      <c r="BB87" s="1968"/>
      <c r="BC87" s="1968"/>
      <c r="BD87" s="1968"/>
      <c r="BE87" s="1968"/>
      <c r="BF87" s="1968"/>
    </row>
    <row r="89" s="7537" customFormat="1" customHeight="1" ht="11.25">
      <c r="A89" s="1960" t="s">
        <v>2215</v>
      </c>
    </row>
    <row r="91" s="7235" customFormat="1" customHeight="1" ht="11.25">
      <c r="A91" s="1312"/>
      <c r="B91" s="1312"/>
      <c r="C91" s="1312"/>
      <c r="D91" s="1306"/>
      <c r="E91" s="1316"/>
      <c r="F91" s="1974"/>
      <c r="G91" s="1975"/>
      <c r="H91" s="1975"/>
      <c r="I91" s="1909"/>
      <c r="J91" s="1909"/>
      <c r="K91" s="1976"/>
      <c r="L91" s="1909"/>
      <c r="M91" s="1975"/>
      <c r="N91" s="2667"/>
      <c r="O91" s="2750">
        <v>1</v>
      </c>
      <c r="P91" s="2669" t="s">
        <v>19</v>
      </c>
      <c r="Q91" s="2672" t="s">
        <v>22</v>
      </c>
      <c r="R91" s="2672" t="s">
        <v>22</v>
      </c>
      <c r="S91" s="2672" t="s">
        <v>22</v>
      </c>
      <c r="T91" s="2672" t="s">
        <v>22</v>
      </c>
      <c r="U91" s="2672" t="s">
        <v>22</v>
      </c>
      <c r="V91" s="2672" t="s">
        <v>22</v>
      </c>
      <c r="W91" s="2672" t="s">
        <v>22</v>
      </c>
      <c r="X91" s="2672" t="s">
        <v>22</v>
      </c>
      <c r="Y91" s="2672"/>
      <c r="Z91" s="1321"/>
      <c r="AA91" s="1322"/>
      <c r="AB91" s="1322"/>
      <c r="AC91" s="1326"/>
      <c r="AD91" s="1326"/>
      <c r="AE91" s="1326"/>
      <c r="AF91" s="2233"/>
      <c r="AG91" s="1904"/>
      <c r="AH91" s="1904"/>
      <c r="AI91" s="2233"/>
      <c r="AJ91" s="1904"/>
      <c r="AK91" s="2130"/>
      <c r="AL91" s="2131"/>
      <c r="AM91" s="1968"/>
      <c r="AN91" s="1968"/>
      <c r="AO91" s="1968"/>
      <c r="AP91" s="1968"/>
      <c r="AQ91" s="1968"/>
      <c r="AR91" s="1968"/>
      <c r="AS91" s="1968"/>
      <c r="AT91" s="1968"/>
      <c r="AU91" s="1968"/>
      <c r="AV91" s="1968"/>
      <c r="AW91" s="1968"/>
      <c r="AX91" s="1968"/>
      <c r="AY91" s="1968"/>
      <c r="AZ91" s="1968"/>
      <c r="BA91" s="1968"/>
      <c r="BB91" s="1968"/>
      <c r="BC91" s="1968"/>
      <c r="BD91" s="1968"/>
      <c r="BE91" s="1968"/>
      <c r="BF91" s="1968"/>
    </row>
    <row s="7235" customFormat="1" customHeight="1" ht="11.25">
      <c r="A92" s="1312"/>
      <c r="B92" s="1312"/>
      <c r="C92" s="1312"/>
      <c r="D92" s="1306"/>
      <c r="E92" s="1316"/>
      <c r="F92" s="1974"/>
      <c r="G92" s="1975"/>
      <c r="H92" s="1975"/>
      <c r="I92" s="1910"/>
      <c r="J92" s="1910"/>
      <c r="K92" s="1976"/>
      <c r="L92" s="1910"/>
      <c r="M92" s="1975"/>
      <c r="N92" s="2667"/>
      <c r="O92" s="2750"/>
      <c r="P92" s="2670"/>
      <c r="Q92" s="2672"/>
      <c r="R92" s="2672"/>
      <c r="S92" s="2673"/>
      <c r="T92" s="2672"/>
      <c r="U92" s="2672"/>
      <c r="V92" s="2672"/>
      <c r="W92" s="2672"/>
      <c r="X92" s="2672"/>
      <c r="Y92" s="2672"/>
      <c r="Z92" s="1973"/>
      <c r="AA92" s="1939">
        <v>1</v>
      </c>
      <c r="AB92" s="1325"/>
      <c r="AC92" s="1315"/>
      <c r="AD92" s="1325">
        <f>AB92</f>
        <v>0</v>
      </c>
      <c r="AE92" s="870"/>
      <c r="AF92" s="2234"/>
      <c r="AG92" s="1904"/>
      <c r="AH92" s="1904"/>
      <c r="AI92" s="2234"/>
      <c r="AJ92" s="1904"/>
      <c r="AK92" s="2130"/>
      <c r="AL92" s="2131"/>
      <c r="AM92" s="1968"/>
      <c r="AN92" s="1968"/>
      <c r="AO92" s="1968"/>
      <c r="AP92" s="1968"/>
      <c r="AQ92" s="1968"/>
      <c r="AR92" s="1968"/>
      <c r="AS92" s="1968"/>
      <c r="AT92" s="1968"/>
      <c r="AU92" s="1968"/>
      <c r="AV92" s="1968"/>
      <c r="AW92" s="1968"/>
      <c r="AX92" s="1968"/>
      <c r="AY92" s="1968"/>
      <c r="AZ92" s="1968"/>
      <c r="BA92" s="1968"/>
      <c r="BB92" s="1968"/>
      <c r="BC92" s="1968"/>
      <c r="BD92" s="1968"/>
      <c r="BE92" s="1968"/>
      <c r="BF92" s="1968"/>
    </row>
    <row s="7235" customFormat="1" customHeight="1" ht="11.25">
      <c r="A93" s="1312"/>
      <c r="B93" s="1312"/>
      <c r="C93" s="1312"/>
      <c r="D93" s="1306"/>
      <c r="E93" s="1316"/>
      <c r="F93" s="1974"/>
      <c r="G93" s="1975"/>
      <c r="H93" s="1975"/>
      <c r="I93" s="1911"/>
      <c r="J93" s="1911"/>
      <c r="K93" s="1976"/>
      <c r="L93" s="1911"/>
      <c r="M93" s="1975"/>
      <c r="N93" s="2667"/>
      <c r="O93" s="2750"/>
      <c r="P93" s="2671"/>
      <c r="Q93" s="2672"/>
      <c r="R93" s="2672"/>
      <c r="S93" s="2673"/>
      <c r="T93" s="2672"/>
      <c r="U93" s="2672"/>
      <c r="V93" s="2672"/>
      <c r="W93" s="2672"/>
      <c r="X93" s="2672"/>
      <c r="Y93" s="2672"/>
      <c r="Z93" s="1321"/>
      <c r="AA93" s="1322"/>
      <c r="AB93" s="1387" t="s">
        <v>1107</v>
      </c>
      <c r="AC93" s="1326"/>
      <c r="AD93" s="1326"/>
      <c r="AE93" s="1326"/>
      <c r="AF93" s="2235"/>
      <c r="AG93" s="1904"/>
      <c r="AH93" s="1904"/>
      <c r="AI93" s="2235"/>
      <c r="AJ93" s="1904"/>
      <c r="AK93" s="2130"/>
      <c r="AL93" s="2131"/>
      <c r="AM93" s="1968"/>
      <c r="AN93" s="1968"/>
      <c r="AO93" s="1968"/>
      <c r="AP93" s="1968"/>
      <c r="AQ93" s="1968"/>
      <c r="AR93" s="1968"/>
      <c r="AS93" s="1968"/>
      <c r="AT93" s="1968"/>
      <c r="AU93" s="1968"/>
      <c r="AV93" s="1968"/>
      <c r="AW93" s="1968"/>
      <c r="AX93" s="1968"/>
      <c r="AY93" s="1968"/>
      <c r="AZ93" s="1968"/>
      <c r="BA93" s="1968"/>
      <c r="BB93" s="1968"/>
      <c r="BC93" s="1968"/>
      <c r="BD93" s="1968"/>
      <c r="BE93" s="1968"/>
      <c r="BF93" s="1968"/>
    </row>
    <row r="95" s="7537" customFormat="1" customHeight="1" ht="11.25">
      <c r="A95" s="1960" t="s">
        <v>2216</v>
      </c>
    </row>
    <row r="97" s="7235" customFormat="1" customHeight="1" ht="11.25">
      <c r="A97" s="1312"/>
      <c r="B97" s="1312"/>
      <c r="C97" s="1312"/>
      <c r="D97" s="1306"/>
      <c r="E97" s="1316"/>
      <c r="F97" s="1975"/>
      <c r="G97" s="1975"/>
      <c r="H97" s="1975"/>
      <c r="I97" s="1975"/>
      <c r="J97" s="1975"/>
      <c r="K97" s="1975"/>
      <c r="L97" s="1975"/>
      <c r="M97" s="1975"/>
      <c r="N97" s="1975"/>
      <c r="O97" s="1975"/>
      <c r="P97" s="1975"/>
      <c r="Q97" s="1975"/>
      <c r="R97" s="1975"/>
      <c r="S97" s="1975"/>
      <c r="T97" s="1975"/>
      <c r="U97" s="1975"/>
      <c r="V97" s="1975"/>
      <c r="W97" s="1975"/>
      <c r="X97" s="1975"/>
      <c r="Y97" s="1975"/>
      <c r="Z97" s="1977"/>
      <c r="AA97" s="1959">
        <v>1</v>
      </c>
      <c r="AB97" s="1325"/>
      <c r="AC97" s="1315"/>
      <c r="AD97" s="1325">
        <f>AB97</f>
        <v>0</v>
      </c>
      <c r="AE97" s="1315"/>
      <c r="AF97" s="2232"/>
      <c r="AG97" s="1904"/>
      <c r="AH97" s="1904"/>
      <c r="AI97" s="2232"/>
      <c r="AJ97" s="1904"/>
      <c r="AK97" s="2130"/>
      <c r="AL97" s="2131"/>
      <c r="AM97" s="1968"/>
      <c r="AN97" s="1968"/>
      <c r="AO97" s="1968"/>
      <c r="AP97" s="1968"/>
      <c r="AQ97" s="1968"/>
      <c r="AR97" s="1968"/>
      <c r="AS97" s="1968"/>
      <c r="AT97" s="1968"/>
      <c r="AU97" s="1968"/>
      <c r="AV97" s="1968"/>
      <c r="AW97" s="1968"/>
      <c r="AX97" s="1968"/>
      <c r="AY97" s="1968"/>
      <c r="AZ97" s="1968"/>
      <c r="BA97" s="1968"/>
      <c r="BB97" s="1968"/>
      <c r="BC97" s="1968"/>
      <c r="BD97" s="1968"/>
      <c r="BE97" s="1968"/>
      <c r="BF97" s="1968"/>
    </row>
    <row r="99" s="7537" customFormat="1" customHeight="1" ht="11.25">
      <c r="A99" s="1960" t="s">
        <v>2217</v>
      </c>
    </row>
    <row r="101" s="7235" customFormat="1" customHeight="1" ht="11.25">
      <c r="A101" s="1312"/>
      <c r="B101" s="1312"/>
      <c r="C101" s="1312"/>
      <c r="D101" s="1306"/>
      <c r="E101" s="1316"/>
      <c r="F101" s="1974"/>
      <c r="G101" s="1975"/>
      <c r="H101" s="2674" t="s">
        <v>121</v>
      </c>
      <c r="I101" s="2675"/>
      <c r="J101" s="2644"/>
      <c r="K101" s="2676"/>
      <c r="L101" s="2266" t="s">
        <v>19</v>
      </c>
      <c r="M101" s="2267"/>
      <c r="N101" s="2129"/>
      <c r="O101" s="1323" t="s">
        <v>398</v>
      </c>
      <c r="P101" s="1324"/>
      <c r="Q101" s="1324"/>
      <c r="R101" s="1324"/>
      <c r="S101" s="1324"/>
      <c r="T101" s="1324"/>
      <c r="U101" s="1324"/>
      <c r="V101" s="1324"/>
      <c r="W101" s="1324"/>
      <c r="X101" s="1324"/>
      <c r="Y101" s="1324"/>
      <c r="Z101" s="1324"/>
      <c r="AA101" s="1324"/>
      <c r="AB101" s="1324"/>
      <c r="AC101" s="1324"/>
      <c r="AD101" s="1324"/>
      <c r="AE101" s="1324"/>
      <c r="AF101" s="2665"/>
      <c r="AG101" s="2666"/>
      <c r="AH101" s="2666"/>
      <c r="AI101" s="2665"/>
      <c r="AJ101" s="2666"/>
      <c r="AK101" s="2666"/>
      <c r="AL101" s="2131"/>
      <c r="AM101" s="1968"/>
      <c r="AN101" s="1968"/>
      <c r="AO101" s="1968"/>
      <c r="AP101" s="1968"/>
      <c r="AQ101" s="1968"/>
      <c r="AR101" s="1968"/>
      <c r="AS101" s="1968"/>
      <c r="AT101" s="1968"/>
      <c r="AU101" s="1968"/>
      <c r="AV101" s="1968"/>
      <c r="AW101" s="1968"/>
      <c r="AX101" s="1968"/>
      <c r="AY101" s="1968"/>
      <c r="AZ101" s="1968"/>
      <c r="BA101" s="1968"/>
      <c r="BB101" s="1968"/>
      <c r="BC101" s="1968"/>
      <c r="BD101" s="1968"/>
      <c r="BE101" s="1968"/>
      <c r="BF101" s="1968"/>
    </row>
    <row s="7235" customFormat="1" customHeight="1" ht="11.25">
      <c r="A102" s="1312"/>
      <c r="B102" s="1312"/>
      <c r="C102" s="1312"/>
      <c r="D102" s="1306"/>
      <c r="E102" s="1316"/>
      <c r="F102" s="1974"/>
      <c r="G102" s="1975"/>
      <c r="H102" s="2674"/>
      <c r="I102" s="2675"/>
      <c r="J102" s="2644"/>
      <c r="K102" s="2676"/>
      <c r="L102" s="2266"/>
      <c r="M102" s="2267"/>
      <c r="N102" s="2667"/>
      <c r="O102" s="2668">
        <v>1</v>
      </c>
      <c r="P102" s="2669" t="s">
        <v>19</v>
      </c>
      <c r="Q102" s="2672" t="s">
        <v>22</v>
      </c>
      <c r="R102" s="2672" t="s">
        <v>22</v>
      </c>
      <c r="S102" s="2672" t="s">
        <v>22</v>
      </c>
      <c r="T102" s="2672" t="s">
        <v>22</v>
      </c>
      <c r="U102" s="2672" t="s">
        <v>22</v>
      </c>
      <c r="V102" s="2672" t="s">
        <v>22</v>
      </c>
      <c r="W102" s="2672" t="s">
        <v>22</v>
      </c>
      <c r="X102" s="2672" t="s">
        <v>22</v>
      </c>
      <c r="Y102" s="2672"/>
      <c r="Z102" s="1321"/>
      <c r="AA102" s="1322"/>
      <c r="AB102" s="1322"/>
      <c r="AC102" s="1326"/>
      <c r="AD102" s="1326"/>
      <c r="AE102" s="1327"/>
      <c r="AF102" s="2665"/>
      <c r="AG102" s="2666"/>
      <c r="AH102" s="2666"/>
      <c r="AI102" s="2665"/>
      <c r="AJ102" s="2666"/>
      <c r="AK102" s="2666"/>
      <c r="AL102" s="2131"/>
      <c r="AM102" s="1968"/>
      <c r="AN102" s="1968"/>
      <c r="AO102" s="1968"/>
      <c r="AP102" s="1968"/>
      <c r="AQ102" s="1968"/>
      <c r="AR102" s="1968"/>
      <c r="AS102" s="1968"/>
      <c r="AT102" s="1968"/>
      <c r="AU102" s="1968"/>
      <c r="AV102" s="1968"/>
      <c r="AW102" s="1968"/>
      <c r="AX102" s="1968"/>
      <c r="AY102" s="1968"/>
      <c r="AZ102" s="1968"/>
      <c r="BA102" s="1968"/>
      <c r="BB102" s="1968"/>
      <c r="BC102" s="1968"/>
      <c r="BD102" s="1968"/>
      <c r="BE102" s="1968"/>
      <c r="BF102" s="1968"/>
    </row>
    <row s="7235" customFormat="1" customHeight="1" ht="11.25">
      <c r="A103" s="1312"/>
      <c r="B103" s="1312"/>
      <c r="C103" s="1312"/>
      <c r="D103" s="1306"/>
      <c r="E103" s="1316"/>
      <c r="F103" s="1974"/>
      <c r="G103" s="1975"/>
      <c r="H103" s="2674"/>
      <c r="I103" s="2675"/>
      <c r="J103" s="2644"/>
      <c r="K103" s="2676"/>
      <c r="L103" s="2266"/>
      <c r="M103" s="2267"/>
      <c r="N103" s="2667"/>
      <c r="O103" s="2668"/>
      <c r="P103" s="2670"/>
      <c r="Q103" s="2672"/>
      <c r="R103" s="2672"/>
      <c r="S103" s="2673"/>
      <c r="T103" s="2672"/>
      <c r="U103" s="2672"/>
      <c r="V103" s="2672"/>
      <c r="W103" s="2672"/>
      <c r="X103" s="2672"/>
      <c r="Y103" s="2672"/>
      <c r="Z103" s="1973"/>
      <c r="AA103" s="1939">
        <v>1</v>
      </c>
      <c r="AB103" s="1325"/>
      <c r="AC103" s="1315"/>
      <c r="AD103" s="1325">
        <f>AB103</f>
        <v>0</v>
      </c>
      <c r="AE103" s="1315"/>
      <c r="AF103" s="2665"/>
      <c r="AG103" s="2666"/>
      <c r="AH103" s="2666"/>
      <c r="AI103" s="2665"/>
      <c r="AJ103" s="2666"/>
      <c r="AK103" s="2666"/>
      <c r="AL103" s="2131"/>
      <c r="AM103" s="1968"/>
      <c r="AN103" s="1968"/>
      <c r="AO103" s="1968"/>
      <c r="AP103" s="1968"/>
      <c r="AQ103" s="1968"/>
      <c r="AR103" s="1968"/>
      <c r="AS103" s="1968"/>
      <c r="AT103" s="1968"/>
      <c r="AU103" s="1968"/>
      <c r="AV103" s="1968"/>
      <c r="AW103" s="1968"/>
      <c r="AX103" s="1968"/>
      <c r="AY103" s="1968"/>
      <c r="AZ103" s="1968"/>
      <c r="BA103" s="1968"/>
      <c r="BB103" s="1968"/>
      <c r="BC103" s="1968"/>
      <c r="BD103" s="1968"/>
      <c r="BE103" s="1968"/>
      <c r="BF103" s="1968"/>
    </row>
    <row s="7235" customFormat="1" customHeight="1" ht="11.25">
      <c r="A104" s="1312"/>
      <c r="B104" s="1312"/>
      <c r="C104" s="1312"/>
      <c r="D104" s="1306"/>
      <c r="E104" s="1316"/>
      <c r="F104" s="1974"/>
      <c r="G104" s="1975"/>
      <c r="H104" s="2674"/>
      <c r="I104" s="2675"/>
      <c r="J104" s="2644"/>
      <c r="K104" s="2676"/>
      <c r="L104" s="2266"/>
      <c r="M104" s="2267"/>
      <c r="N104" s="2667"/>
      <c r="O104" s="2668"/>
      <c r="P104" s="2671"/>
      <c r="Q104" s="2672"/>
      <c r="R104" s="2672"/>
      <c r="S104" s="2673"/>
      <c r="T104" s="2672"/>
      <c r="U104" s="2672"/>
      <c r="V104" s="2672"/>
      <c r="W104" s="2672"/>
      <c r="X104" s="2672"/>
      <c r="Y104" s="2672"/>
      <c r="Z104" s="1321"/>
      <c r="AA104" s="1322"/>
      <c r="AB104" s="1387" t="s">
        <v>1107</v>
      </c>
      <c r="AC104" s="1326"/>
      <c r="AD104" s="1326"/>
      <c r="AE104" s="1328"/>
      <c r="AF104" s="2665"/>
      <c r="AG104" s="2666"/>
      <c r="AH104" s="2666"/>
      <c r="AI104" s="2665"/>
      <c r="AJ104" s="2666"/>
      <c r="AK104" s="2666"/>
      <c r="AL104" s="2131"/>
      <c r="AM104" s="1968"/>
      <c r="AN104" s="1968"/>
      <c r="AO104" s="1968"/>
      <c r="AP104" s="1968"/>
      <c r="AQ104" s="1968"/>
      <c r="AR104" s="1968"/>
      <c r="AS104" s="1968"/>
      <c r="AT104" s="1968"/>
      <c r="AU104" s="1968"/>
      <c r="AV104" s="1968"/>
      <c r="AW104" s="1968"/>
      <c r="AX104" s="1968"/>
      <c r="AY104" s="1968"/>
      <c r="AZ104" s="1968"/>
      <c r="BA104" s="1968"/>
      <c r="BB104" s="1968"/>
      <c r="BC104" s="1968"/>
      <c r="BD104" s="1968"/>
      <c r="BE104" s="1968"/>
      <c r="BF104" s="1968"/>
    </row>
    <row s="7235" customFormat="1" customHeight="1" ht="11.25">
      <c r="A105" s="1312"/>
      <c r="B105" s="1312"/>
      <c r="C105" s="1312"/>
      <c r="D105" s="1306"/>
      <c r="E105" s="1316"/>
      <c r="F105" s="1974"/>
      <c r="G105" s="1975"/>
      <c r="H105" s="2674"/>
      <c r="I105" s="2675"/>
      <c r="J105" s="2644"/>
      <c r="K105" s="2676"/>
      <c r="L105" s="2266"/>
      <c r="M105" s="2267"/>
      <c r="N105" s="1321"/>
      <c r="O105" s="1322"/>
      <c r="P105" s="1314" t="s">
        <v>1108</v>
      </c>
      <c r="Q105" s="1322"/>
      <c r="R105" s="1322"/>
      <c r="S105" s="1322"/>
      <c r="T105" s="1322"/>
      <c r="U105" s="1322"/>
      <c r="V105" s="1322"/>
      <c r="W105" s="1322"/>
      <c r="X105" s="1322"/>
      <c r="Y105" s="1322"/>
      <c r="Z105" s="1322"/>
      <c r="AA105" s="1322"/>
      <c r="AB105" s="1322"/>
      <c r="AC105" s="1322"/>
      <c r="AD105" s="1322"/>
      <c r="AE105" s="1329"/>
      <c r="AF105" s="2665"/>
      <c r="AG105" s="2666"/>
      <c r="AH105" s="2666"/>
      <c r="AI105" s="2665"/>
      <c r="AJ105" s="2666"/>
      <c r="AK105" s="2666"/>
      <c r="AL105" s="2131"/>
      <c r="AM105" s="1968"/>
      <c r="AN105" s="1968"/>
      <c r="AO105" s="1968"/>
      <c r="AP105" s="1968"/>
      <c r="AQ105" s="1968"/>
      <c r="AR105" s="1968"/>
      <c r="AS105" s="1968"/>
      <c r="AT105" s="1968"/>
      <c r="AU105" s="1968"/>
      <c r="AV105" s="1968"/>
      <c r="AW105" s="1968"/>
      <c r="AX105" s="1968"/>
      <c r="AY105" s="1968"/>
      <c r="AZ105" s="1968"/>
      <c r="BA105" s="1968"/>
      <c r="BB105" s="1968"/>
      <c r="BC105" s="1968"/>
      <c r="BD105" s="1968"/>
      <c r="BE105" s="1968"/>
      <c r="BF105" s="1968"/>
    </row>
    <row r="107" s="7537" customFormat="1" customHeight="1" ht="11.25">
      <c r="A107" s="1960" t="s">
        <v>2218</v>
      </c>
    </row>
    <row customHeight="1" ht="17.25"/>
    <row s="7070" customFormat="1" customHeight="1" ht="21">
      <c r="A109" s="1313"/>
      <c r="B109" s="1086"/>
      <c r="D109" s="1070"/>
      <c r="E109" s="1085" t="s">
        <v>22</v>
      </c>
      <c r="F109" s="1267">
        <f>INDEX(IP_MAIN_LIST_NAME_IP,MATCH(A109,IP_MAIN_LIST_IP_ID,0))&amp;" ("&amp;INDEX(IP_MAIN_START_DATE,MATCH(A109,IP_MAIN_LIST_IP_ID,0))&amp;"-"&amp;INDEX(IP_MAIN_END_DATE,MATCH(A109,IP_MAIN_LIST_IP_ID,0))&amp;")"</f>
      </c>
      <c r="G109" s="1349"/>
      <c r="H109" s="1350"/>
      <c r="I109" s="1350"/>
      <c r="J109" s="1350"/>
      <c r="K109" s="1350"/>
      <c r="L109" s="1350"/>
      <c r="M109" s="1350"/>
      <c r="N109" s="1350"/>
      <c r="O109" s="1349"/>
      <c r="P109" s="1349"/>
      <c r="Q109" s="1349"/>
      <c r="R109" s="1349"/>
      <c r="S109" s="1349"/>
      <c r="T109" s="1349"/>
      <c r="U109" s="1351"/>
      <c r="V109" s="1351"/>
      <c r="W109" s="1351"/>
      <c r="X109" s="1351"/>
      <c r="Y109" s="1351"/>
      <c r="Z109" s="1351"/>
      <c r="AA109" s="1351"/>
      <c r="AB109" s="1349"/>
      <c r="AC109" s="1350"/>
      <c r="AD109" s="1350"/>
      <c r="AE109" s="1350"/>
      <c r="AF109" s="1350"/>
      <c r="AG109" s="1350"/>
      <c r="AH109" s="1350"/>
      <c r="AI109" s="1350"/>
      <c r="AJ109" s="1350"/>
      <c r="AK109" s="1350"/>
      <c r="AL109" s="1350"/>
      <c r="AM109" s="1350"/>
      <c r="AN109" s="1350"/>
      <c r="AO109" s="1350"/>
      <c r="AP109" s="1350"/>
      <c r="AQ109" s="1350"/>
      <c r="AR109" s="1350"/>
      <c r="AS109" s="1350"/>
      <c r="AT109" s="1350"/>
      <c r="AU109" s="1350"/>
      <c r="AV109" s="1350"/>
      <c r="AW109" s="1350"/>
      <c r="AX109" s="1350"/>
      <c r="AY109" s="1350"/>
      <c r="AZ109" s="1350"/>
      <c r="BA109" s="1350"/>
      <c r="BB109" s="1350"/>
      <c r="BC109" s="1350"/>
      <c r="BD109" s="1350"/>
      <c r="BE109" s="1350"/>
      <c r="BF109" s="1350"/>
      <c r="BG109" s="1350"/>
      <c r="BH109" s="1350"/>
      <c r="BI109" s="1350"/>
      <c r="BJ109" s="1350"/>
      <c r="BK109" s="1350"/>
      <c r="BL109" s="1350"/>
      <c r="BM109" s="1350"/>
      <c r="BN109" s="1350"/>
      <c r="BO109" s="1350"/>
      <c r="BP109" s="1350"/>
      <c r="BQ109" s="1350"/>
      <c r="BR109" s="1350"/>
      <c r="BS109" s="1350"/>
      <c r="BT109" s="1350"/>
      <c r="BU109" s="1350"/>
      <c r="BV109" s="1350"/>
      <c r="BW109" s="1350"/>
      <c r="BX109" s="1350"/>
      <c r="BY109" s="1350"/>
      <c r="BZ109" s="1350"/>
      <c r="CA109" s="1350"/>
      <c r="CB109" s="1350"/>
      <c r="CC109" s="1350"/>
      <c r="CD109" s="1350"/>
      <c r="CE109" s="1350"/>
      <c r="CF109" s="1350"/>
      <c r="CG109" s="1350"/>
      <c r="CH109" s="1350"/>
      <c r="CI109" s="1350"/>
      <c r="CJ109" s="1350"/>
      <c r="CK109" s="1350"/>
      <c r="CL109" s="1352"/>
      <c r="CM109" s="1352"/>
      <c r="CN109" s="1352"/>
      <c r="CO109" s="1352"/>
      <c r="CP109" s="1352"/>
      <c r="CQ109" s="1352"/>
      <c r="CR109" s="1352"/>
      <c r="CS109" s="1352"/>
      <c r="CT109" s="1352"/>
      <c r="CU109" s="1352"/>
      <c r="CV109" s="1352"/>
      <c r="CW109" s="1352"/>
      <c r="CX109" s="1352"/>
      <c r="CY109" s="1352"/>
      <c r="CZ109" s="1352"/>
      <c r="DA109" s="1352"/>
      <c r="DB109" s="1352"/>
      <c r="DC109" s="1352"/>
      <c r="DD109" s="1352"/>
      <c r="DE109" s="1352"/>
      <c r="DF109" s="1352"/>
      <c r="DG109" s="1352"/>
      <c r="DH109" s="1352"/>
      <c r="DI109" s="1352"/>
      <c r="DJ109" s="1352"/>
      <c r="DK109" s="1352"/>
      <c r="DL109" s="1352"/>
      <c r="DM109" s="1352"/>
      <c r="DN109" s="1352"/>
      <c r="DO109" s="1352"/>
      <c r="DP109" s="1352"/>
      <c r="DQ109" s="1352"/>
      <c r="DR109" s="1352"/>
      <c r="DS109" s="1352"/>
      <c r="DT109" s="1352"/>
      <c r="DU109" s="1352"/>
      <c r="DV109" s="1352"/>
      <c r="DW109" s="1352"/>
      <c r="DX109" s="1352"/>
      <c r="DY109" s="1352"/>
      <c r="DZ109" s="1352"/>
      <c r="EA109" s="1352"/>
      <c r="EB109" s="1352"/>
      <c r="EC109" s="1352"/>
      <c r="ED109" s="1352"/>
      <c r="EE109" s="1352"/>
      <c r="EF109" s="1352"/>
      <c r="EG109" s="1352"/>
      <c r="EH109" s="1352"/>
      <c r="EI109" s="1352"/>
      <c r="EJ109" s="1352"/>
      <c r="EK109" s="1352"/>
      <c r="EL109" s="1352"/>
      <c r="EM109" s="1352"/>
      <c r="EN109" s="1352"/>
      <c r="EO109" s="1352"/>
      <c r="EP109" s="1352"/>
      <c r="EQ109" s="1352"/>
      <c r="ER109" s="1352"/>
      <c r="ES109" s="1352"/>
      <c r="ET109" s="1352"/>
      <c r="EU109" s="1352"/>
      <c r="EV109" s="1352"/>
      <c r="EW109" s="1352"/>
      <c r="EX109" s="1352"/>
      <c r="EY109" s="1352"/>
      <c r="EZ109" s="1352"/>
      <c r="FA109" s="1352"/>
      <c r="FB109" s="1352"/>
      <c r="FC109" s="1352"/>
      <c r="FD109" s="1352"/>
      <c r="FE109" s="1352"/>
      <c r="FF109" s="1352"/>
      <c r="FG109" s="1352"/>
      <c r="FH109" s="1352"/>
      <c r="FI109" s="1352"/>
      <c r="FJ109" s="1352"/>
      <c r="FK109" s="1352"/>
      <c r="FL109" s="1352"/>
      <c r="FM109" s="1352"/>
      <c r="FN109" s="1352"/>
      <c r="FO109" s="1352"/>
      <c r="FP109" s="1352"/>
      <c r="FQ109" s="1352"/>
      <c r="FR109" s="1352"/>
      <c r="FS109" s="1352"/>
      <c r="FT109" s="1352"/>
      <c r="FU109" s="1352"/>
      <c r="FV109" s="1353"/>
      <c r="FW109" s="1347"/>
      <c r="FX109" s="1348"/>
    </row>
    <row s="7070" customFormat="1" customHeight="1" ht="24.75">
      <c r="B110" s="1069"/>
      <c r="C110" s="1070"/>
      <c r="D110" s="1070"/>
      <c r="E110" s="1978"/>
      <c r="F110" s="1354">
        <v>1</v>
      </c>
      <c r="G110" s="1355"/>
      <c r="H110" s="1356"/>
      <c r="I110" s="2125"/>
      <c r="J110" s="1357"/>
      <c r="K110" s="1357"/>
      <c r="L110" s="1357"/>
      <c r="M110" s="1357"/>
      <c r="N110" s="1357"/>
      <c r="O110" s="1358"/>
      <c r="P110" s="1358"/>
      <c r="Q110" s="1358"/>
      <c r="R110" s="1358"/>
      <c r="S110" s="1358"/>
      <c r="T110" s="1358"/>
      <c r="U110" s="1358"/>
      <c r="V110" s="1358"/>
      <c r="W110" s="1358"/>
      <c r="X110" s="1358"/>
      <c r="Y110" s="1358"/>
      <c r="Z110" s="1358"/>
      <c r="AA110" s="1358"/>
      <c r="AB110" s="1358"/>
      <c r="AC110" s="1357"/>
      <c r="AD110" s="1357"/>
      <c r="AE110" s="1357"/>
      <c r="AF110" s="1357"/>
      <c r="AG110" s="1357"/>
      <c r="AH110" s="1357"/>
      <c r="AI110" s="1357"/>
      <c r="AJ110" s="1357"/>
      <c r="AK110" s="1357"/>
      <c r="AL110" s="1357"/>
      <c r="AM110" s="1357"/>
      <c r="AN110" s="1357"/>
      <c r="AO110" s="1357"/>
      <c r="AP110" s="1357"/>
      <c r="AQ110" s="1357"/>
      <c r="AR110" s="1357"/>
      <c r="AS110" s="1357"/>
      <c r="AT110" s="1357"/>
      <c r="AU110" s="1357"/>
      <c r="AV110" s="1357"/>
      <c r="AW110" s="1357"/>
      <c r="AX110" s="1357"/>
      <c r="AY110" s="1357"/>
      <c r="AZ110" s="1357"/>
      <c r="BA110" s="1357"/>
      <c r="BB110" s="1357"/>
      <c r="BC110" s="1357"/>
      <c r="BD110" s="1357"/>
      <c r="BE110" s="1357"/>
      <c r="BF110" s="1357"/>
      <c r="BG110" s="1357"/>
      <c r="BH110" s="1357"/>
      <c r="BI110" s="1357"/>
      <c r="BJ110" s="1357"/>
      <c r="BK110" s="1357"/>
      <c r="BL110" s="1357"/>
      <c r="BM110" s="1357"/>
      <c r="BN110" s="1357"/>
      <c r="BO110" s="1357"/>
      <c r="BP110" s="1357"/>
      <c r="BQ110" s="1357"/>
      <c r="BR110" s="1357"/>
      <c r="BS110" s="1357"/>
      <c r="BT110" s="1358"/>
      <c r="BU110" s="1358"/>
      <c r="BV110" s="1358"/>
      <c r="BW110" s="1358"/>
      <c r="BX110" s="1358"/>
      <c r="BY110" s="1358"/>
      <c r="BZ110" s="1358"/>
      <c r="CA110" s="1358"/>
      <c r="CB110" s="1358"/>
      <c r="CC110" s="1358"/>
      <c r="CD110" s="1358"/>
      <c r="CE110" s="1358"/>
      <c r="CF110" s="1358"/>
      <c r="CG110" s="1358"/>
      <c r="CH110" s="1358"/>
      <c r="CI110" s="1358"/>
      <c r="CJ110" s="1358"/>
      <c r="CK110" s="1358"/>
      <c r="CL110" s="1357"/>
      <c r="CM110" s="1357"/>
      <c r="CN110" s="1357"/>
      <c r="CO110" s="1357"/>
      <c r="CP110" s="1357"/>
      <c r="CQ110" s="1357"/>
      <c r="CR110" s="1357"/>
      <c r="CS110" s="1357"/>
      <c r="CT110" s="1357"/>
      <c r="CU110" s="1357"/>
      <c r="CV110" s="1357"/>
      <c r="CW110" s="1357"/>
      <c r="CX110" s="1357"/>
      <c r="CY110" s="1358"/>
      <c r="CZ110" s="1358"/>
      <c r="DA110" s="1358"/>
      <c r="DB110" s="1358"/>
      <c r="DC110" s="1358"/>
      <c r="DD110" s="1358"/>
      <c r="DE110" s="1358"/>
      <c r="DF110" s="1358"/>
      <c r="DG110" s="1358"/>
      <c r="DH110" s="1358"/>
      <c r="DI110" s="1358"/>
      <c r="DJ110" s="1358"/>
      <c r="DK110" s="1357"/>
      <c r="DL110" s="1357"/>
      <c r="DM110" s="1357"/>
      <c r="DN110" s="1357"/>
      <c r="DO110" s="1357"/>
      <c r="DP110" s="1357"/>
      <c r="DQ110" s="1357"/>
      <c r="DR110" s="1357"/>
      <c r="DS110" s="1357"/>
      <c r="DT110" s="1357"/>
      <c r="DU110" s="1357"/>
      <c r="DV110" s="1357"/>
      <c r="DW110" s="1357"/>
      <c r="DX110" s="1357"/>
      <c r="DY110" s="1357"/>
      <c r="DZ110" s="1357"/>
      <c r="EA110" s="1357"/>
      <c r="EB110" s="1357"/>
      <c r="EC110" s="1357"/>
      <c r="ED110" s="1357"/>
      <c r="EE110" s="1357"/>
      <c r="EF110" s="1357"/>
      <c r="EG110" s="1357"/>
      <c r="EH110" s="1357"/>
      <c r="EI110" s="1357"/>
      <c r="EJ110" s="1357"/>
      <c r="EK110" s="1357"/>
      <c r="EL110" s="1357"/>
      <c r="EM110" s="1357"/>
      <c r="EN110" s="1357"/>
      <c r="EO110" s="1357"/>
      <c r="EP110" s="1357"/>
      <c r="EQ110" s="1357"/>
      <c r="ER110" s="1357"/>
      <c r="ES110" s="1357"/>
      <c r="ET110" s="1357"/>
      <c r="EU110" s="1357"/>
      <c r="EV110" s="1357"/>
      <c r="EW110" s="1357"/>
      <c r="EX110" s="1357"/>
      <c r="EY110" s="1357"/>
      <c r="EZ110" s="1357"/>
      <c r="FA110" s="1357"/>
      <c r="FB110" s="1357"/>
      <c r="FC110" s="1357"/>
      <c r="FD110" s="1357"/>
      <c r="FE110" s="1357"/>
      <c r="FF110" s="1357"/>
      <c r="FG110" s="1357"/>
      <c r="FH110" s="1357"/>
      <c r="FI110" s="1357"/>
      <c r="FJ110" s="1357"/>
      <c r="FK110" s="1357"/>
      <c r="FL110" s="1357"/>
      <c r="FM110" s="1357"/>
      <c r="FN110" s="1357"/>
      <c r="FO110" s="1357"/>
      <c r="FP110" s="1357"/>
      <c r="FQ110" s="1357"/>
      <c r="FR110" s="1357"/>
      <c r="FS110" s="1357"/>
      <c r="FT110" s="1357"/>
      <c r="FU110" s="1357"/>
      <c r="FV110" s="1357"/>
      <c r="FW110" s="1357"/>
      <c r="FX110" s="1348"/>
    </row>
    <row s="7070" customFormat="1" customHeight="1" ht="12">
      <c r="A111" s="1070"/>
      <c r="B111" s="1069"/>
      <c r="C111" s="1070"/>
      <c r="D111" s="1070"/>
      <c r="E111" s="1070"/>
      <c r="F111" s="1359"/>
      <c r="G111" s="1945" t="s">
        <v>1461</v>
      </c>
      <c r="H111" s="1360"/>
      <c r="I111" s="1360"/>
      <c r="J111" s="1360"/>
      <c r="K111" s="1360"/>
      <c r="L111" s="1360"/>
      <c r="M111" s="1360"/>
      <c r="N111" s="1360"/>
      <c r="O111" s="1360"/>
      <c r="P111" s="1360"/>
      <c r="Q111" s="1360"/>
      <c r="R111" s="1360"/>
      <c r="S111" s="1360"/>
      <c r="T111" s="1360"/>
      <c r="U111" s="1360"/>
      <c r="V111" s="1360"/>
      <c r="W111" s="1360"/>
      <c r="X111" s="1360"/>
      <c r="Y111" s="1360"/>
      <c r="Z111" s="1360"/>
      <c r="AA111" s="1360"/>
      <c r="AB111" s="1360"/>
      <c r="AC111" s="1360"/>
      <c r="AD111" s="1360"/>
      <c r="AE111" s="1360"/>
      <c r="AF111" s="1360"/>
      <c r="AG111" s="1360"/>
      <c r="AH111" s="1360"/>
      <c r="AI111" s="1360"/>
      <c r="AJ111" s="1360"/>
      <c r="AK111" s="1360"/>
      <c r="AL111" s="1360"/>
      <c r="AM111" s="1360"/>
      <c r="AN111" s="1360"/>
      <c r="AO111" s="1360"/>
      <c r="AP111" s="1360"/>
      <c r="AQ111" s="1360"/>
      <c r="AR111" s="1360"/>
      <c r="AS111" s="1360"/>
      <c r="AT111" s="1360"/>
      <c r="AU111" s="1360"/>
      <c r="AV111" s="1360"/>
      <c r="AW111" s="1360"/>
      <c r="AX111" s="1360"/>
      <c r="AY111" s="1360"/>
      <c r="AZ111" s="1360"/>
      <c r="BA111" s="1360"/>
      <c r="BB111" s="1360"/>
      <c r="BC111" s="1360"/>
      <c r="BD111" s="1360"/>
      <c r="BE111" s="1360"/>
      <c r="BF111" s="1360"/>
      <c r="BG111" s="1360"/>
      <c r="BH111" s="1360"/>
      <c r="BI111" s="1360"/>
      <c r="BJ111" s="1360"/>
      <c r="BK111" s="1360"/>
      <c r="BL111" s="1360"/>
      <c r="BM111" s="1360"/>
      <c r="BN111" s="1360"/>
      <c r="BO111" s="1360"/>
      <c r="BP111" s="1360"/>
      <c r="BQ111" s="1360"/>
      <c r="BR111" s="1360"/>
      <c r="BS111" s="1360"/>
      <c r="BT111" s="1360"/>
      <c r="BU111" s="1360"/>
      <c r="BV111" s="1360"/>
      <c r="BW111" s="1360"/>
      <c r="BX111" s="1360"/>
      <c r="BY111" s="1360"/>
      <c r="BZ111" s="1360"/>
      <c r="CA111" s="1360"/>
      <c r="CB111" s="1360"/>
      <c r="CC111" s="1360"/>
      <c r="CD111" s="1360"/>
      <c r="CE111" s="1360"/>
      <c r="CF111" s="1360"/>
      <c r="CG111" s="1360"/>
      <c r="CH111" s="1360"/>
      <c r="CI111" s="1360"/>
      <c r="CJ111" s="1360"/>
      <c r="CK111" s="1360"/>
      <c r="CL111" s="1360"/>
      <c r="CM111" s="1360"/>
      <c r="CN111" s="1360"/>
      <c r="CO111" s="1360"/>
      <c r="CP111" s="1360"/>
      <c r="CQ111" s="1360"/>
      <c r="CR111" s="1360"/>
      <c r="CS111" s="1360"/>
      <c r="CT111" s="1360"/>
      <c r="CU111" s="1360"/>
      <c r="CV111" s="1360"/>
      <c r="CW111" s="1360"/>
      <c r="CX111" s="1360"/>
      <c r="CY111" s="1360"/>
      <c r="CZ111" s="1360"/>
      <c r="DA111" s="1360"/>
      <c r="DB111" s="1360"/>
      <c r="DC111" s="1360"/>
      <c r="DD111" s="1360"/>
      <c r="DE111" s="1360"/>
      <c r="DF111" s="1360"/>
      <c r="DG111" s="1360"/>
      <c r="DH111" s="1360"/>
      <c r="DI111" s="1360"/>
      <c r="DJ111" s="1360"/>
      <c r="DK111" s="1360"/>
      <c r="DL111" s="1360"/>
      <c r="DM111" s="1360"/>
      <c r="DN111" s="1360"/>
      <c r="DO111" s="1360"/>
      <c r="DP111" s="1360"/>
      <c r="DQ111" s="1360"/>
      <c r="DR111" s="1360"/>
      <c r="DS111" s="1360"/>
      <c r="DT111" s="1360"/>
      <c r="DU111" s="1360"/>
      <c r="DV111" s="1360"/>
      <c r="DW111" s="1360"/>
      <c r="DX111" s="1360"/>
      <c r="DY111" s="1360"/>
      <c r="DZ111" s="1360"/>
      <c r="EA111" s="1360"/>
      <c r="EB111" s="1360"/>
      <c r="EC111" s="1360"/>
      <c r="ED111" s="1360"/>
      <c r="EE111" s="1360"/>
      <c r="EF111" s="1360"/>
      <c r="EG111" s="1360"/>
      <c r="EH111" s="1360"/>
      <c r="EI111" s="1360"/>
      <c r="EJ111" s="1360"/>
      <c r="EK111" s="1360"/>
      <c r="EL111" s="1360"/>
      <c r="EM111" s="1360"/>
      <c r="EN111" s="1360"/>
      <c r="EO111" s="1360"/>
      <c r="EP111" s="1360"/>
      <c r="EQ111" s="1360"/>
      <c r="ER111" s="1360"/>
      <c r="ES111" s="1360"/>
      <c r="ET111" s="1360"/>
      <c r="EU111" s="1360"/>
      <c r="EV111" s="1360"/>
      <c r="EW111" s="1360"/>
      <c r="EX111" s="1360"/>
      <c r="EY111" s="1360"/>
      <c r="EZ111" s="1360"/>
      <c r="FA111" s="1360"/>
      <c r="FB111" s="1360"/>
      <c r="FC111" s="1360"/>
      <c r="FD111" s="1360"/>
      <c r="FE111" s="1360"/>
      <c r="FF111" s="1360"/>
      <c r="FG111" s="1360"/>
      <c r="FH111" s="1360"/>
      <c r="FI111" s="1360"/>
      <c r="FJ111" s="1360"/>
      <c r="FK111" s="1360"/>
      <c r="FL111" s="1360"/>
      <c r="FM111" s="1360"/>
      <c r="FN111" s="1360"/>
      <c r="FO111" s="1360"/>
      <c r="FP111" s="1360"/>
      <c r="FQ111" s="1360"/>
      <c r="FR111" s="1360"/>
      <c r="FS111" s="1360"/>
      <c r="FT111" s="1360"/>
      <c r="FU111" s="1360"/>
      <c r="FV111" s="1360"/>
      <c r="FW111" s="1361"/>
      <c r="FX111" s="1362"/>
      <c r="FY111" s="1087"/>
      <c r="FZ111" s="1087"/>
      <c r="GA111" s="1087"/>
      <c r="GB111" s="1087"/>
    </row>
    <row r="113" s="7537" customFormat="1" customHeight="1" ht="11.25">
      <c r="A113" s="1960" t="s">
        <v>2219</v>
      </c>
    </row>
    <row r="115" s="7976" customFormat="1" customHeight="1" ht="15">
      <c r="A115" s="769"/>
      <c r="B115" s="770"/>
      <c r="C115" s="770"/>
      <c r="D115" s="2737" t="s">
        <v>121</v>
      </c>
      <c r="E115" s="2536" t="s">
        <v>117</v>
      </c>
      <c r="F115" s="2537"/>
      <c r="G115" s="2538"/>
      <c r="H115" s="2542" t="str">
        <f>IF(A115="","",INDEX(DIFFERENTIATION_UNMERGE_VD,MATCH(A115,DIFFERENTIATION_ID_DIFF,0)))</f>
        <v/>
      </c>
      <c r="I115" s="2542"/>
      <c r="J115" s="2542"/>
      <c r="K115" s="2542"/>
      <c r="L115" s="2542"/>
      <c r="M115" s="2542"/>
      <c r="N115" s="2542"/>
      <c r="O115" s="2542"/>
      <c r="P115" s="2542"/>
      <c r="Q115" s="2542"/>
      <c r="R115" s="2542"/>
      <c r="S115" s="865"/>
      <c r="T115" s="862"/>
      <c r="U115" s="771"/>
      <c r="V115" s="771"/>
      <c r="W115" s="772"/>
      <c r="X115" s="772"/>
      <c r="Y115" s="772"/>
      <c r="Z115" s="772"/>
      <c r="AA115" s="773"/>
      <c r="AB115" s="774"/>
      <c r="AC115" s="2534"/>
      <c r="AD115" s="775"/>
      <c r="AE115" s="776" t="s">
        <v>22</v>
      </c>
      <c r="AF115" s="776"/>
      <c r="AG115" s="777" t="s">
        <v>648</v>
      </c>
      <c r="AH115" s="778">
        <v>3</v>
      </c>
      <c r="AI115" s="771"/>
      <c r="AJ115" s="771"/>
      <c r="AK115" s="771"/>
      <c r="AL115" s="771"/>
      <c r="AM115" s="771"/>
      <c r="AN115" s="771"/>
      <c r="AO115" s="771"/>
      <c r="AP115" s="771"/>
      <c r="AQ115" s="771"/>
      <c r="AR115" s="771"/>
      <c r="AS115" s="771"/>
      <c r="AT115" s="771"/>
      <c r="AU115" s="771"/>
      <c r="AV115" s="771"/>
      <c r="AW115" s="771"/>
      <c r="AX115" s="771"/>
      <c r="AY115" s="771"/>
      <c r="AZ115" s="771"/>
      <c r="BA115" s="771"/>
      <c r="BB115" s="771"/>
      <c r="BC115" s="771"/>
      <c r="BD115" s="771"/>
      <c r="BE115" s="771"/>
      <c r="BF115" s="771"/>
      <c r="BG115" s="771"/>
      <c r="BH115" s="771"/>
      <c r="BI115" s="771"/>
      <c r="BJ115" s="771"/>
      <c r="BK115" s="771"/>
      <c r="BL115" s="771"/>
      <c r="BM115" s="771"/>
      <c r="BN115" s="771"/>
      <c r="BO115" s="771"/>
      <c r="BP115" s="771"/>
      <c r="BQ115" s="771"/>
      <c r="BR115" s="771"/>
      <c r="BS115" s="771"/>
      <c r="BT115" s="771"/>
      <c r="BU115" s="771"/>
      <c r="BV115" s="772"/>
      <c r="BW115" s="772"/>
      <c r="BX115" s="772"/>
      <c r="BY115" s="772"/>
      <c r="BZ115" s="772"/>
      <c r="CA115" s="772"/>
      <c r="CB115" s="772"/>
      <c r="CC115" s="772"/>
      <c r="CD115" s="772"/>
      <c r="CE115" s="772"/>
    </row>
    <row s="7976" customFormat="1" customHeight="1" ht="15">
      <c r="A116" s="769"/>
      <c r="B116" s="770"/>
      <c r="C116" s="770"/>
      <c r="D116" s="2738"/>
      <c r="E116" s="2536" t="s">
        <v>586</v>
      </c>
      <c r="F116" s="2537"/>
      <c r="G116" s="2538"/>
      <c r="H116" s="2542" t="str">
        <f>IF(A115="","",INDEX(DIFFERENTIATION_UNMERGE_AREA,MATCH(A115,DIFFERENTIATION_ID_DIFF,0)))</f>
        <v/>
      </c>
      <c r="I116" s="2542"/>
      <c r="J116" s="2542"/>
      <c r="K116" s="2542"/>
      <c r="L116" s="2542"/>
      <c r="M116" s="2542"/>
      <c r="N116" s="2542"/>
      <c r="O116" s="2542"/>
      <c r="P116" s="2542"/>
      <c r="Q116" s="2542"/>
      <c r="R116" s="2542"/>
      <c r="S116" s="865"/>
      <c r="T116" s="862"/>
      <c r="U116" s="771"/>
      <c r="V116" s="771"/>
      <c r="W116" s="772"/>
      <c r="X116" s="772"/>
      <c r="Y116" s="772"/>
      <c r="Z116" s="772"/>
      <c r="AA116" s="773"/>
      <c r="AB116" s="774"/>
      <c r="AC116" s="2534"/>
      <c r="AD116" s="775"/>
      <c r="AE116" s="776"/>
      <c r="AF116" s="776"/>
      <c r="AG116" s="777"/>
      <c r="AH116" s="778"/>
      <c r="AI116" s="771"/>
      <c r="AJ116" s="771"/>
      <c r="AK116" s="771"/>
      <c r="AL116" s="771"/>
      <c r="AM116" s="771"/>
      <c r="AN116" s="771"/>
      <c r="AO116" s="771"/>
      <c r="AP116" s="771"/>
      <c r="AQ116" s="771"/>
      <c r="AR116" s="771"/>
      <c r="AS116" s="771"/>
      <c r="AT116" s="771"/>
      <c r="AU116" s="771"/>
      <c r="AV116" s="771"/>
      <c r="AW116" s="771"/>
      <c r="AX116" s="771"/>
      <c r="AY116" s="771"/>
      <c r="AZ116" s="771"/>
      <c r="BA116" s="771"/>
      <c r="BB116" s="771"/>
      <c r="BC116" s="771"/>
      <c r="BD116" s="771"/>
      <c r="BE116" s="771"/>
      <c r="BF116" s="771"/>
      <c r="BG116" s="771"/>
      <c r="BH116" s="771"/>
      <c r="BI116" s="771"/>
      <c r="BJ116" s="771"/>
      <c r="BK116" s="771"/>
      <c r="BL116" s="771"/>
      <c r="BM116" s="771"/>
      <c r="BN116" s="771"/>
      <c r="BO116" s="771"/>
      <c r="BP116" s="771"/>
      <c r="BQ116" s="771"/>
      <c r="BR116" s="771"/>
      <c r="BS116" s="771"/>
      <c r="BT116" s="771"/>
      <c r="BU116" s="771"/>
      <c r="BV116" s="772"/>
      <c r="BW116" s="772"/>
      <c r="BX116" s="772"/>
      <c r="BY116" s="772"/>
      <c r="BZ116" s="772"/>
      <c r="CA116" s="772"/>
      <c r="CB116" s="772"/>
      <c r="CC116" s="772"/>
      <c r="CD116" s="772"/>
      <c r="CE116" s="772"/>
    </row>
    <row s="7976" customFormat="1" customHeight="1" ht="15">
      <c r="A117" s="769"/>
      <c r="B117" s="770"/>
      <c r="C117" s="770"/>
      <c r="D117" s="2738"/>
      <c r="E117" s="2536" t="s">
        <v>587</v>
      </c>
      <c r="F117" s="2537"/>
      <c r="G117" s="2538"/>
      <c r="H117" s="2542" t="str">
        <f>IF(A115="","",INDEX(DIFFERENTIATION_UNMERGE_SYSTEM,MATCH(A115,DIFFERENTIATION_ID_DIFF,0)))</f>
        <v/>
      </c>
      <c r="I117" s="2542"/>
      <c r="J117" s="2542"/>
      <c r="K117" s="2542"/>
      <c r="L117" s="2542"/>
      <c r="M117" s="2542"/>
      <c r="N117" s="2542"/>
      <c r="O117" s="2542"/>
      <c r="P117" s="2542"/>
      <c r="Q117" s="2542"/>
      <c r="R117" s="2542"/>
      <c r="S117" s="865"/>
      <c r="T117" s="862"/>
      <c r="U117" s="771"/>
      <c r="V117" s="771"/>
      <c r="W117" s="772"/>
      <c r="X117" s="772"/>
      <c r="Y117" s="772"/>
      <c r="Z117" s="772"/>
      <c r="AA117" s="773"/>
      <c r="AB117" s="774"/>
      <c r="AC117" s="2534"/>
      <c r="AD117" s="775"/>
      <c r="AE117" s="776"/>
      <c r="AF117" s="776"/>
      <c r="AG117" s="777"/>
      <c r="AH117" s="778"/>
      <c r="AI117" s="771"/>
      <c r="AJ117" s="771"/>
      <c r="AK117" s="771"/>
      <c r="AL117" s="771"/>
      <c r="AM117" s="771"/>
      <c r="AN117" s="771"/>
      <c r="AO117" s="771"/>
      <c r="AP117" s="771"/>
      <c r="AQ117" s="771"/>
      <c r="AR117" s="771"/>
      <c r="AS117" s="771"/>
      <c r="AT117" s="771"/>
      <c r="AU117" s="771"/>
      <c r="AV117" s="771"/>
      <c r="AW117" s="771"/>
      <c r="AX117" s="771"/>
      <c r="AY117" s="771"/>
      <c r="AZ117" s="771"/>
      <c r="BA117" s="771"/>
      <c r="BB117" s="771"/>
      <c r="BC117" s="771"/>
      <c r="BD117" s="771"/>
      <c r="BE117" s="771"/>
      <c r="BF117" s="771"/>
      <c r="BG117" s="771"/>
      <c r="BH117" s="771"/>
      <c r="BI117" s="771"/>
      <c r="BJ117" s="771"/>
      <c r="BK117" s="771"/>
      <c r="BL117" s="771"/>
      <c r="BM117" s="771"/>
      <c r="BN117" s="771"/>
      <c r="BO117" s="771"/>
      <c r="BP117" s="771"/>
      <c r="BQ117" s="771"/>
      <c r="BR117" s="771"/>
      <c r="BS117" s="771"/>
      <c r="BT117" s="771"/>
      <c r="BU117" s="771"/>
      <c r="BV117" s="772"/>
      <c r="BW117" s="772"/>
      <c r="BX117" s="772"/>
      <c r="BY117" s="772"/>
      <c r="BZ117" s="772"/>
      <c r="CA117" s="772"/>
      <c r="CB117" s="772"/>
      <c r="CC117" s="772"/>
      <c r="CD117" s="772"/>
      <c r="CE117" s="772"/>
    </row>
    <row s="7976" customFormat="1" customHeight="1" ht="24.75">
      <c r="A118" s="1951"/>
      <c r="B118" s="1306"/>
      <c r="C118" s="558"/>
      <c r="D118" s="2738"/>
      <c r="E118" s="2535" t="s">
        <v>649</v>
      </c>
      <c r="F118" s="2535"/>
      <c r="G118" s="2535"/>
      <c r="H118" s="2535"/>
      <c r="I118" s="2535"/>
      <c r="J118" s="2535"/>
      <c r="K118" s="2535"/>
      <c r="L118" s="2535"/>
      <c r="M118" s="2535"/>
      <c r="N118" s="2535"/>
      <c r="O118" s="2535"/>
      <c r="P118" s="2535"/>
      <c r="Q118" s="704">
        <f>SUMIF(T119:T120,"i",Q119:Q120)</f>
        <v>0</v>
      </c>
      <c r="R118" s="1163"/>
      <c r="S118" s="1943" t="s">
        <v>650</v>
      </c>
      <c r="T118" s="863" t="s">
        <v>651</v>
      </c>
      <c r="U118" s="2533">
        <v>1</v>
      </c>
      <c r="V118" s="2533">
        <f>INDEX(B_FHD_FLAG_INDEX_1,1,MATCH(A115,B_FHD_FLAG_DIFFERENTIATION,0))</f>
      </c>
      <c r="W118" s="1306"/>
      <c r="X118" s="1306"/>
      <c r="Y118" s="1306"/>
      <c r="Z118" s="1306"/>
      <c r="AA118" s="1782"/>
      <c r="AB118" s="1306"/>
      <c r="AC118" s="2534"/>
      <c r="AD118" s="775"/>
      <c r="AE118" s="1306"/>
      <c r="AF118" s="1306"/>
      <c r="AG118" s="1782"/>
      <c r="AH118" s="1782"/>
      <c r="AI118" s="1782"/>
      <c r="AJ118" s="1782"/>
      <c r="AK118" s="1782"/>
      <c r="AL118" s="1782"/>
      <c r="AM118" s="1782"/>
      <c r="AN118" s="1782"/>
      <c r="AO118" s="1782"/>
      <c r="AP118" s="1782"/>
      <c r="AQ118" s="1782"/>
      <c r="AR118" s="1782"/>
      <c r="AS118" s="1782"/>
      <c r="AT118" s="1782"/>
      <c r="AU118" s="1782"/>
      <c r="AV118" s="1782"/>
      <c r="AW118" s="1782"/>
      <c r="AX118" s="1782"/>
      <c r="AY118" s="1782"/>
      <c r="AZ118" s="1782"/>
      <c r="BA118" s="1782"/>
      <c r="BB118" s="1782"/>
      <c r="BC118" s="1782"/>
      <c r="BD118" s="1782"/>
      <c r="BE118" s="1782"/>
      <c r="BF118" s="1782"/>
      <c r="BG118" s="1782"/>
      <c r="BH118" s="1782"/>
      <c r="BI118" s="1782"/>
      <c r="BJ118" s="1782"/>
      <c r="BK118" s="1782"/>
      <c r="BL118" s="1782"/>
      <c r="BM118" s="1782"/>
      <c r="BN118" s="1782"/>
      <c r="BO118" s="1782"/>
      <c r="BP118" s="1782"/>
      <c r="BQ118" s="1782"/>
      <c r="BR118" s="1782"/>
      <c r="BS118" s="1782"/>
      <c r="BT118" s="1782"/>
      <c r="BU118" s="1782"/>
      <c r="BV118" s="1306"/>
      <c r="BW118" s="1306"/>
      <c r="BX118" s="1306"/>
      <c r="BY118" s="1306"/>
      <c r="BZ118" s="1306"/>
      <c r="CA118" s="1306"/>
      <c r="CB118" s="1306"/>
      <c r="CC118" s="1306"/>
      <c r="CD118" s="1306"/>
      <c r="CE118" s="1306"/>
    </row>
    <row s="7976" customFormat="1" customHeight="1" ht="11.25" hidden="1">
      <c r="A119" s="1938"/>
      <c r="B119" s="1782"/>
      <c r="C119" s="1782"/>
      <c r="D119" s="2738"/>
      <c r="E119" s="781"/>
      <c r="F119" s="781">
        <v>0</v>
      </c>
      <c r="G119" s="781"/>
      <c r="H119" s="781"/>
      <c r="I119" s="781"/>
      <c r="J119" s="781"/>
      <c r="K119" s="781"/>
      <c r="L119" s="781"/>
      <c r="M119" s="781"/>
      <c r="N119" s="781"/>
      <c r="O119" s="781"/>
      <c r="P119" s="781"/>
      <c r="Q119" s="781"/>
      <c r="R119" s="781"/>
      <c r="S119" s="782"/>
      <c r="T119" s="864"/>
      <c r="U119" s="2533"/>
      <c r="V119" s="2533"/>
      <c r="W119" s="1782"/>
      <c r="X119" s="1782"/>
      <c r="Y119" s="1782"/>
      <c r="Z119" s="1782"/>
      <c r="AA119" s="1782"/>
      <c r="AB119" s="1306"/>
      <c r="AC119" s="2534"/>
      <c r="AD119" s="775"/>
      <c r="AE119" s="1306"/>
      <c r="AF119" s="1306"/>
      <c r="AG119" s="1782"/>
      <c r="AH119" s="1782"/>
      <c r="AI119" s="1782"/>
      <c r="AJ119" s="1782"/>
      <c r="AK119" s="1782"/>
      <c r="AL119" s="1782"/>
      <c r="AM119" s="1782"/>
      <c r="AN119" s="1782"/>
      <c r="AO119" s="1782"/>
      <c r="AP119" s="1782"/>
      <c r="AQ119" s="1782"/>
      <c r="AR119" s="1782"/>
      <c r="AS119" s="1782"/>
      <c r="AT119" s="1782"/>
      <c r="AU119" s="1782"/>
      <c r="AV119" s="1782"/>
      <c r="AW119" s="1782"/>
      <c r="AX119" s="1782"/>
      <c r="AY119" s="1782"/>
      <c r="AZ119" s="1782"/>
      <c r="BA119" s="1782"/>
      <c r="BB119" s="1782"/>
      <c r="BC119" s="1782"/>
      <c r="BD119" s="1782"/>
      <c r="BE119" s="1782"/>
      <c r="BF119" s="1782"/>
      <c r="BG119" s="1782"/>
      <c r="BH119" s="1782"/>
      <c r="BI119" s="1782"/>
      <c r="BJ119" s="1782"/>
      <c r="BK119" s="1782"/>
      <c r="BL119" s="1782"/>
      <c r="BM119" s="1782"/>
      <c r="BN119" s="1782"/>
      <c r="BO119" s="1782"/>
      <c r="BP119" s="1782"/>
      <c r="BQ119" s="1782"/>
      <c r="BR119" s="1782"/>
      <c r="BS119" s="1782"/>
      <c r="BT119" s="1782"/>
      <c r="BU119" s="1782"/>
      <c r="BV119" s="1782"/>
      <c r="BW119" s="1782"/>
      <c r="BX119" s="1782"/>
      <c r="BY119" s="1782"/>
      <c r="BZ119" s="1782"/>
      <c r="CA119" s="1782"/>
      <c r="CB119" s="1782"/>
      <c r="CC119" s="1782"/>
      <c r="CD119" s="1782"/>
      <c r="CE119" s="1782"/>
    </row>
    <row s="7976" customFormat="1" customHeight="1" ht="11.25">
      <c r="A120" s="1951"/>
      <c r="B120" s="1306"/>
      <c r="C120" s="558"/>
      <c r="D120" s="2738"/>
      <c r="E120" s="795" t="s">
        <v>22</v>
      </c>
      <c r="F120" s="1314" t="s">
        <v>22</v>
      </c>
      <c r="G120" s="1314" t="s">
        <v>654</v>
      </c>
      <c r="H120" s="797" t="s">
        <v>22</v>
      </c>
      <c r="I120" s="797"/>
      <c r="J120" s="797"/>
      <c r="K120" s="797"/>
      <c r="L120" s="797"/>
      <c r="M120" s="797"/>
      <c r="N120" s="797"/>
      <c r="O120" s="797"/>
      <c r="P120" s="797"/>
      <c r="Q120" s="797"/>
      <c r="R120" s="798"/>
      <c r="S120" s="799"/>
      <c r="T120" s="864"/>
      <c r="U120" s="2533"/>
      <c r="V120" s="2533"/>
      <c r="W120" s="1306"/>
      <c r="X120" s="1306"/>
      <c r="Y120" s="1306"/>
      <c r="Z120" s="1306"/>
      <c r="AA120" s="1782"/>
      <c r="AB120" s="1306"/>
      <c r="AC120" s="2534"/>
      <c r="AD120" s="775"/>
      <c r="AE120" s="1306"/>
      <c r="AF120" s="1306"/>
      <c r="AG120" s="1782"/>
      <c r="AH120" s="1782"/>
      <c r="AI120" s="1782"/>
      <c r="AJ120" s="1782"/>
      <c r="AK120" s="1782"/>
      <c r="AL120" s="1782"/>
      <c r="AM120" s="1782"/>
      <c r="AN120" s="1782"/>
      <c r="AO120" s="1782"/>
      <c r="AP120" s="1782"/>
      <c r="AQ120" s="1782"/>
      <c r="AR120" s="1782"/>
      <c r="AS120" s="1782"/>
      <c r="AT120" s="1782"/>
      <c r="AU120" s="1782"/>
      <c r="AV120" s="1782"/>
      <c r="AW120" s="1782"/>
      <c r="AX120" s="1782"/>
      <c r="AY120" s="1782"/>
      <c r="AZ120" s="1782"/>
      <c r="BA120" s="1782"/>
      <c r="BB120" s="1782"/>
      <c r="BC120" s="1782"/>
      <c r="BD120" s="1782"/>
      <c r="BE120" s="1782"/>
      <c r="BF120" s="1782"/>
      <c r="BG120" s="1782"/>
      <c r="BH120" s="1782"/>
      <c r="BI120" s="1782"/>
      <c r="BJ120" s="1782"/>
      <c r="BK120" s="1782"/>
      <c r="BL120" s="1782"/>
      <c r="BM120" s="1782"/>
      <c r="BN120" s="1782"/>
      <c r="BO120" s="1782"/>
      <c r="BP120" s="1782"/>
      <c r="BQ120" s="1782"/>
      <c r="BR120" s="1782"/>
      <c r="BS120" s="1782"/>
      <c r="BT120" s="1782"/>
      <c r="BU120" s="1782"/>
      <c r="BV120" s="1306"/>
      <c r="BW120" s="1306"/>
      <c r="BX120" s="1306"/>
      <c r="BY120" s="1306"/>
      <c r="BZ120" s="1306"/>
      <c r="CA120" s="1306"/>
      <c r="CB120" s="1306"/>
      <c r="CC120" s="1306"/>
      <c r="CD120" s="1306"/>
      <c r="CE120" s="1306"/>
    </row>
    <row s="7976" customFormat="1" customHeight="1" ht="24.75">
      <c r="A121" s="1951"/>
      <c r="B121" s="1306"/>
      <c r="C121" s="558"/>
      <c r="D121" s="2738"/>
      <c r="E121" s="2535" t="s">
        <v>652</v>
      </c>
      <c r="F121" s="2535"/>
      <c r="G121" s="2535"/>
      <c r="H121" s="2535"/>
      <c r="I121" s="2535"/>
      <c r="J121" s="2535"/>
      <c r="K121" s="2535"/>
      <c r="L121" s="2535"/>
      <c r="M121" s="2535"/>
      <c r="N121" s="2535"/>
      <c r="O121" s="2535"/>
      <c r="P121" s="2535"/>
      <c r="Q121" s="704">
        <f>SUMIF(T122:T123,"i",Q122:Q123)</f>
        <v>0</v>
      </c>
      <c r="R121" s="1163"/>
      <c r="S121" s="1943" t="s">
        <v>653</v>
      </c>
      <c r="T121" s="863" t="s">
        <v>651</v>
      </c>
      <c r="U121" s="2533">
        <v>1</v>
      </c>
      <c r="V121" s="2533">
        <f>INDEX(B_FHD_FLAG_INDEX_2,1,MATCH(A115,B_FHD_FLAG_DIFFERENTIATION,0))</f>
      </c>
      <c r="W121" s="1306"/>
      <c r="X121" s="1306"/>
      <c r="Y121" s="1306"/>
      <c r="Z121" s="1306"/>
      <c r="AA121" s="1782"/>
      <c r="AB121" s="1306"/>
      <c r="AC121" s="1941"/>
      <c r="AD121" s="775"/>
      <c r="AE121" s="1306"/>
      <c r="AF121" s="1306"/>
      <c r="AG121" s="1782"/>
      <c r="AH121" s="1782"/>
      <c r="AI121" s="1782"/>
      <c r="AJ121" s="1782"/>
      <c r="AK121" s="1782"/>
      <c r="AL121" s="1782"/>
      <c r="AM121" s="1782"/>
      <c r="AN121" s="1782"/>
      <c r="AO121" s="1782"/>
      <c r="AP121" s="1782"/>
      <c r="AQ121" s="1782"/>
      <c r="AR121" s="1782"/>
      <c r="AS121" s="1782"/>
      <c r="AT121" s="1782"/>
      <c r="AU121" s="1782"/>
      <c r="AV121" s="1782"/>
      <c r="AW121" s="1782"/>
      <c r="AX121" s="1782"/>
      <c r="AY121" s="1782"/>
      <c r="AZ121" s="1782"/>
      <c r="BA121" s="1782"/>
      <c r="BB121" s="1782"/>
      <c r="BC121" s="1782"/>
      <c r="BD121" s="1782"/>
      <c r="BE121" s="1782"/>
      <c r="BF121" s="1782"/>
      <c r="BG121" s="1782"/>
      <c r="BH121" s="1782"/>
      <c r="BI121" s="1782"/>
      <c r="BJ121" s="1782"/>
      <c r="BK121" s="1782"/>
      <c r="BL121" s="1782"/>
      <c r="BM121" s="1782"/>
      <c r="BN121" s="1782"/>
      <c r="BO121" s="1782"/>
      <c r="BP121" s="1782"/>
      <c r="BQ121" s="1782"/>
      <c r="BR121" s="1782"/>
      <c r="BS121" s="1782"/>
      <c r="BT121" s="1782"/>
      <c r="BU121" s="1782"/>
      <c r="BV121" s="1306"/>
      <c r="BW121" s="1306"/>
      <c r="BX121" s="1306"/>
      <c r="BY121" s="1306"/>
      <c r="BZ121" s="1306"/>
      <c r="CA121" s="1306"/>
      <c r="CB121" s="1306"/>
      <c r="CC121" s="1306"/>
      <c r="CD121" s="1306"/>
      <c r="CE121" s="1306"/>
    </row>
    <row s="7976" customFormat="1" customHeight="1" ht="11.25" hidden="1">
      <c r="A122" s="1938"/>
      <c r="B122" s="1782"/>
      <c r="C122" s="1782"/>
      <c r="D122" s="2738"/>
      <c r="E122" s="781"/>
      <c r="F122" s="781">
        <v>0</v>
      </c>
      <c r="G122" s="781"/>
      <c r="H122" s="781"/>
      <c r="I122" s="781"/>
      <c r="J122" s="781"/>
      <c r="K122" s="781"/>
      <c r="L122" s="781"/>
      <c r="M122" s="781"/>
      <c r="N122" s="781"/>
      <c r="O122" s="781"/>
      <c r="P122" s="781"/>
      <c r="Q122" s="781"/>
      <c r="R122" s="781"/>
      <c r="S122" s="782"/>
      <c r="T122" s="864"/>
      <c r="U122" s="2533"/>
      <c r="V122" s="2533"/>
      <c r="W122" s="1782"/>
      <c r="X122" s="1782"/>
      <c r="Y122" s="1782"/>
      <c r="Z122" s="1782"/>
      <c r="AA122" s="1782"/>
      <c r="AB122" s="1306"/>
      <c r="AC122" s="1941"/>
      <c r="AD122" s="775"/>
      <c r="AE122" s="1306"/>
      <c r="AF122" s="1306"/>
      <c r="AG122" s="1782"/>
      <c r="AH122" s="1782"/>
      <c r="AI122" s="1782"/>
      <c r="AJ122" s="1782"/>
      <c r="AK122" s="1782"/>
      <c r="AL122" s="1782"/>
      <c r="AM122" s="1782"/>
      <c r="AN122" s="1782"/>
      <c r="AO122" s="1782"/>
      <c r="AP122" s="1782"/>
      <c r="AQ122" s="1782"/>
      <c r="AR122" s="1782"/>
      <c r="AS122" s="1782"/>
      <c r="AT122" s="1782"/>
      <c r="AU122" s="1782"/>
      <c r="AV122" s="1782"/>
      <c r="AW122" s="1782"/>
      <c r="AX122" s="1782"/>
      <c r="AY122" s="1782"/>
      <c r="AZ122" s="1782"/>
      <c r="BA122" s="1782"/>
      <c r="BB122" s="1782"/>
      <c r="BC122" s="1782"/>
      <c r="BD122" s="1782"/>
      <c r="BE122" s="1782"/>
      <c r="BF122" s="1782"/>
      <c r="BG122" s="1782"/>
      <c r="BH122" s="1782"/>
      <c r="BI122" s="1782"/>
      <c r="BJ122" s="1782"/>
      <c r="BK122" s="1782"/>
      <c r="BL122" s="1782"/>
      <c r="BM122" s="1782"/>
      <c r="BN122" s="1782"/>
      <c r="BO122" s="1782"/>
      <c r="BP122" s="1782"/>
      <c r="BQ122" s="1782"/>
      <c r="BR122" s="1782"/>
      <c r="BS122" s="1782"/>
      <c r="BT122" s="1782"/>
      <c r="BU122" s="1782"/>
      <c r="BV122" s="1782"/>
      <c r="BW122" s="1782"/>
      <c r="BX122" s="1782"/>
      <c r="BY122" s="1782"/>
      <c r="BZ122" s="1782"/>
      <c r="CA122" s="1782"/>
      <c r="CB122" s="1782"/>
      <c r="CC122" s="1782"/>
      <c r="CD122" s="1782"/>
      <c r="CE122" s="1782"/>
    </row>
    <row s="7976" customFormat="1" customHeight="1" ht="11.25">
      <c r="A123" s="1951"/>
      <c r="B123" s="1306"/>
      <c r="C123" s="558"/>
      <c r="D123" s="2739"/>
      <c r="E123" s="795" t="s">
        <v>22</v>
      </c>
      <c r="F123" s="1314" t="s">
        <v>22</v>
      </c>
      <c r="G123" s="1314" t="s">
        <v>654</v>
      </c>
      <c r="H123" s="797" t="s">
        <v>22</v>
      </c>
      <c r="I123" s="797"/>
      <c r="J123" s="797"/>
      <c r="K123" s="797"/>
      <c r="L123" s="797"/>
      <c r="M123" s="797"/>
      <c r="N123" s="797"/>
      <c r="O123" s="797"/>
      <c r="P123" s="797"/>
      <c r="Q123" s="797"/>
      <c r="R123" s="798"/>
      <c r="S123" s="799"/>
      <c r="T123" s="864"/>
      <c r="U123" s="2533"/>
      <c r="V123" s="2533"/>
      <c r="W123" s="1306"/>
      <c r="X123" s="1306"/>
      <c r="Y123" s="1306"/>
      <c r="Z123" s="1306"/>
      <c r="AA123" s="1782"/>
      <c r="AB123" s="1306"/>
      <c r="AC123" s="1941"/>
      <c r="AD123" s="775"/>
      <c r="AE123" s="1306"/>
      <c r="AF123" s="1306"/>
      <c r="AG123" s="1782"/>
      <c r="AH123" s="1782"/>
      <c r="AI123" s="1782"/>
      <c r="AJ123" s="1782"/>
      <c r="AK123" s="1782"/>
      <c r="AL123" s="1782"/>
      <c r="AM123" s="1782"/>
      <c r="AN123" s="1782"/>
      <c r="AO123" s="1782"/>
      <c r="AP123" s="1782"/>
      <c r="AQ123" s="1782"/>
      <c r="AR123" s="1782"/>
      <c r="AS123" s="1782"/>
      <c r="AT123" s="1782"/>
      <c r="AU123" s="1782"/>
      <c r="AV123" s="1782"/>
      <c r="AW123" s="1782"/>
      <c r="AX123" s="1782"/>
      <c r="AY123" s="1782"/>
      <c r="AZ123" s="1782"/>
      <c r="BA123" s="1782"/>
      <c r="BB123" s="1782"/>
      <c r="BC123" s="1782"/>
      <c r="BD123" s="1782"/>
      <c r="BE123" s="1782"/>
      <c r="BF123" s="1782"/>
      <c r="BG123" s="1782"/>
      <c r="BH123" s="1782"/>
      <c r="BI123" s="1782"/>
      <c r="BJ123" s="1782"/>
      <c r="BK123" s="1782"/>
      <c r="BL123" s="1782"/>
      <c r="BM123" s="1782"/>
      <c r="BN123" s="1782"/>
      <c r="BO123" s="1782"/>
      <c r="BP123" s="1782"/>
      <c r="BQ123" s="1782"/>
      <c r="BR123" s="1782"/>
      <c r="BS123" s="1782"/>
      <c r="BT123" s="1782"/>
      <c r="BU123" s="1782"/>
      <c r="BV123" s="1306"/>
      <c r="BW123" s="1306"/>
      <c r="BX123" s="1306"/>
      <c r="BY123" s="1306"/>
      <c r="BZ123" s="1306"/>
      <c r="CA123" s="1306"/>
      <c r="CB123" s="1306"/>
      <c r="CC123" s="1306"/>
      <c r="CD123" s="1306"/>
      <c r="CE123" s="1306"/>
    </row>
    <row r="125" s="7537" customFormat="1" customHeight="1" ht="11.25">
      <c r="A125" s="1960" t="s">
        <v>2220</v>
      </c>
    </row>
    <row r="127" s="7976" customFormat="1" customHeight="1" ht="15" hidden="1">
      <c r="A127" s="769"/>
      <c r="B127" s="770"/>
      <c r="C127" s="770"/>
      <c r="D127" s="2737" t="s">
        <v>121</v>
      </c>
      <c r="E127" s="2536" t="s">
        <v>117</v>
      </c>
      <c r="F127" s="2537"/>
      <c r="G127" s="2538"/>
      <c r="H127" s="2542" t="str">
        <f>IF(A127="","",INDEX(DIFFERENTIATION_UNMERGE_VD,MATCH(A127,DIFFERENTIATION_ID_DIFF,0)))</f>
        <v/>
      </c>
      <c r="I127" s="2542"/>
      <c r="J127" s="2542"/>
      <c r="K127" s="2542"/>
      <c r="L127" s="2542"/>
      <c r="M127" s="2542"/>
      <c r="N127" s="2542"/>
      <c r="O127" s="2542"/>
      <c r="P127" s="2542"/>
      <c r="Q127" s="2542"/>
      <c r="R127" s="2542"/>
      <c r="S127" s="865"/>
      <c r="T127" s="862"/>
      <c r="U127" s="771"/>
      <c r="V127" s="771"/>
      <c r="W127" s="772"/>
      <c r="X127" s="772"/>
      <c r="Y127" s="772"/>
      <c r="Z127" s="772"/>
      <c r="AA127" s="773"/>
      <c r="AB127" s="774"/>
      <c r="AC127" s="2534"/>
      <c r="AD127" s="775"/>
      <c r="AE127" s="776" t="s">
        <v>22</v>
      </c>
      <c r="AF127" s="776"/>
      <c r="AG127" s="777" t="s">
        <v>648</v>
      </c>
      <c r="AH127" s="778">
        <v>3</v>
      </c>
      <c r="AI127" s="771"/>
      <c r="AJ127" s="771"/>
      <c r="AK127" s="771"/>
      <c r="AL127" s="771"/>
      <c r="AM127" s="771"/>
      <c r="AN127" s="771"/>
      <c r="AO127" s="771"/>
      <c r="AP127" s="771"/>
      <c r="AQ127" s="771"/>
      <c r="AR127" s="771"/>
      <c r="AS127" s="771"/>
      <c r="AT127" s="771"/>
      <c r="AU127" s="771"/>
      <c r="AV127" s="771"/>
      <c r="AW127" s="771"/>
      <c r="AX127" s="771"/>
      <c r="AY127" s="771"/>
      <c r="AZ127" s="771"/>
      <c r="BA127" s="771"/>
      <c r="BB127" s="771"/>
      <c r="BC127" s="771"/>
      <c r="BD127" s="771"/>
      <c r="BE127" s="771"/>
      <c r="BF127" s="771"/>
      <c r="BG127" s="771"/>
      <c r="BH127" s="771"/>
      <c r="BI127" s="771"/>
      <c r="BJ127" s="771"/>
      <c r="BK127" s="771"/>
      <c r="BL127" s="771"/>
      <c r="BM127" s="771"/>
      <c r="BN127" s="771"/>
      <c r="BO127" s="771"/>
      <c r="BP127" s="771"/>
      <c r="BQ127" s="771"/>
      <c r="BR127" s="771"/>
      <c r="BS127" s="771"/>
      <c r="BT127" s="771"/>
      <c r="BU127" s="771"/>
      <c r="BV127" s="772"/>
      <c r="BW127" s="772"/>
      <c r="BX127" s="772"/>
      <c r="BY127" s="772"/>
      <c r="BZ127" s="772"/>
      <c r="CA127" s="772"/>
      <c r="CB127" s="772"/>
      <c r="CC127" s="772"/>
      <c r="CD127" s="772"/>
      <c r="CE127" s="772"/>
    </row>
    <row s="7976" customFormat="1" customHeight="1" ht="15" hidden="1">
      <c r="A128" s="769"/>
      <c r="B128" s="770"/>
      <c r="C128" s="770"/>
      <c r="D128" s="2738"/>
      <c r="E128" s="2536" t="s">
        <v>586</v>
      </c>
      <c r="F128" s="2537"/>
      <c r="G128" s="2538"/>
      <c r="H128" s="2542" t="str">
        <f>IF(A127="","",INDEX(DIFFERENTIATION_UNMERGE_AREA,MATCH(A127,DIFFERENTIATION_ID_DIFF,0)))</f>
        <v/>
      </c>
      <c r="I128" s="2542"/>
      <c r="J128" s="2542"/>
      <c r="K128" s="2542"/>
      <c r="L128" s="2542"/>
      <c r="M128" s="2542"/>
      <c r="N128" s="2542"/>
      <c r="O128" s="2542"/>
      <c r="P128" s="2542"/>
      <c r="Q128" s="2542"/>
      <c r="R128" s="2542"/>
      <c r="S128" s="865"/>
      <c r="T128" s="862"/>
      <c r="U128" s="771"/>
      <c r="V128" s="771"/>
      <c r="W128" s="772"/>
      <c r="X128" s="772"/>
      <c r="Y128" s="772"/>
      <c r="Z128" s="772"/>
      <c r="AA128" s="773"/>
      <c r="AB128" s="774"/>
      <c r="AC128" s="2534"/>
      <c r="AD128" s="775"/>
      <c r="AE128" s="776"/>
      <c r="AF128" s="776"/>
      <c r="AG128" s="777"/>
      <c r="AH128" s="778"/>
      <c r="AI128" s="771"/>
      <c r="AJ128" s="771"/>
      <c r="AK128" s="771"/>
      <c r="AL128" s="771"/>
      <c r="AM128" s="771"/>
      <c r="AN128" s="771"/>
      <c r="AO128" s="771"/>
      <c r="AP128" s="771"/>
      <c r="AQ128" s="771"/>
      <c r="AR128" s="771"/>
      <c r="AS128" s="771"/>
      <c r="AT128" s="771"/>
      <c r="AU128" s="771"/>
      <c r="AV128" s="771"/>
      <c r="AW128" s="771"/>
      <c r="AX128" s="771"/>
      <c r="AY128" s="771"/>
      <c r="AZ128" s="771"/>
      <c r="BA128" s="771"/>
      <c r="BB128" s="771"/>
      <c r="BC128" s="771"/>
      <c r="BD128" s="771"/>
      <c r="BE128" s="771"/>
      <c r="BF128" s="771"/>
      <c r="BG128" s="771"/>
      <c r="BH128" s="771"/>
      <c r="BI128" s="771"/>
      <c r="BJ128" s="771"/>
      <c r="BK128" s="771"/>
      <c r="BL128" s="771"/>
      <c r="BM128" s="771"/>
      <c r="BN128" s="771"/>
      <c r="BO128" s="771"/>
      <c r="BP128" s="771"/>
      <c r="BQ128" s="771"/>
      <c r="BR128" s="771"/>
      <c r="BS128" s="771"/>
      <c r="BT128" s="771"/>
      <c r="BU128" s="771"/>
      <c r="BV128" s="772"/>
      <c r="BW128" s="772"/>
      <c r="BX128" s="772"/>
      <c r="BY128" s="772"/>
      <c r="BZ128" s="772"/>
      <c r="CA128" s="772"/>
      <c r="CB128" s="772"/>
      <c r="CC128" s="772"/>
      <c r="CD128" s="772"/>
      <c r="CE128" s="772"/>
    </row>
    <row s="7976" customFormat="1" customHeight="1" ht="15" hidden="1">
      <c r="A129" s="769"/>
      <c r="B129" s="770"/>
      <c r="C129" s="770"/>
      <c r="D129" s="2738"/>
      <c r="E129" s="2536" t="s">
        <v>587</v>
      </c>
      <c r="F129" s="2537"/>
      <c r="G129" s="2538"/>
      <c r="H129" s="2542" t="str">
        <f>IF(A127="","",INDEX(DIFFERENTIATION_UNMERGE_SYSTEM,MATCH(A127,DIFFERENTIATION_ID_DIFF,0)))</f>
        <v/>
      </c>
      <c r="I129" s="2542"/>
      <c r="J129" s="2542"/>
      <c r="K129" s="2542"/>
      <c r="L129" s="2542"/>
      <c r="M129" s="2542"/>
      <c r="N129" s="2542"/>
      <c r="O129" s="2542"/>
      <c r="P129" s="2542"/>
      <c r="Q129" s="2542"/>
      <c r="R129" s="2542"/>
      <c r="S129" s="865"/>
      <c r="T129" s="862"/>
      <c r="U129" s="771"/>
      <c r="V129" s="771"/>
      <c r="W129" s="772"/>
      <c r="X129" s="772"/>
      <c r="Y129" s="772"/>
      <c r="Z129" s="772"/>
      <c r="AA129" s="773"/>
      <c r="AB129" s="774"/>
      <c r="AC129" s="2534"/>
      <c r="AD129" s="775"/>
      <c r="AE129" s="776"/>
      <c r="AF129" s="776"/>
      <c r="AG129" s="777"/>
      <c r="AH129" s="778"/>
      <c r="AI129" s="771"/>
      <c r="AJ129" s="771"/>
      <c r="AK129" s="771"/>
      <c r="AL129" s="771"/>
      <c r="AM129" s="771"/>
      <c r="AN129" s="771"/>
      <c r="AO129" s="771"/>
      <c r="AP129" s="771"/>
      <c r="AQ129" s="771"/>
      <c r="AR129" s="771"/>
      <c r="AS129" s="771"/>
      <c r="AT129" s="771"/>
      <c r="AU129" s="771"/>
      <c r="AV129" s="771"/>
      <c r="AW129" s="771"/>
      <c r="AX129" s="771"/>
      <c r="AY129" s="771"/>
      <c r="AZ129" s="771"/>
      <c r="BA129" s="771"/>
      <c r="BB129" s="771"/>
      <c r="BC129" s="771"/>
      <c r="BD129" s="771"/>
      <c r="BE129" s="771"/>
      <c r="BF129" s="771"/>
      <c r="BG129" s="771"/>
      <c r="BH129" s="771"/>
      <c r="BI129" s="771"/>
      <c r="BJ129" s="771"/>
      <c r="BK129" s="771"/>
      <c r="BL129" s="771"/>
      <c r="BM129" s="771"/>
      <c r="BN129" s="771"/>
      <c r="BO129" s="771"/>
      <c r="BP129" s="771"/>
      <c r="BQ129" s="771"/>
      <c r="BR129" s="771"/>
      <c r="BS129" s="771"/>
      <c r="BT129" s="771"/>
      <c r="BU129" s="771"/>
      <c r="BV129" s="772"/>
      <c r="BW129" s="772"/>
      <c r="BX129" s="772"/>
      <c r="BY129" s="772"/>
      <c r="BZ129" s="772"/>
      <c r="CA129" s="772"/>
      <c r="CB129" s="772"/>
      <c r="CC129" s="772"/>
      <c r="CD129" s="772"/>
      <c r="CE129" s="772"/>
    </row>
    <row s="7976" customFormat="1" customHeight="1" ht="24.75" hidden="1">
      <c r="A130" s="1951"/>
      <c r="B130" s="1306"/>
      <c r="C130" s="558"/>
      <c r="D130" s="2738"/>
      <c r="E130" s="2535" t="s">
        <v>649</v>
      </c>
      <c r="F130" s="2535"/>
      <c r="G130" s="2535"/>
      <c r="H130" s="2535"/>
      <c r="I130" s="2535"/>
      <c r="J130" s="2535"/>
      <c r="K130" s="2535"/>
      <c r="L130" s="2535"/>
      <c r="M130" s="2535"/>
      <c r="N130" s="2535"/>
      <c r="O130" s="2535"/>
      <c r="P130" s="2535"/>
      <c r="Q130" s="704">
        <f>SUMIF(T131:T132,"i",Q131:Q132)</f>
        <v>0</v>
      </c>
      <c r="R130" s="1163"/>
      <c r="S130" s="1943" t="s">
        <v>650</v>
      </c>
      <c r="T130" s="863" t="s">
        <v>651</v>
      </c>
      <c r="U130" s="2533">
        <v>1</v>
      </c>
      <c r="V130" s="2533">
        <f>INDEX(B_FHD_FLAG_INDEX_1,1,MATCH(A127,B_FHD_FLAG_DIFFERENTIATION,0))</f>
      </c>
      <c r="W130" s="1306"/>
      <c r="X130" s="1306"/>
      <c r="Y130" s="1306"/>
      <c r="Z130" s="1306"/>
      <c r="AA130" s="1782"/>
      <c r="AB130" s="1306"/>
      <c r="AC130" s="2534"/>
      <c r="AD130" s="775"/>
      <c r="AE130" s="1306"/>
      <c r="AF130" s="1306"/>
      <c r="AG130" s="1782"/>
      <c r="AH130" s="1782"/>
      <c r="AI130" s="1782"/>
      <c r="AJ130" s="1782"/>
      <c r="AK130" s="1782"/>
      <c r="AL130" s="1782"/>
      <c r="AM130" s="1782"/>
      <c r="AN130" s="1782"/>
      <c r="AO130" s="1782"/>
      <c r="AP130" s="1782"/>
      <c r="AQ130" s="1782"/>
      <c r="AR130" s="1782"/>
      <c r="AS130" s="1782"/>
      <c r="AT130" s="1782"/>
      <c r="AU130" s="1782"/>
      <c r="AV130" s="1782"/>
      <c r="AW130" s="1782"/>
      <c r="AX130" s="1782"/>
      <c r="AY130" s="1782"/>
      <c r="AZ130" s="1782"/>
      <c r="BA130" s="1782"/>
      <c r="BB130" s="1782"/>
      <c r="BC130" s="1782"/>
      <c r="BD130" s="1782"/>
      <c r="BE130" s="1782"/>
      <c r="BF130" s="1782"/>
      <c r="BG130" s="1782"/>
      <c r="BH130" s="1782"/>
      <c r="BI130" s="1782"/>
      <c r="BJ130" s="1782"/>
      <c r="BK130" s="1782"/>
      <c r="BL130" s="1782"/>
      <c r="BM130" s="1782"/>
      <c r="BN130" s="1782"/>
      <c r="BO130" s="1782"/>
      <c r="BP130" s="1782"/>
      <c r="BQ130" s="1782"/>
      <c r="BR130" s="1782"/>
      <c r="BS130" s="1782"/>
      <c r="BT130" s="1782"/>
      <c r="BU130" s="1782"/>
      <c r="BV130" s="1306"/>
      <c r="BW130" s="1306"/>
      <c r="BX130" s="1306"/>
      <c r="BY130" s="1306"/>
      <c r="BZ130" s="1306"/>
      <c r="CA130" s="1306"/>
      <c r="CB130" s="1306"/>
      <c r="CC130" s="1306"/>
      <c r="CD130" s="1306"/>
      <c r="CE130" s="1306"/>
    </row>
    <row s="7976" customFormat="1" customHeight="1" ht="11.25" hidden="1">
      <c r="A131" s="1938"/>
      <c r="B131" s="1782"/>
      <c r="C131" s="1782"/>
      <c r="D131" s="2738"/>
      <c r="E131" s="781"/>
      <c r="F131" s="781">
        <v>0</v>
      </c>
      <c r="G131" s="781"/>
      <c r="H131" s="781"/>
      <c r="I131" s="781"/>
      <c r="J131" s="781"/>
      <c r="K131" s="781"/>
      <c r="L131" s="781"/>
      <c r="M131" s="781"/>
      <c r="N131" s="781"/>
      <c r="O131" s="781"/>
      <c r="P131" s="781"/>
      <c r="Q131" s="781"/>
      <c r="R131" s="781"/>
      <c r="S131" s="782"/>
      <c r="T131" s="864"/>
      <c r="U131" s="2533"/>
      <c r="V131" s="2533"/>
      <c r="W131" s="1782"/>
      <c r="X131" s="1782"/>
      <c r="Y131" s="1782"/>
      <c r="Z131" s="1782"/>
      <c r="AA131" s="1782"/>
      <c r="AB131" s="1306"/>
      <c r="AC131" s="2534"/>
      <c r="AD131" s="775"/>
      <c r="AE131" s="1306"/>
      <c r="AF131" s="1306"/>
      <c r="AG131" s="1782"/>
      <c r="AH131" s="1782"/>
      <c r="AI131" s="1782"/>
      <c r="AJ131" s="1782"/>
      <c r="AK131" s="1782"/>
      <c r="AL131" s="1782"/>
      <c r="AM131" s="1782"/>
      <c r="AN131" s="1782"/>
      <c r="AO131" s="1782"/>
      <c r="AP131" s="1782"/>
      <c r="AQ131" s="1782"/>
      <c r="AR131" s="1782"/>
      <c r="AS131" s="1782"/>
      <c r="AT131" s="1782"/>
      <c r="AU131" s="1782"/>
      <c r="AV131" s="1782"/>
      <c r="AW131" s="1782"/>
      <c r="AX131" s="1782"/>
      <c r="AY131" s="1782"/>
      <c r="AZ131" s="1782"/>
      <c r="BA131" s="1782"/>
      <c r="BB131" s="1782"/>
      <c r="BC131" s="1782"/>
      <c r="BD131" s="1782"/>
      <c r="BE131" s="1782"/>
      <c r="BF131" s="1782"/>
      <c r="BG131" s="1782"/>
      <c r="BH131" s="1782"/>
      <c r="BI131" s="1782"/>
      <c r="BJ131" s="1782"/>
      <c r="BK131" s="1782"/>
      <c r="BL131" s="1782"/>
      <c r="BM131" s="1782"/>
      <c r="BN131" s="1782"/>
      <c r="BO131" s="1782"/>
      <c r="BP131" s="1782"/>
      <c r="BQ131" s="1782"/>
      <c r="BR131" s="1782"/>
      <c r="BS131" s="1782"/>
      <c r="BT131" s="1782"/>
      <c r="BU131" s="1782"/>
      <c r="BV131" s="1782"/>
      <c r="BW131" s="1782"/>
      <c r="BX131" s="1782"/>
      <c r="BY131" s="1782"/>
      <c r="BZ131" s="1782"/>
      <c r="CA131" s="1782"/>
      <c r="CB131" s="1782"/>
      <c r="CC131" s="1782"/>
      <c r="CD131" s="1782"/>
      <c r="CE131" s="1782"/>
    </row>
    <row s="7976" customFormat="1" customHeight="1" ht="11.25" hidden="1">
      <c r="A132" s="1951"/>
      <c r="B132" s="1306"/>
      <c r="C132" s="558"/>
      <c r="D132" s="2738"/>
      <c r="E132" s="795" t="s">
        <v>22</v>
      </c>
      <c r="F132" s="1314" t="s">
        <v>22</v>
      </c>
      <c r="G132" s="1314" t="s">
        <v>654</v>
      </c>
      <c r="H132" s="797" t="s">
        <v>22</v>
      </c>
      <c r="I132" s="797"/>
      <c r="J132" s="797"/>
      <c r="K132" s="797"/>
      <c r="L132" s="797"/>
      <c r="M132" s="797"/>
      <c r="N132" s="797"/>
      <c r="O132" s="797"/>
      <c r="P132" s="797"/>
      <c r="Q132" s="797"/>
      <c r="R132" s="798"/>
      <c r="S132" s="799"/>
      <c r="T132" s="864"/>
      <c r="U132" s="2533"/>
      <c r="V132" s="2533"/>
      <c r="W132" s="1306"/>
      <c r="X132" s="1306"/>
      <c r="Y132" s="1306"/>
      <c r="Z132" s="1306"/>
      <c r="AA132" s="1782"/>
      <c r="AB132" s="1306"/>
      <c r="AC132" s="2534"/>
      <c r="AD132" s="775"/>
      <c r="AE132" s="1306"/>
      <c r="AF132" s="1306"/>
      <c r="AG132" s="1782"/>
      <c r="AH132" s="1782"/>
      <c r="AI132" s="1782"/>
      <c r="AJ132" s="1782"/>
      <c r="AK132" s="1782"/>
      <c r="AL132" s="1782"/>
      <c r="AM132" s="1782"/>
      <c r="AN132" s="1782"/>
      <c r="AO132" s="1782"/>
      <c r="AP132" s="1782"/>
      <c r="AQ132" s="1782"/>
      <c r="AR132" s="1782"/>
      <c r="AS132" s="1782"/>
      <c r="AT132" s="1782"/>
      <c r="AU132" s="1782"/>
      <c r="AV132" s="1782"/>
      <c r="AW132" s="1782"/>
      <c r="AX132" s="1782"/>
      <c r="AY132" s="1782"/>
      <c r="AZ132" s="1782"/>
      <c r="BA132" s="1782"/>
      <c r="BB132" s="1782"/>
      <c r="BC132" s="1782"/>
      <c r="BD132" s="1782"/>
      <c r="BE132" s="1782"/>
      <c r="BF132" s="1782"/>
      <c r="BG132" s="1782"/>
      <c r="BH132" s="1782"/>
      <c r="BI132" s="1782"/>
      <c r="BJ132" s="1782"/>
      <c r="BK132" s="1782"/>
      <c r="BL132" s="1782"/>
      <c r="BM132" s="1782"/>
      <c r="BN132" s="1782"/>
      <c r="BO132" s="1782"/>
      <c r="BP132" s="1782"/>
      <c r="BQ132" s="1782"/>
      <c r="BR132" s="1782"/>
      <c r="BS132" s="1782"/>
      <c r="BT132" s="1782"/>
      <c r="BU132" s="1782"/>
      <c r="BV132" s="1306"/>
      <c r="BW132" s="1306"/>
      <c r="BX132" s="1306"/>
      <c r="BY132" s="1306"/>
      <c r="BZ132" s="1306"/>
      <c r="CA132" s="1306"/>
      <c r="CB132" s="1306"/>
      <c r="CC132" s="1306"/>
      <c r="CD132" s="1306"/>
      <c r="CE132" s="1306"/>
    </row>
    <row s="7936" customFormat="1" customHeight="1" ht="5.25" hidden="1">
      <c r="A133" s="1938"/>
      <c r="B133" s="1782"/>
      <c r="C133" s="1782"/>
      <c r="D133" s="2738"/>
      <c r="E133" s="1185"/>
      <c r="F133" s="1185"/>
      <c r="G133" s="1185"/>
      <c r="H133" s="1185"/>
      <c r="I133" s="1185"/>
      <c r="J133" s="1185"/>
      <c r="K133" s="1185"/>
      <c r="L133" s="1185"/>
      <c r="M133" s="1185"/>
      <c r="N133" s="1185"/>
      <c r="O133" s="1185"/>
      <c r="P133" s="1185"/>
      <c r="Q133" s="1186"/>
      <c r="R133" s="1187"/>
      <c r="S133" s="1188"/>
      <c r="T133" s="863" t="s">
        <v>651</v>
      </c>
      <c r="U133" s="2533">
        <v>1</v>
      </c>
      <c r="V133" s="2533" t="s">
        <v>602</v>
      </c>
      <c r="W133" s="1782"/>
      <c r="X133" s="1782"/>
      <c r="Y133" s="1782"/>
      <c r="Z133" s="1782"/>
      <c r="AA133" s="1782"/>
      <c r="AB133" s="1782"/>
      <c r="AC133" s="1183"/>
      <c r="AD133" s="1184"/>
      <c r="AE133" s="1782"/>
      <c r="AF133" s="1782"/>
      <c r="AG133" s="1782"/>
      <c r="AH133" s="1782"/>
      <c r="AI133" s="1782"/>
      <c r="AJ133" s="1782"/>
      <c r="AK133" s="1782"/>
      <c r="AL133" s="1782"/>
      <c r="AM133" s="1782"/>
      <c r="AN133" s="1782"/>
      <c r="AO133" s="1782"/>
      <c r="AP133" s="1782"/>
      <c r="AQ133" s="1782"/>
      <c r="AR133" s="1782"/>
      <c r="AS133" s="1782"/>
      <c r="AT133" s="1782"/>
      <c r="AU133" s="1782"/>
      <c r="AV133" s="1782"/>
      <c r="AW133" s="1782"/>
      <c r="AX133" s="1782"/>
      <c r="AY133" s="1782"/>
      <c r="AZ133" s="1782"/>
      <c r="BA133" s="1782"/>
      <c r="BB133" s="1782"/>
      <c r="BC133" s="1782"/>
      <c r="BD133" s="1782"/>
      <c r="BE133" s="1782"/>
      <c r="BF133" s="1782"/>
      <c r="BG133" s="1782"/>
      <c r="BH133" s="1782"/>
      <c r="BI133" s="1782"/>
      <c r="BJ133" s="1782"/>
      <c r="BK133" s="1782"/>
      <c r="BL133" s="1782"/>
      <c r="BM133" s="1782"/>
      <c r="BN133" s="1782"/>
      <c r="BO133" s="1782"/>
      <c r="BP133" s="1782"/>
      <c r="BQ133" s="1782"/>
      <c r="BR133" s="1782"/>
      <c r="BS133" s="1782"/>
      <c r="BT133" s="1782"/>
      <c r="BU133" s="1782"/>
      <c r="BV133" s="1782"/>
      <c r="BW133" s="1782"/>
      <c r="BX133" s="1782"/>
      <c r="BY133" s="1782"/>
      <c r="BZ133" s="1782"/>
      <c r="CA133" s="1782"/>
      <c r="CB133" s="1782"/>
      <c r="CC133" s="1782"/>
      <c r="CD133" s="1782"/>
      <c r="CE133" s="1782"/>
    </row>
    <row s="7936" customFormat="1" customHeight="1" ht="5.25" hidden="1">
      <c r="A134" s="1938"/>
      <c r="B134" s="1782"/>
      <c r="C134" s="1782"/>
      <c r="D134" s="2738"/>
      <c r="E134" s="781"/>
      <c r="F134" s="781"/>
      <c r="G134" s="781"/>
      <c r="H134" s="781"/>
      <c r="I134" s="781"/>
      <c r="J134" s="781"/>
      <c r="K134" s="781"/>
      <c r="L134" s="781"/>
      <c r="M134" s="781"/>
      <c r="N134" s="781"/>
      <c r="O134" s="781"/>
      <c r="P134" s="781"/>
      <c r="Q134" s="781"/>
      <c r="R134" s="781"/>
      <c r="S134" s="782"/>
      <c r="T134" s="864"/>
      <c r="U134" s="2533"/>
      <c r="V134" s="2533"/>
      <c r="W134" s="1782"/>
      <c r="X134" s="1782"/>
      <c r="Y134" s="1782"/>
      <c r="Z134" s="1782"/>
      <c r="AA134" s="1782"/>
      <c r="AB134" s="1782"/>
      <c r="AC134" s="1183"/>
      <c r="AD134" s="1184"/>
      <c r="AE134" s="1782"/>
      <c r="AF134" s="1782"/>
      <c r="AG134" s="1782"/>
      <c r="AH134" s="1782"/>
      <c r="AI134" s="1782"/>
      <c r="AJ134" s="1782"/>
      <c r="AK134" s="1782"/>
      <c r="AL134" s="1782"/>
      <c r="AM134" s="1782"/>
      <c r="AN134" s="1782"/>
      <c r="AO134" s="1782"/>
      <c r="AP134" s="1782"/>
      <c r="AQ134" s="1782"/>
      <c r="AR134" s="1782"/>
      <c r="AS134" s="1782"/>
      <c r="AT134" s="1782"/>
      <c r="AU134" s="1782"/>
      <c r="AV134" s="1782"/>
      <c r="AW134" s="1782"/>
      <c r="AX134" s="1782"/>
      <c r="AY134" s="1782"/>
      <c r="AZ134" s="1782"/>
      <c r="BA134" s="1782"/>
      <c r="BB134" s="1782"/>
      <c r="BC134" s="1782"/>
      <c r="BD134" s="1782"/>
      <c r="BE134" s="1782"/>
      <c r="BF134" s="1782"/>
      <c r="BG134" s="1782"/>
      <c r="BH134" s="1782"/>
      <c r="BI134" s="1782"/>
      <c r="BJ134" s="1782"/>
      <c r="BK134" s="1782"/>
      <c r="BL134" s="1782"/>
      <c r="BM134" s="1782"/>
      <c r="BN134" s="1782"/>
      <c r="BO134" s="1782"/>
      <c r="BP134" s="1782"/>
      <c r="BQ134" s="1782"/>
      <c r="BR134" s="1782"/>
      <c r="BS134" s="1782"/>
      <c r="BT134" s="1782"/>
      <c r="BU134" s="1782"/>
      <c r="BV134" s="1782"/>
      <c r="BW134" s="1782"/>
      <c r="BX134" s="1782"/>
      <c r="BY134" s="1782"/>
      <c r="BZ134" s="1782"/>
      <c r="CA134" s="1782"/>
      <c r="CB134" s="1782"/>
      <c r="CC134" s="1782"/>
      <c r="CD134" s="1782"/>
      <c r="CE134" s="1782"/>
    </row>
    <row s="7936" customFormat="1" customHeight="1" ht="5.25" hidden="1">
      <c r="A135" s="1938"/>
      <c r="B135" s="1782"/>
      <c r="C135" s="1782"/>
      <c r="D135" s="2739"/>
      <c r="E135" s="1189"/>
      <c r="F135" s="1190"/>
      <c r="G135" s="1190"/>
      <c r="H135" s="1191"/>
      <c r="I135" s="1191"/>
      <c r="J135" s="1191"/>
      <c r="K135" s="1191"/>
      <c r="L135" s="1191"/>
      <c r="M135" s="1191"/>
      <c r="N135" s="1191"/>
      <c r="O135" s="1191"/>
      <c r="P135" s="1191"/>
      <c r="Q135" s="1191"/>
      <c r="R135" s="1092"/>
      <c r="S135" s="1192"/>
      <c r="T135" s="864"/>
      <c r="U135" s="2533"/>
      <c r="V135" s="2533"/>
      <c r="W135" s="1782"/>
      <c r="X135" s="1782"/>
      <c r="Y135" s="1782"/>
      <c r="Z135" s="1782"/>
      <c r="AA135" s="1782"/>
      <c r="AB135" s="1782"/>
      <c r="AC135" s="1183"/>
      <c r="AD135" s="1184"/>
      <c r="AE135" s="1782"/>
      <c r="AF135" s="1782"/>
      <c r="AG135" s="1782"/>
      <c r="AH135" s="1782"/>
      <c r="AI135" s="1782"/>
      <c r="AJ135" s="1782"/>
      <c r="AK135" s="1782"/>
      <c r="AL135" s="1782"/>
      <c r="AM135" s="1782"/>
      <c r="AN135" s="1782"/>
      <c r="AO135" s="1782"/>
      <c r="AP135" s="1782"/>
      <c r="AQ135" s="1782"/>
      <c r="AR135" s="1782"/>
      <c r="AS135" s="1782"/>
      <c r="AT135" s="1782"/>
      <c r="AU135" s="1782"/>
      <c r="AV135" s="1782"/>
      <c r="AW135" s="1782"/>
      <c r="AX135" s="1782"/>
      <c r="AY135" s="1782"/>
      <c r="AZ135" s="1782"/>
      <c r="BA135" s="1782"/>
      <c r="BB135" s="1782"/>
      <c r="BC135" s="1782"/>
      <c r="BD135" s="1782"/>
      <c r="BE135" s="1782"/>
      <c r="BF135" s="1782"/>
      <c r="BG135" s="1782"/>
      <c r="BH135" s="1782"/>
      <c r="BI135" s="1782"/>
      <c r="BJ135" s="1782"/>
      <c r="BK135" s="1782"/>
      <c r="BL135" s="1782"/>
      <c r="BM135" s="1782"/>
      <c r="BN135" s="1782"/>
      <c r="BO135" s="1782"/>
      <c r="BP135" s="1782"/>
      <c r="BQ135" s="1782"/>
      <c r="BR135" s="1782"/>
      <c r="BS135" s="1782"/>
      <c r="BT135" s="1782"/>
      <c r="BU135" s="1782"/>
      <c r="BV135" s="1782"/>
      <c r="BW135" s="1782"/>
      <c r="BX135" s="1782"/>
      <c r="BY135" s="1782"/>
      <c r="BZ135" s="1782"/>
      <c r="CA135" s="1782"/>
      <c r="CB135" s="1782"/>
      <c r="CC135" s="1782"/>
      <c r="CD135" s="1782"/>
      <c r="CE135" s="1782"/>
    </row>
    <row customHeight="1" ht="17.25">
      <c r="D136" s="1979"/>
    </row>
    <row s="7537" customFormat="1" customHeight="1" ht="11.25">
      <c r="A137" s="1960" t="s">
        <v>2221</v>
      </c>
    </row>
    <row r="139" s="7976" customFormat="1" customHeight="1" ht="45">
      <c r="A139" s="1951"/>
      <c r="B139" s="1306"/>
      <c r="C139" s="558"/>
      <c r="D139" s="235"/>
      <c r="E139" s="2731"/>
      <c r="F139" s="2267" t="s">
        <v>121</v>
      </c>
      <c r="G139" s="2734" t="s">
        <v>22</v>
      </c>
      <c r="H139" s="435"/>
      <c r="I139" s="783" t="s">
        <v>121</v>
      </c>
      <c r="J139" s="1952" t="s">
        <v>2222</v>
      </c>
      <c r="K139" s="784" t="s">
        <v>568</v>
      </c>
      <c r="L139" s="2383" t="s">
        <v>568</v>
      </c>
      <c r="M139" s="2736"/>
      <c r="N139" s="784" t="s">
        <v>568</v>
      </c>
      <c r="O139" s="784" t="s">
        <v>568</v>
      </c>
      <c r="P139" s="784" t="s">
        <v>568</v>
      </c>
      <c r="Q139" s="785">
        <f>SUM(Q140:Q142)</f>
        <v>0</v>
      </c>
      <c r="R139" s="785">
        <f>IF(R136=0,0,(Q136/R136)*100)</f>
        <v>0</v>
      </c>
      <c r="S139" s="2338"/>
      <c r="T139" s="863" t="s">
        <v>651</v>
      </c>
      <c r="U139" s="235"/>
      <c r="V139" s="235"/>
      <c r="AC139" s="235"/>
    </row>
    <row s="7976" customFormat="1" customHeight="1" ht="11.25">
      <c r="A140" s="1951"/>
      <c r="B140" s="1306"/>
      <c r="C140" s="558"/>
      <c r="D140" s="235"/>
      <c r="E140" s="2732"/>
      <c r="F140" s="2267"/>
      <c r="G140" s="2734"/>
      <c r="H140" s="2286"/>
      <c r="I140" s="2674" t="s">
        <v>1366</v>
      </c>
      <c r="J140" s="2728"/>
      <c r="K140" s="2729"/>
      <c r="L140" s="786"/>
      <c r="M140" s="787" t="s">
        <v>121</v>
      </c>
      <c r="N140" s="1940"/>
      <c r="O140" s="788"/>
      <c r="P140" s="789"/>
      <c r="Q140" s="788"/>
      <c r="R140" s="790">
        <v>0</v>
      </c>
      <c r="S140" s="2338"/>
      <c r="T140" s="863"/>
      <c r="U140" s="235"/>
      <c r="V140" s="235"/>
      <c r="AC140" s="235"/>
    </row>
    <row s="7976" customFormat="1" customHeight="1" ht="11.25">
      <c r="A141" s="1951"/>
      <c r="B141" s="1306"/>
      <c r="C141" s="558"/>
      <c r="D141" s="235"/>
      <c r="E141" s="2732"/>
      <c r="F141" s="2267"/>
      <c r="G141" s="2734"/>
      <c r="H141" s="2286"/>
      <c r="I141" s="2674"/>
      <c r="J141" s="2728"/>
      <c r="K141" s="2730"/>
      <c r="L141" s="791"/>
      <c r="M141" s="792"/>
      <c r="N141" s="793" t="s">
        <v>2223</v>
      </c>
      <c r="O141" s="793"/>
      <c r="P141" s="793"/>
      <c r="Q141" s="793"/>
      <c r="R141" s="794"/>
      <c r="S141" s="2338"/>
      <c r="T141" s="863"/>
      <c r="U141" s="235"/>
      <c r="V141" s="235"/>
      <c r="AC141" s="235"/>
    </row>
    <row s="7976" customFormat="1" customHeight="1" ht="11.25">
      <c r="A142" s="1951"/>
      <c r="B142" s="1306"/>
      <c r="C142" s="558"/>
      <c r="D142" s="235"/>
      <c r="E142" s="2733"/>
      <c r="F142" s="2267"/>
      <c r="G142" s="2735"/>
      <c r="H142" s="791" t="s">
        <v>22</v>
      </c>
      <c r="I142" s="792"/>
      <c r="J142" s="793" t="s">
        <v>2224</v>
      </c>
      <c r="K142" s="793"/>
      <c r="L142" s="793"/>
      <c r="M142" s="793"/>
      <c r="N142" s="793"/>
      <c r="O142" s="793"/>
      <c r="P142" s="793"/>
      <c r="Q142" s="793"/>
      <c r="R142" s="794"/>
      <c r="S142" s="2338"/>
      <c r="T142" s="863"/>
      <c r="U142" s="235"/>
      <c r="V142" s="235"/>
      <c r="AC142" s="235"/>
    </row>
    <row r="147" s="7976" customFormat="1" customHeight="1" ht="11.25">
      <c r="A147" s="1951"/>
      <c r="B147" s="1306"/>
      <c r="C147" s="558"/>
      <c r="D147" s="235"/>
      <c r="E147" s="1975"/>
      <c r="F147" s="1975"/>
      <c r="G147" s="1975"/>
      <c r="H147" s="2286"/>
      <c r="I147" s="2674" t="s">
        <v>1366</v>
      </c>
      <c r="J147" s="2728"/>
      <c r="K147" s="2729"/>
      <c r="L147" s="786"/>
      <c r="M147" s="787" t="s">
        <v>121</v>
      </c>
      <c r="N147" s="1940"/>
      <c r="O147" s="788"/>
      <c r="P147" s="789"/>
      <c r="Q147" s="788"/>
      <c r="R147" s="790">
        <v>0</v>
      </c>
      <c r="S147" s="235"/>
      <c r="T147" s="863"/>
      <c r="U147" s="235"/>
      <c r="V147" s="235"/>
      <c r="AC147" s="235"/>
    </row>
    <row s="7976" customFormat="1" customHeight="1" ht="11.25">
      <c r="A148" s="1951"/>
      <c r="B148" s="1306"/>
      <c r="C148" s="558"/>
      <c r="D148" s="235"/>
      <c r="E148" s="1975"/>
      <c r="F148" s="1975"/>
      <c r="G148" s="1975"/>
      <c r="H148" s="2286"/>
      <c r="I148" s="2674"/>
      <c r="J148" s="2728"/>
      <c r="K148" s="2730"/>
      <c r="L148" s="791"/>
      <c r="M148" s="792"/>
      <c r="N148" s="793" t="s">
        <v>2223</v>
      </c>
      <c r="O148" s="793"/>
      <c r="P148" s="793"/>
      <c r="Q148" s="793"/>
      <c r="R148" s="794"/>
      <c r="S148" s="235"/>
      <c r="T148" s="863"/>
      <c r="U148" s="235"/>
      <c r="V148" s="235"/>
      <c r="AC148" s="235"/>
    </row>
    <row r="150" s="7976" customFormat="1" customHeight="1" ht="11.25">
      <c r="A150" s="1951"/>
      <c r="B150" s="1306"/>
      <c r="C150" s="558"/>
      <c r="D150" s="235"/>
      <c r="E150" s="1980"/>
      <c r="F150" s="1978"/>
      <c r="G150" s="1978"/>
      <c r="H150" s="1981"/>
      <c r="I150" s="1975"/>
      <c r="J150" s="1976"/>
      <c r="K150" s="1976"/>
      <c r="L150" s="786"/>
      <c r="M150" s="787" t="s">
        <v>121</v>
      </c>
      <c r="N150" s="1940"/>
      <c r="O150" s="788"/>
      <c r="P150" s="789"/>
      <c r="Q150" s="788"/>
      <c r="R150" s="790">
        <v>0</v>
      </c>
      <c r="S150" s="235"/>
      <c r="T150" s="863"/>
      <c r="U150" s="235"/>
      <c r="V150" s="235"/>
      <c r="AC150" s="235"/>
    </row>
    <row r="152" s="7537" customFormat="1" customHeight="1" ht="17.25">
      <c r="A152" s="1960" t="s">
        <v>2225</v>
      </c>
    </row>
    <row customHeight="1" ht="17.25">
      <c r="G153" s="1982"/>
      <c r="H153" s="1982"/>
      <c r="I153" s="1982"/>
      <c r="M153" s="1978"/>
    </row>
    <row s="7809" customFormat="1" customHeight="1" ht="17.25">
      <c r="A154" s="1983"/>
      <c r="C154" s="1985"/>
      <c r="D154" s="2688"/>
      <c r="E154" s="2302"/>
      <c r="F154" s="2304"/>
      <c r="G154" s="2690"/>
      <c r="H154" s="2688"/>
      <c r="I154" s="2688">
        <v>1</v>
      </c>
      <c r="J154" s="2660"/>
      <c r="K154" s="2344" t="s">
        <v>63</v>
      </c>
      <c r="L154" s="2267"/>
      <c r="M154" s="2267" t="s">
        <v>121</v>
      </c>
      <c r="N154" s="2663" t="str">
        <f>IF(Z154="","",INDEX(TERRITORY_MR_LIST,MATCH(Z154,TERRITORY_LIST_ID,0)))</f>
        <v/>
      </c>
      <c r="O154" s="2344" t="s">
        <v>63</v>
      </c>
      <c r="P154" s="2267"/>
      <c r="Q154" s="2267" t="s">
        <v>121</v>
      </c>
      <c r="R154" s="2661" t="s">
        <v>22</v>
      </c>
      <c r="S154" s="2266" t="s">
        <v>63</v>
      </c>
      <c r="T154" s="1956"/>
      <c r="U154" s="1956" t="s">
        <v>121</v>
      </c>
      <c r="V154" s="1986" t="s">
        <v>22</v>
      </c>
      <c r="W154" s="1946"/>
      <c r="Y154" s="1413"/>
      <c r="Z154" s="1413"/>
      <c r="AA154" s="1413"/>
      <c r="AB154" s="1413"/>
      <c r="AC154" s="1413"/>
      <c r="AD154" s="1413"/>
      <c r="AE154" s="1413"/>
      <c r="AF154" s="1413"/>
      <c r="AG154" s="1413"/>
      <c r="AH154" s="1413"/>
      <c r="AI154" s="1413"/>
      <c r="AJ154" s="1413"/>
      <c r="AK154" s="1413"/>
      <c r="AL154" s="1987"/>
      <c r="AM154" s="1987"/>
      <c r="AN154" s="1413"/>
      <c r="AO154" s="1413"/>
      <c r="AP154" s="1413"/>
      <c r="AQ154" s="1413"/>
    </row>
    <row s="7809" customFormat="1" customHeight="1" ht="17.25">
      <c r="A155" s="1983"/>
      <c r="C155" s="1988"/>
      <c r="D155" s="2688"/>
      <c r="E155" s="2302"/>
      <c r="F155" s="2305"/>
      <c r="G155" s="2690"/>
      <c r="H155" s="2688"/>
      <c r="I155" s="2688"/>
      <c r="J155" s="2660"/>
      <c r="K155" s="2345"/>
      <c r="L155" s="2267"/>
      <c r="M155" s="2267"/>
      <c r="N155" s="2663"/>
      <c r="O155" s="2345"/>
      <c r="P155" s="2267"/>
      <c r="Q155" s="2267"/>
      <c r="R155" s="2661"/>
      <c r="S155" s="2266"/>
      <c r="T155" s="463"/>
      <c r="U155" s="464"/>
      <c r="V155" s="464" t="s">
        <v>436</v>
      </c>
      <c r="W155" s="465"/>
      <c r="Y155" s="1405"/>
      <c r="Z155" s="1405"/>
      <c r="AA155" s="1405"/>
      <c r="AB155" s="1405"/>
      <c r="AC155" s="1405"/>
      <c r="AD155" s="1405"/>
      <c r="AE155" s="1405"/>
      <c r="AF155" s="1405"/>
      <c r="AG155" s="1405"/>
      <c r="AH155" s="1405"/>
      <c r="AI155" s="1405"/>
      <c r="AJ155" s="1405"/>
      <c r="AK155" s="1405"/>
    </row>
    <row s="7809" customFormat="1" customHeight="1" ht="17.25">
      <c r="A156" s="1983"/>
      <c r="C156" s="1988"/>
      <c r="D156" s="2662"/>
      <c r="E156" s="2689"/>
      <c r="F156" s="2305"/>
      <c r="G156" s="2691"/>
      <c r="H156" s="2662"/>
      <c r="I156" s="2662"/>
      <c r="J156" s="2692"/>
      <c r="K156" s="2345"/>
      <c r="L156" s="2662"/>
      <c r="M156" s="2662"/>
      <c r="N156" s="2664"/>
      <c r="O156" s="2271"/>
      <c r="P156" s="463"/>
      <c r="Q156" s="464"/>
      <c r="R156" s="464" t="s">
        <v>437</v>
      </c>
      <c r="S156" s="1989"/>
      <c r="T156" s="1989"/>
      <c r="U156" s="1989"/>
      <c r="V156" s="1989"/>
      <c r="W156" s="465"/>
      <c r="Y156" s="1405"/>
      <c r="Z156" s="1405"/>
      <c r="AA156" s="1405"/>
      <c r="AB156" s="1405"/>
      <c r="AC156" s="1405"/>
      <c r="AD156" s="1405"/>
      <c r="AE156" s="1405"/>
      <c r="AF156" s="1405"/>
      <c r="AG156" s="1405"/>
      <c r="AH156" s="1405"/>
      <c r="AI156" s="1405"/>
      <c r="AJ156" s="1405"/>
      <c r="AK156" s="1405"/>
    </row>
    <row s="7809" customFormat="1" customHeight="1" ht="17.25">
      <c r="A157" s="1983"/>
      <c r="C157" s="1988"/>
      <c r="D157" s="2662"/>
      <c r="E157" s="2689"/>
      <c r="F157" s="2305"/>
      <c r="G157" s="2691"/>
      <c r="H157" s="2662"/>
      <c r="I157" s="2662"/>
      <c r="J157" s="2692"/>
      <c r="K157" s="2271"/>
      <c r="L157" s="463"/>
      <c r="M157" s="464"/>
      <c r="N157" s="464" t="s">
        <v>438</v>
      </c>
      <c r="O157" s="464"/>
      <c r="P157" s="464"/>
      <c r="Q157" s="464"/>
      <c r="R157" s="464"/>
      <c r="S157" s="1989"/>
      <c r="T157" s="1989"/>
      <c r="U157" s="1989"/>
      <c r="V157" s="1989"/>
      <c r="W157" s="465"/>
      <c r="Y157" s="1405"/>
      <c r="Z157" s="1405"/>
      <c r="AA157" s="1405"/>
      <c r="AB157" s="1405"/>
      <c r="AC157" s="1405"/>
      <c r="AD157" s="1405"/>
      <c r="AE157" s="1405"/>
      <c r="AF157" s="1405"/>
      <c r="AG157" s="1405"/>
      <c r="AH157" s="1405"/>
      <c r="AI157" s="1405"/>
      <c r="AJ157" s="1405"/>
      <c r="AK157" s="1405"/>
    </row>
    <row s="7809" customFormat="1" customHeight="1" ht="17.25">
      <c r="A158" s="1983"/>
      <c r="C158" s="1988"/>
      <c r="D158" s="2662"/>
      <c r="E158" s="2689"/>
      <c r="F158" s="2306"/>
      <c r="G158" s="2691"/>
      <c r="H158" s="463"/>
      <c r="I158" s="464"/>
      <c r="J158" s="464" t="s">
        <v>470</v>
      </c>
      <c r="K158" s="464"/>
      <c r="L158" s="464"/>
      <c r="M158" s="464"/>
      <c r="N158" s="464"/>
      <c r="O158" s="464"/>
      <c r="P158" s="464"/>
      <c r="Q158" s="464"/>
      <c r="R158" s="464"/>
      <c r="S158" s="1989"/>
      <c r="T158" s="1989"/>
      <c r="U158" s="1989"/>
      <c r="V158" s="1989"/>
      <c r="W158" s="465"/>
      <c r="Y158" s="1405"/>
      <c r="Z158" s="1405"/>
      <c r="AA158" s="1405"/>
      <c r="AB158" s="1405"/>
      <c r="AC158" s="1405"/>
      <c r="AD158" s="1405"/>
      <c r="AE158" s="1405"/>
      <c r="AF158" s="1405"/>
      <c r="AG158" s="1405"/>
      <c r="AH158" s="1405"/>
      <c r="AI158" s="1405"/>
      <c r="AJ158" s="1405"/>
      <c r="AK158" s="1405"/>
    </row>
    <row customHeight="1" ht="17.25">
      <c r="G159" s="1982"/>
      <c r="H159" s="1982"/>
      <c r="I159" s="1982"/>
      <c r="M159" s="1978"/>
    </row>
    <row s="7809" customFormat="1" customHeight="1" ht="17.25">
      <c r="A160" s="1983"/>
      <c r="C160" s="1985"/>
      <c r="D160" s="1975"/>
      <c r="E160" s="1990"/>
      <c r="F160" s="1929"/>
      <c r="G160" s="1991"/>
      <c r="H160" s="2688"/>
      <c r="I160" s="2688">
        <v>1</v>
      </c>
      <c r="J160" s="2660"/>
      <c r="K160" s="2344" t="s">
        <v>63</v>
      </c>
      <c r="L160" s="2267"/>
      <c r="M160" s="2267" t="s">
        <v>121</v>
      </c>
      <c r="N160" s="2663" t="str">
        <f>IF(Z160="","",INDEX(TERRITORY_MR_LIST,MATCH(Z160,TERRITORY_LIST_ID,0)))</f>
        <v/>
      </c>
      <c r="O160" s="2344" t="s">
        <v>63</v>
      </c>
      <c r="P160" s="2267"/>
      <c r="Q160" s="2267" t="s">
        <v>121</v>
      </c>
      <c r="R160" s="2661" t="s">
        <v>22</v>
      </c>
      <c r="S160" s="2266" t="s">
        <v>63</v>
      </c>
      <c r="T160" s="1956"/>
      <c r="U160" s="1956" t="s">
        <v>121</v>
      </c>
      <c r="V160" s="1986" t="s">
        <v>22</v>
      </c>
      <c r="W160" s="1946"/>
      <c r="Y160" s="1413"/>
      <c r="Z160" s="1413"/>
      <c r="AA160" s="1413"/>
      <c r="AB160" s="1413"/>
      <c r="AC160" s="1413"/>
      <c r="AD160" s="1413"/>
      <c r="AE160" s="1413"/>
      <c r="AF160" s="1413"/>
      <c r="AG160" s="1413"/>
      <c r="AH160" s="1413"/>
      <c r="AI160" s="1413"/>
      <c r="AJ160" s="1413"/>
      <c r="AK160" s="1413"/>
      <c r="AL160" s="1987"/>
      <c r="AM160" s="1987"/>
      <c r="AN160" s="1413"/>
      <c r="AO160" s="1413"/>
      <c r="AP160" s="1413"/>
      <c r="AQ160" s="1413"/>
    </row>
    <row s="7809" customFormat="1" customHeight="1" ht="17.25">
      <c r="A161" s="1983"/>
      <c r="C161" s="1988"/>
      <c r="D161" s="1975"/>
      <c r="E161" s="1990"/>
      <c r="F161" s="1929"/>
      <c r="G161" s="1991"/>
      <c r="H161" s="2688"/>
      <c r="I161" s="2688"/>
      <c r="J161" s="2660"/>
      <c r="K161" s="2345"/>
      <c r="L161" s="2267"/>
      <c r="M161" s="2267"/>
      <c r="N161" s="2663"/>
      <c r="O161" s="2345"/>
      <c r="P161" s="2267"/>
      <c r="Q161" s="2267"/>
      <c r="R161" s="2661"/>
      <c r="S161" s="2266"/>
      <c r="T161" s="463"/>
      <c r="U161" s="464"/>
      <c r="V161" s="464" t="s">
        <v>436</v>
      </c>
      <c r="W161" s="465"/>
      <c r="Y161" s="1405"/>
      <c r="Z161" s="1405"/>
      <c r="AA161" s="1405"/>
      <c r="AB161" s="1405"/>
      <c r="AC161" s="1405"/>
      <c r="AD161" s="1405"/>
      <c r="AE161" s="1405"/>
      <c r="AF161" s="1405"/>
      <c r="AG161" s="1405"/>
      <c r="AH161" s="1405"/>
      <c r="AI161" s="1405"/>
      <c r="AJ161" s="1405"/>
      <c r="AK161" s="1405"/>
    </row>
    <row s="7809" customFormat="1" customHeight="1" ht="17.25">
      <c r="A162" s="1983"/>
      <c r="C162" s="1988"/>
      <c r="D162" s="1975"/>
      <c r="E162" s="1990"/>
      <c r="F162" s="1929"/>
      <c r="G162" s="1991"/>
      <c r="H162" s="2662"/>
      <c r="I162" s="2662"/>
      <c r="J162" s="2692"/>
      <c r="K162" s="2345"/>
      <c r="L162" s="2662"/>
      <c r="M162" s="2662"/>
      <c r="N162" s="2664"/>
      <c r="O162" s="2271"/>
      <c r="P162" s="463"/>
      <c r="Q162" s="464"/>
      <c r="R162" s="464" t="s">
        <v>437</v>
      </c>
      <c r="S162" s="1989"/>
      <c r="T162" s="1989"/>
      <c r="U162" s="1989"/>
      <c r="V162" s="1989"/>
      <c r="W162" s="465"/>
      <c r="Y162" s="1405"/>
      <c r="Z162" s="1405"/>
      <c r="AA162" s="1405"/>
      <c r="AB162" s="1405"/>
      <c r="AC162" s="1405"/>
      <c r="AD162" s="1405"/>
      <c r="AE162" s="1405"/>
      <c r="AF162" s="1405"/>
      <c r="AG162" s="1405"/>
      <c r="AH162" s="1405"/>
      <c r="AI162" s="1405"/>
      <c r="AJ162" s="1405"/>
      <c r="AK162" s="1405"/>
    </row>
    <row s="7809" customFormat="1" customHeight="1" ht="17.25">
      <c r="A163" s="1983"/>
      <c r="C163" s="1988"/>
      <c r="D163" s="1975"/>
      <c r="E163" s="1990"/>
      <c r="F163" s="1929"/>
      <c r="G163" s="1991"/>
      <c r="H163" s="2662"/>
      <c r="I163" s="2662"/>
      <c r="J163" s="2692"/>
      <c r="K163" s="2271"/>
      <c r="L163" s="463"/>
      <c r="M163" s="464"/>
      <c r="N163" s="464" t="s">
        <v>438</v>
      </c>
      <c r="O163" s="464"/>
      <c r="P163" s="464"/>
      <c r="Q163" s="464"/>
      <c r="R163" s="464"/>
      <c r="S163" s="1989"/>
      <c r="T163" s="1989"/>
      <c r="U163" s="1989"/>
      <c r="V163" s="1989"/>
      <c r="W163" s="465"/>
      <c r="Y163" s="1405"/>
      <c r="Z163" s="1405"/>
      <c r="AA163" s="1405"/>
      <c r="AB163" s="1405"/>
      <c r="AC163" s="1405"/>
      <c r="AD163" s="1405"/>
      <c r="AE163" s="1405"/>
      <c r="AF163" s="1405"/>
      <c r="AG163" s="1405"/>
      <c r="AH163" s="1405"/>
      <c r="AI163" s="1405"/>
      <c r="AJ163" s="1405"/>
      <c r="AK163" s="1405"/>
    </row>
    <row customHeight="1" ht="17.25">
      <c r="G164" s="1982"/>
      <c r="H164" s="1982"/>
      <c r="I164" s="1982"/>
      <c r="M164" s="1978"/>
    </row>
    <row s="7809" customFormat="1" customHeight="1" ht="17.25">
      <c r="A165" s="1983"/>
      <c r="C165" s="1985"/>
      <c r="D165" s="1975"/>
      <c r="E165" s="1990"/>
      <c r="F165" s="1929"/>
      <c r="G165" s="1991"/>
      <c r="H165" s="1975"/>
      <c r="I165" s="1975"/>
      <c r="J165" s="1992"/>
      <c r="K165" s="1905"/>
      <c r="L165" s="2267"/>
      <c r="M165" s="2267" t="s">
        <v>121</v>
      </c>
      <c r="N165" s="2663" t="str">
        <f>IF(Z165="","",INDEX(TERRITORY_MR_LIST,MATCH(Z165,TERRITORY_LIST_ID,0)))</f>
        <v/>
      </c>
      <c r="O165" s="2344" t="s">
        <v>63</v>
      </c>
      <c r="P165" s="2267"/>
      <c r="Q165" s="2267" t="s">
        <v>121</v>
      </c>
      <c r="R165" s="2661" t="s">
        <v>22</v>
      </c>
      <c r="S165" s="2266" t="s">
        <v>63</v>
      </c>
      <c r="T165" s="1956"/>
      <c r="U165" s="1956" t="s">
        <v>121</v>
      </c>
      <c r="V165" s="1986" t="s">
        <v>22</v>
      </c>
      <c r="W165" s="1946"/>
      <c r="Y165" s="1413"/>
      <c r="Z165" s="1413"/>
      <c r="AA165" s="1413"/>
      <c r="AB165" s="1413"/>
      <c r="AC165" s="1413"/>
      <c r="AD165" s="1413"/>
      <c r="AE165" s="1413"/>
      <c r="AF165" s="1413"/>
      <c r="AG165" s="1413"/>
      <c r="AH165" s="1413"/>
      <c r="AI165" s="1413"/>
      <c r="AJ165" s="1413"/>
      <c r="AK165" s="1413"/>
      <c r="AL165" s="1987"/>
      <c r="AM165" s="1987"/>
      <c r="AN165" s="1413"/>
      <c r="AO165" s="1413"/>
      <c r="AP165" s="1413"/>
      <c r="AQ165" s="1413"/>
    </row>
    <row s="7809" customFormat="1" customHeight="1" ht="17.25">
      <c r="A166" s="1983"/>
      <c r="C166" s="1988"/>
      <c r="D166" s="1975"/>
      <c r="E166" s="1990"/>
      <c r="F166" s="1929"/>
      <c r="G166" s="1991"/>
      <c r="H166" s="1975"/>
      <c r="I166" s="1975"/>
      <c r="J166" s="1992"/>
      <c r="K166" s="1905"/>
      <c r="L166" s="2267"/>
      <c r="M166" s="2267"/>
      <c r="N166" s="2663"/>
      <c r="O166" s="2345"/>
      <c r="P166" s="2267"/>
      <c r="Q166" s="2267"/>
      <c r="R166" s="2661"/>
      <c r="S166" s="2266"/>
      <c r="T166" s="463"/>
      <c r="U166" s="464"/>
      <c r="V166" s="464" t="s">
        <v>436</v>
      </c>
      <c r="W166" s="465"/>
      <c r="Y166" s="1405"/>
      <c r="Z166" s="1405"/>
      <c r="AA166" s="1405"/>
      <c r="AB166" s="1405"/>
      <c r="AC166" s="1405"/>
      <c r="AD166" s="1405"/>
      <c r="AE166" s="1405"/>
      <c r="AF166" s="1405"/>
      <c r="AG166" s="1405"/>
      <c r="AH166" s="1405"/>
      <c r="AI166" s="1405"/>
      <c r="AJ166" s="1405"/>
      <c r="AK166" s="1405"/>
    </row>
    <row s="7809" customFormat="1" customHeight="1" ht="17.25">
      <c r="A167" s="1983"/>
      <c r="C167" s="1988"/>
      <c r="D167" s="1975"/>
      <c r="E167" s="1990"/>
      <c r="F167" s="1929"/>
      <c r="G167" s="1991"/>
      <c r="H167" s="1975"/>
      <c r="I167" s="1975"/>
      <c r="J167" s="1992"/>
      <c r="K167" s="1905"/>
      <c r="L167" s="2662"/>
      <c r="M167" s="2662"/>
      <c r="N167" s="2664"/>
      <c r="O167" s="2271"/>
      <c r="P167" s="463"/>
      <c r="Q167" s="464"/>
      <c r="R167" s="464" t="s">
        <v>437</v>
      </c>
      <c r="S167" s="1989"/>
      <c r="T167" s="1989"/>
      <c r="U167" s="1989"/>
      <c r="V167" s="1989"/>
      <c r="W167" s="465"/>
      <c r="Y167" s="1405"/>
      <c r="Z167" s="1405"/>
      <c r="AA167" s="1405"/>
      <c r="AB167" s="1405"/>
      <c r="AC167" s="1405"/>
      <c r="AD167" s="1405"/>
      <c r="AE167" s="1405"/>
      <c r="AF167" s="1405"/>
      <c r="AG167" s="1405"/>
      <c r="AH167" s="1405"/>
      <c r="AI167" s="1405"/>
      <c r="AJ167" s="1405"/>
      <c r="AK167" s="1405"/>
    </row>
    <row customHeight="1" ht="17.25">
      <c r="G168" s="1982"/>
      <c r="H168" s="1982"/>
      <c r="I168" s="1982"/>
      <c r="M168" s="1978"/>
    </row>
    <row s="7809" customFormat="1" customHeight="1" ht="17.25">
      <c r="A169" s="1983"/>
      <c r="C169" s="1985"/>
      <c r="D169" s="1975"/>
      <c r="E169" s="1990"/>
      <c r="F169" s="1929"/>
      <c r="G169" s="1991"/>
      <c r="H169" s="1975"/>
      <c r="I169" s="1975"/>
      <c r="J169" s="1992"/>
      <c r="K169" s="1905"/>
      <c r="L169" s="1901"/>
      <c r="M169" s="1901"/>
      <c r="N169" s="2191"/>
      <c r="O169" s="1932"/>
      <c r="P169" s="2267"/>
      <c r="Q169" s="2267" t="s">
        <v>121</v>
      </c>
      <c r="R169" s="2661" t="s">
        <v>22</v>
      </c>
      <c r="S169" s="2266" t="s">
        <v>63</v>
      </c>
      <c r="T169" s="1956"/>
      <c r="U169" s="1956" t="s">
        <v>121</v>
      </c>
      <c r="V169" s="1986" t="s">
        <v>22</v>
      </c>
      <c r="W169" s="1946"/>
      <c r="Y169" s="1413"/>
      <c r="Z169" s="1413"/>
      <c r="AA169" s="1413"/>
      <c r="AB169" s="1413"/>
      <c r="AC169" s="1413"/>
      <c r="AD169" s="1413"/>
      <c r="AE169" s="1413"/>
      <c r="AF169" s="1413"/>
      <c r="AG169" s="1413"/>
      <c r="AH169" s="1413"/>
      <c r="AI169" s="1413"/>
      <c r="AJ169" s="1413"/>
      <c r="AK169" s="1413"/>
      <c r="AL169" s="1987"/>
      <c r="AM169" s="1987"/>
      <c r="AN169" s="1413"/>
      <c r="AO169" s="1413"/>
      <c r="AP169" s="1413"/>
      <c r="AQ169" s="1413"/>
    </row>
    <row s="7809" customFormat="1" customHeight="1" ht="17.25">
      <c r="A170" s="1983"/>
      <c r="C170" s="1988"/>
      <c r="D170" s="1975"/>
      <c r="E170" s="1990"/>
      <c r="F170" s="1929"/>
      <c r="G170" s="1991"/>
      <c r="H170" s="1975"/>
      <c r="I170" s="1975"/>
      <c r="J170" s="1992"/>
      <c r="K170" s="1905"/>
      <c r="L170" s="1901"/>
      <c r="M170" s="1901"/>
      <c r="N170" s="2191"/>
      <c r="O170" s="1932"/>
      <c r="P170" s="2267"/>
      <c r="Q170" s="2267"/>
      <c r="R170" s="2661"/>
      <c r="S170" s="2266"/>
      <c r="T170" s="463"/>
      <c r="U170" s="464"/>
      <c r="V170" s="464" t="s">
        <v>436</v>
      </c>
      <c r="W170" s="465"/>
      <c r="Y170" s="1405"/>
      <c r="Z170" s="1405"/>
      <c r="AA170" s="1405"/>
      <c r="AB170" s="1405"/>
      <c r="AC170" s="1405"/>
      <c r="AD170" s="1405"/>
      <c r="AE170" s="1405"/>
      <c r="AF170" s="1405"/>
      <c r="AG170" s="1405"/>
      <c r="AH170" s="1405"/>
      <c r="AI170" s="1405"/>
      <c r="AJ170" s="1405"/>
      <c r="AK170" s="1405"/>
    </row>
    <row customHeight="1" ht="17.25">
      <c r="G171" s="1982"/>
      <c r="H171" s="1982"/>
      <c r="I171" s="1982"/>
      <c r="M171" s="1978"/>
    </row>
    <row s="7809" customFormat="1" customHeight="1" ht="17.25">
      <c r="A172" s="1983"/>
      <c r="C172" s="1985"/>
      <c r="D172" s="1975"/>
      <c r="E172" s="1990"/>
      <c r="F172" s="1929"/>
      <c r="G172" s="1991"/>
      <c r="H172" s="1901"/>
      <c r="I172" s="1901"/>
      <c r="J172" s="1902"/>
      <c r="K172" s="1991"/>
      <c r="L172" s="1901"/>
      <c r="M172" s="1901"/>
      <c r="N172" s="1991"/>
      <c r="O172" s="1991"/>
      <c r="P172" s="1901"/>
      <c r="Q172" s="1901"/>
      <c r="R172" s="1903"/>
      <c r="S172" s="1991"/>
      <c r="T172" s="1956"/>
      <c r="U172" s="1956" t="s">
        <v>121</v>
      </c>
      <c r="V172" s="1986" t="s">
        <v>22</v>
      </c>
      <c r="W172" s="1946"/>
      <c r="Y172" s="1413"/>
      <c r="Z172" s="1413"/>
      <c r="AA172" s="1413"/>
      <c r="AB172" s="1413"/>
      <c r="AC172" s="1413"/>
      <c r="AD172" s="1413"/>
      <c r="AE172" s="1413"/>
      <c r="AF172" s="1413"/>
      <c r="AG172" s="1413"/>
      <c r="AH172" s="1413"/>
      <c r="AI172" s="1413"/>
      <c r="AJ172" s="1413"/>
      <c r="AK172" s="1413"/>
      <c r="AL172" s="1987"/>
      <c r="AM172" s="1987"/>
      <c r="AN172" s="1413"/>
      <c r="AO172" s="1413"/>
      <c r="AP172" s="1413"/>
      <c r="AQ172" s="1413"/>
    </row>
    <row r="174" s="7537" customFormat="1" customHeight="1" ht="17.25">
      <c r="A174" s="1960" t="s">
        <v>2226</v>
      </c>
    </row>
    <row customHeight="1" ht="17.25">
      <c r="G175" s="1982"/>
      <c r="H175" s="1982"/>
      <c r="I175" s="1982"/>
      <c r="M175" s="1978"/>
    </row>
    <row s="7809" customFormat="1" customHeight="1" ht="17.25">
      <c r="A176" s="1983"/>
      <c r="C176" s="1985"/>
      <c r="D176" s="2688"/>
      <c r="E176" s="2302"/>
      <c r="F176" s="2304"/>
      <c r="G176" s="2690"/>
      <c r="H176" s="2688"/>
      <c r="I176" s="2688">
        <v>1</v>
      </c>
      <c r="J176" s="2660"/>
      <c r="K176" s="2344" t="s">
        <v>63</v>
      </c>
      <c r="L176" s="2267"/>
      <c r="M176" s="2267" t="s">
        <v>121</v>
      </c>
      <c r="N176" s="2663" t="str">
        <f>IF(Z176="","",INDEX(TERRITORY_MR_LIST,MATCH(Z176,TERRITORY_LIST_ID,0)))</f>
        <v/>
      </c>
      <c r="O176" s="2344" t="s">
        <v>63</v>
      </c>
      <c r="P176" s="2267"/>
      <c r="Q176" s="2267" t="s">
        <v>121</v>
      </c>
      <c r="R176" s="2661" t="s">
        <v>22</v>
      </c>
      <c r="S176" s="2565" t="s">
        <v>19</v>
      </c>
      <c r="T176" s="1947"/>
      <c r="U176" s="1947" t="s">
        <v>121</v>
      </c>
      <c r="V176" s="1580"/>
      <c r="W176" s="2660"/>
      <c r="Y176" s="1413"/>
      <c r="Z176" s="1413"/>
      <c r="AA176" s="1413"/>
      <c r="AB176" s="1413"/>
      <c r="AC176" s="1413"/>
      <c r="AD176" s="1413"/>
      <c r="AE176" s="1413"/>
      <c r="AF176" s="1413"/>
      <c r="AG176" s="1413"/>
      <c r="AH176" s="1413"/>
      <c r="AI176" s="1413"/>
      <c r="AJ176" s="1413"/>
      <c r="AK176" s="1413"/>
      <c r="AL176" s="1987"/>
      <c r="AM176" s="1987"/>
      <c r="AN176" s="1413"/>
      <c r="AO176" s="1413"/>
      <c r="AP176" s="1413"/>
      <c r="AQ176" s="1413"/>
    </row>
    <row s="7809" customFormat="1" customHeight="1" ht="17.25">
      <c r="A177" s="1983"/>
      <c r="C177" s="1988"/>
      <c r="D177" s="2688"/>
      <c r="E177" s="2302"/>
      <c r="F177" s="2305"/>
      <c r="G177" s="2690"/>
      <c r="H177" s="2688"/>
      <c r="I177" s="2688"/>
      <c r="J177" s="2660"/>
      <c r="K177" s="2345"/>
      <c r="L177" s="2267"/>
      <c r="M177" s="2267"/>
      <c r="N177" s="2663"/>
      <c r="O177" s="2345"/>
      <c r="P177" s="2267"/>
      <c r="Q177" s="2267"/>
      <c r="R177" s="2661"/>
      <c r="S177" s="2565"/>
      <c r="T177" s="1581"/>
      <c r="U177" s="1582"/>
      <c r="V177" s="1582"/>
      <c r="W177" s="2660"/>
      <c r="Y177" s="1405"/>
      <c r="Z177" s="1405"/>
      <c r="AA177" s="1405"/>
      <c r="AB177" s="1405"/>
      <c r="AC177" s="1405"/>
      <c r="AD177" s="1405"/>
      <c r="AE177" s="1405"/>
      <c r="AF177" s="1405"/>
      <c r="AG177" s="1405"/>
      <c r="AH177" s="1405"/>
      <c r="AI177" s="1405"/>
      <c r="AJ177" s="1405"/>
      <c r="AK177" s="1405"/>
    </row>
    <row s="7809" customFormat="1" customHeight="1" ht="17.25">
      <c r="A178" s="1983"/>
      <c r="C178" s="1988"/>
      <c r="D178" s="2662"/>
      <c r="E178" s="2689"/>
      <c r="F178" s="2305"/>
      <c r="G178" s="2691"/>
      <c r="H178" s="2662"/>
      <c r="I178" s="2662"/>
      <c r="J178" s="2692"/>
      <c r="K178" s="2345"/>
      <c r="L178" s="2662"/>
      <c r="M178" s="2662"/>
      <c r="N178" s="2664"/>
      <c r="O178" s="2271"/>
      <c r="P178" s="463"/>
      <c r="Q178" s="464"/>
      <c r="R178" s="464" t="s">
        <v>437</v>
      </c>
      <c r="S178" s="1989"/>
      <c r="T178" s="1989"/>
      <c r="U178" s="1989"/>
      <c r="V178" s="1989"/>
      <c r="W178" s="1579"/>
      <c r="Y178" s="1405"/>
      <c r="Z178" s="1405"/>
      <c r="AA178" s="1405"/>
      <c r="AB178" s="1405"/>
      <c r="AC178" s="1405"/>
      <c r="AD178" s="1405"/>
      <c r="AE178" s="1405"/>
      <c r="AF178" s="1405"/>
      <c r="AG178" s="1405"/>
      <c r="AH178" s="1405"/>
      <c r="AI178" s="1405"/>
      <c r="AJ178" s="1405"/>
      <c r="AK178" s="1405"/>
    </row>
    <row s="7809" customFormat="1" customHeight="1" ht="17.25">
      <c r="A179" s="1983"/>
      <c r="C179" s="1988"/>
      <c r="D179" s="2662"/>
      <c r="E179" s="2689"/>
      <c r="F179" s="2305"/>
      <c r="G179" s="2691"/>
      <c r="H179" s="2662"/>
      <c r="I179" s="2662"/>
      <c r="J179" s="2692"/>
      <c r="K179" s="2271"/>
      <c r="L179" s="463"/>
      <c r="M179" s="464"/>
      <c r="N179" s="464" t="s">
        <v>438</v>
      </c>
      <c r="O179" s="464"/>
      <c r="P179" s="464"/>
      <c r="Q179" s="464"/>
      <c r="R179" s="464"/>
      <c r="S179" s="1989"/>
      <c r="T179" s="1989"/>
      <c r="U179" s="1989"/>
      <c r="V179" s="1989"/>
      <c r="W179" s="465"/>
      <c r="Y179" s="1405"/>
      <c r="Z179" s="1405"/>
      <c r="AA179" s="1405"/>
      <c r="AB179" s="1405"/>
      <c r="AC179" s="1405"/>
      <c r="AD179" s="1405"/>
      <c r="AE179" s="1405"/>
      <c r="AF179" s="1405"/>
      <c r="AG179" s="1405"/>
      <c r="AH179" s="1405"/>
      <c r="AI179" s="1405"/>
      <c r="AJ179" s="1405"/>
      <c r="AK179" s="1405"/>
    </row>
    <row s="7809" customFormat="1" customHeight="1" ht="17.25">
      <c r="A180" s="1983"/>
      <c r="C180" s="1988"/>
      <c r="D180" s="2662"/>
      <c r="E180" s="2689"/>
      <c r="F180" s="2306"/>
      <c r="G180" s="2691"/>
      <c r="H180" s="463"/>
      <c r="I180" s="464"/>
      <c r="J180" s="464" t="s">
        <v>470</v>
      </c>
      <c r="K180" s="464"/>
      <c r="L180" s="464"/>
      <c r="M180" s="464"/>
      <c r="N180" s="464"/>
      <c r="O180" s="464"/>
      <c r="P180" s="464"/>
      <c r="Q180" s="464"/>
      <c r="R180" s="464"/>
      <c r="S180" s="1989"/>
      <c r="T180" s="1989"/>
      <c r="U180" s="1989"/>
      <c r="V180" s="1989"/>
      <c r="W180" s="465"/>
      <c r="Y180" s="1405"/>
      <c r="Z180" s="1405"/>
      <c r="AA180" s="1405"/>
      <c r="AB180" s="1405"/>
      <c r="AC180" s="1405"/>
      <c r="AD180" s="1405"/>
      <c r="AE180" s="1405"/>
      <c r="AF180" s="1405"/>
      <c r="AG180" s="1405"/>
      <c r="AH180" s="1405"/>
      <c r="AI180" s="1405"/>
      <c r="AJ180" s="1405"/>
      <c r="AK180" s="1405"/>
    </row>
    <row customHeight="1" ht="17.25">
      <c r="A181" s="1993"/>
    </row>
    <row s="7809" customFormat="1" customHeight="1" ht="17.25">
      <c r="A182" s="1983"/>
      <c r="C182" s="1985"/>
      <c r="D182" s="1975"/>
      <c r="E182" s="1990"/>
      <c r="F182" s="1929"/>
      <c r="G182" s="1991"/>
      <c r="H182" s="2688"/>
      <c r="I182" s="2688">
        <v>1</v>
      </c>
      <c r="J182" s="2660"/>
      <c r="K182" s="2344" t="s">
        <v>63</v>
      </c>
      <c r="L182" s="2267"/>
      <c r="M182" s="2267" t="s">
        <v>121</v>
      </c>
      <c r="N182" s="2663" t="str">
        <f>IF(Z182="","",INDEX(TERRITORY_MR_LIST,MATCH(Z182,TERRITORY_LIST_ID,0)))</f>
        <v/>
      </c>
      <c r="O182" s="2344" t="s">
        <v>63</v>
      </c>
      <c r="P182" s="2267"/>
      <c r="Q182" s="2267" t="s">
        <v>121</v>
      </c>
      <c r="R182" s="2661" t="s">
        <v>22</v>
      </c>
      <c r="S182" s="2565" t="s">
        <v>19</v>
      </c>
      <c r="T182" s="1947"/>
      <c r="U182" s="1947" t="s">
        <v>121</v>
      </c>
      <c r="V182" s="1580"/>
      <c r="W182" s="2660"/>
      <c r="Y182" s="1413"/>
      <c r="Z182" s="1413"/>
      <c r="AA182" s="1413"/>
      <c r="AB182" s="1413"/>
      <c r="AC182" s="1413"/>
      <c r="AD182" s="1413"/>
      <c r="AE182" s="1413"/>
      <c r="AF182" s="1413"/>
      <c r="AG182" s="1413"/>
      <c r="AH182" s="1413"/>
      <c r="AI182" s="1413"/>
      <c r="AJ182" s="1413"/>
      <c r="AK182" s="1413"/>
      <c r="AL182" s="1987"/>
      <c r="AM182" s="1987"/>
      <c r="AN182" s="1413"/>
      <c r="AO182" s="1413"/>
      <c r="AP182" s="1413"/>
      <c r="AQ182" s="1413"/>
    </row>
    <row s="7809" customFormat="1" customHeight="1" ht="17.25">
      <c r="A183" s="1983"/>
      <c r="C183" s="1988"/>
      <c r="D183" s="1975"/>
      <c r="E183" s="1990"/>
      <c r="F183" s="1929"/>
      <c r="G183" s="1991"/>
      <c r="H183" s="2688"/>
      <c r="I183" s="2688"/>
      <c r="J183" s="2660"/>
      <c r="K183" s="2345"/>
      <c r="L183" s="2267"/>
      <c r="M183" s="2267"/>
      <c r="N183" s="2663"/>
      <c r="O183" s="2345"/>
      <c r="P183" s="2267"/>
      <c r="Q183" s="2267"/>
      <c r="R183" s="2661"/>
      <c r="S183" s="2565"/>
      <c r="T183" s="1581"/>
      <c r="U183" s="1582"/>
      <c r="V183" s="1582"/>
      <c r="W183" s="2660"/>
      <c r="Y183" s="1405"/>
      <c r="Z183" s="1405"/>
      <c r="AA183" s="1405"/>
      <c r="AB183" s="1405"/>
      <c r="AC183" s="1405"/>
      <c r="AD183" s="1405"/>
      <c r="AE183" s="1405"/>
      <c r="AF183" s="1405"/>
      <c r="AG183" s="1405"/>
      <c r="AH183" s="1405"/>
      <c r="AI183" s="1405"/>
      <c r="AJ183" s="1405"/>
      <c r="AK183" s="1405"/>
    </row>
    <row s="7809" customFormat="1" customHeight="1" ht="17.25">
      <c r="A184" s="1983"/>
      <c r="C184" s="1988"/>
      <c r="D184" s="1975"/>
      <c r="E184" s="1990"/>
      <c r="F184" s="1929"/>
      <c r="G184" s="1991"/>
      <c r="H184" s="2662"/>
      <c r="I184" s="2662"/>
      <c r="J184" s="2692"/>
      <c r="K184" s="2345"/>
      <c r="L184" s="2662"/>
      <c r="M184" s="2662"/>
      <c r="N184" s="2664"/>
      <c r="O184" s="2271"/>
      <c r="P184" s="463"/>
      <c r="Q184" s="464"/>
      <c r="R184" s="464" t="s">
        <v>437</v>
      </c>
      <c r="S184" s="1989"/>
      <c r="T184" s="1989"/>
      <c r="U184" s="1989"/>
      <c r="V184" s="1989"/>
      <c r="W184" s="1579"/>
      <c r="Y184" s="1405"/>
      <c r="Z184" s="1405"/>
      <c r="AA184" s="1405"/>
      <c r="AB184" s="1405"/>
      <c r="AC184" s="1405"/>
      <c r="AD184" s="1405"/>
      <c r="AE184" s="1405"/>
      <c r="AF184" s="1405"/>
      <c r="AG184" s="1405"/>
      <c r="AH184" s="1405"/>
      <c r="AI184" s="1405"/>
      <c r="AJ184" s="1405"/>
      <c r="AK184" s="1405"/>
    </row>
    <row s="7809" customFormat="1" customHeight="1" ht="17.25">
      <c r="A185" s="1983"/>
      <c r="C185" s="1988"/>
      <c r="D185" s="1975"/>
      <c r="E185" s="1990"/>
      <c r="F185" s="1929"/>
      <c r="G185" s="1991"/>
      <c r="H185" s="2662"/>
      <c r="I185" s="2662"/>
      <c r="J185" s="2692"/>
      <c r="K185" s="2271"/>
      <c r="L185" s="463"/>
      <c r="M185" s="464"/>
      <c r="N185" s="464" t="s">
        <v>438</v>
      </c>
      <c r="O185" s="464"/>
      <c r="P185" s="464"/>
      <c r="Q185" s="464"/>
      <c r="R185" s="464"/>
      <c r="S185" s="1989"/>
      <c r="T185" s="1989"/>
      <c r="U185" s="1989"/>
      <c r="V185" s="1989"/>
      <c r="W185" s="465"/>
      <c r="Y185" s="1405"/>
      <c r="Z185" s="1405"/>
      <c r="AA185" s="1405"/>
      <c r="AB185" s="1405"/>
      <c r="AC185" s="1405"/>
      <c r="AD185" s="1405"/>
      <c r="AE185" s="1405"/>
      <c r="AF185" s="1405"/>
      <c r="AG185" s="1405"/>
      <c r="AH185" s="1405"/>
      <c r="AI185" s="1405"/>
      <c r="AJ185" s="1405"/>
      <c r="AK185" s="1405"/>
    </row>
    <row customHeight="1" ht="17.25">
      <c r="A186" s="1993"/>
    </row>
    <row s="7809" customFormat="1" customHeight="1" ht="17.25">
      <c r="A187" s="1983"/>
      <c r="C187" s="1985"/>
      <c r="D187" s="1975"/>
      <c r="E187" s="1990"/>
      <c r="F187" s="1929"/>
      <c r="G187" s="1991"/>
      <c r="H187" s="1975"/>
      <c r="I187" s="1975"/>
      <c r="J187" s="1994"/>
      <c r="K187" s="1991"/>
      <c r="L187" s="2267"/>
      <c r="M187" s="2267" t="s">
        <v>121</v>
      </c>
      <c r="N187" s="2663" t="str">
        <f>IF(Z187="","",INDEX(TERRITORY_MR_LIST,MATCH(Z187,TERRITORY_LIST_ID,0)))</f>
        <v/>
      </c>
      <c r="O187" s="2344" t="s">
        <v>63</v>
      </c>
      <c r="P187" s="2267"/>
      <c r="Q187" s="2267" t="s">
        <v>121</v>
      </c>
      <c r="R187" s="2661" t="s">
        <v>22</v>
      </c>
      <c r="S187" s="2565" t="s">
        <v>19</v>
      </c>
      <c r="T187" s="1947"/>
      <c r="U187" s="1947" t="s">
        <v>121</v>
      </c>
      <c r="V187" s="1580"/>
      <c r="W187" s="2660"/>
      <c r="Y187" s="1413"/>
      <c r="Z187" s="1413"/>
      <c r="AA187" s="1413"/>
      <c r="AB187" s="1413"/>
      <c r="AC187" s="1413"/>
      <c r="AD187" s="1413"/>
      <c r="AE187" s="1413"/>
      <c r="AF187" s="1413"/>
      <c r="AG187" s="1413"/>
      <c r="AH187" s="1413"/>
      <c r="AI187" s="1413"/>
      <c r="AJ187" s="1413"/>
      <c r="AK187" s="1413"/>
      <c r="AL187" s="1987"/>
      <c r="AM187" s="1987"/>
      <c r="AN187" s="1413"/>
      <c r="AO187" s="1413"/>
      <c r="AP187" s="1413"/>
      <c r="AQ187" s="1413"/>
    </row>
    <row s="7809" customFormat="1" customHeight="1" ht="17.25">
      <c r="A188" s="1983"/>
      <c r="C188" s="1988"/>
      <c r="D188" s="1975"/>
      <c r="E188" s="1990"/>
      <c r="F188" s="1929"/>
      <c r="G188" s="1991"/>
      <c r="H188" s="1975"/>
      <c r="I188" s="1975"/>
      <c r="J188" s="1994"/>
      <c r="K188" s="1991"/>
      <c r="L188" s="2267"/>
      <c r="M188" s="2267"/>
      <c r="N188" s="2663"/>
      <c r="O188" s="2345"/>
      <c r="P188" s="2267"/>
      <c r="Q188" s="2267"/>
      <c r="R188" s="2661"/>
      <c r="S188" s="2565"/>
      <c r="T188" s="1581"/>
      <c r="U188" s="1582"/>
      <c r="V188" s="1582"/>
      <c r="W188" s="2660"/>
      <c r="Y188" s="1405"/>
      <c r="Z188" s="1405"/>
      <c r="AA188" s="1405"/>
      <c r="AB188" s="1405"/>
      <c r="AC188" s="1405"/>
      <c r="AD188" s="1405"/>
      <c r="AE188" s="1405"/>
      <c r="AF188" s="1405"/>
      <c r="AG188" s="1405"/>
      <c r="AH188" s="1405"/>
      <c r="AI188" s="1405"/>
      <c r="AJ188" s="1405"/>
      <c r="AK188" s="1405"/>
    </row>
    <row s="7809" customFormat="1" customHeight="1" ht="17.25">
      <c r="A189" s="1983"/>
      <c r="C189" s="1988"/>
      <c r="D189" s="1975"/>
      <c r="E189" s="1990"/>
      <c r="F189" s="1929"/>
      <c r="G189" s="1991"/>
      <c r="H189" s="1975"/>
      <c r="I189" s="1975"/>
      <c r="J189" s="1994"/>
      <c r="K189" s="1991"/>
      <c r="L189" s="2662"/>
      <c r="M189" s="2662"/>
      <c r="N189" s="2664"/>
      <c r="O189" s="2271"/>
      <c r="P189" s="463"/>
      <c r="Q189" s="464"/>
      <c r="R189" s="464" t="s">
        <v>437</v>
      </c>
      <c r="S189" s="1989"/>
      <c r="T189" s="1989"/>
      <c r="U189" s="1989"/>
      <c r="V189" s="1989"/>
      <c r="W189" s="1579"/>
      <c r="Y189" s="1405"/>
      <c r="Z189" s="1405"/>
      <c r="AA189" s="1405"/>
      <c r="AB189" s="1405"/>
      <c r="AC189" s="1405"/>
      <c r="AD189" s="1405"/>
      <c r="AE189" s="1405"/>
      <c r="AF189" s="1405"/>
      <c r="AG189" s="1405"/>
      <c r="AH189" s="1405"/>
      <c r="AI189" s="1405"/>
      <c r="AJ189" s="1405"/>
      <c r="AK189" s="1405"/>
    </row>
    <row customHeight="1" ht="17.25">
      <c r="A190" s="1993"/>
    </row>
    <row s="7809" customFormat="1" customHeight="1" ht="17.25">
      <c r="A191" s="1983"/>
      <c r="C191" s="1985"/>
      <c r="D191" s="1975"/>
      <c r="E191" s="1990"/>
      <c r="F191" s="1929"/>
      <c r="G191" s="1991"/>
      <c r="H191" s="1975"/>
      <c r="I191" s="1975"/>
      <c r="J191" s="1994"/>
      <c r="K191" s="1991"/>
      <c r="L191" s="1975"/>
      <c r="M191" s="1975"/>
      <c r="N191" s="2191"/>
      <c r="O191" s="1932"/>
      <c r="P191" s="2267"/>
      <c r="Q191" s="2267" t="s">
        <v>121</v>
      </c>
      <c r="R191" s="2661" t="s">
        <v>22</v>
      </c>
      <c r="S191" s="2565" t="s">
        <v>19</v>
      </c>
      <c r="T191" s="1947"/>
      <c r="U191" s="1947" t="s">
        <v>121</v>
      </c>
      <c r="V191" s="1580"/>
      <c r="W191" s="2660"/>
      <c r="Y191" s="1413"/>
      <c r="Z191" s="1413"/>
      <c r="AA191" s="1413"/>
      <c r="AB191" s="1413"/>
      <c r="AC191" s="1413"/>
      <c r="AD191" s="1413"/>
      <c r="AE191" s="1413"/>
      <c r="AF191" s="1413"/>
      <c r="AG191" s="1413"/>
      <c r="AH191" s="1413"/>
      <c r="AI191" s="1413"/>
      <c r="AJ191" s="1413"/>
      <c r="AK191" s="1413"/>
      <c r="AL191" s="1987"/>
      <c r="AM191" s="1987"/>
      <c r="AN191" s="1413"/>
      <c r="AO191" s="1413"/>
      <c r="AP191" s="1413"/>
      <c r="AQ191" s="1413"/>
    </row>
    <row s="7809" customFormat="1" customHeight="1" ht="17.25">
      <c r="A192" s="1983"/>
      <c r="C192" s="1988"/>
      <c r="D192" s="1975"/>
      <c r="E192" s="1990"/>
      <c r="F192" s="1929"/>
      <c r="G192" s="1991"/>
      <c r="H192" s="1975"/>
      <c r="I192" s="1975"/>
      <c r="J192" s="1994"/>
      <c r="K192" s="1991"/>
      <c r="L192" s="1975"/>
      <c r="M192" s="1975"/>
      <c r="N192" s="2191"/>
      <c r="O192" s="1932"/>
      <c r="P192" s="2267"/>
      <c r="Q192" s="2267"/>
      <c r="R192" s="2661"/>
      <c r="S192" s="2565"/>
      <c r="T192" s="1581"/>
      <c r="U192" s="1582"/>
      <c r="V192" s="1582"/>
      <c r="W192" s="2660"/>
      <c r="Y192" s="1405"/>
      <c r="Z192" s="1405"/>
      <c r="AA192" s="1405"/>
      <c r="AB192" s="1405"/>
      <c r="AC192" s="1405"/>
      <c r="AD192" s="1405"/>
      <c r="AE192" s="1405"/>
      <c r="AF192" s="1405"/>
      <c r="AG192" s="1405"/>
      <c r="AH192" s="1405"/>
      <c r="AI192" s="1405"/>
      <c r="AJ192" s="1405"/>
      <c r="AK192" s="1405"/>
    </row>
    <row customHeight="1" ht="17.25">
      <c r="A193" s="1993"/>
    </row>
    <row customHeight="1" ht="16.5">
      <c r="A194" s="1983"/>
      <c r="B194" s="1984"/>
      <c r="C194" s="1988"/>
      <c r="D194" s="2712"/>
      <c r="E194" s="2338"/>
      <c r="F194" s="2338"/>
      <c r="G194" s="2286"/>
      <c r="H194" s="2713"/>
      <c r="I194" s="2726"/>
      <c r="J194" s="2311"/>
      <c r="K194" s="2296"/>
      <c r="L194" s="2296"/>
      <c r="M194" s="2296"/>
      <c r="N194" s="2724"/>
      <c r="O194" s="2296"/>
      <c r="P194" s="2296"/>
      <c r="Q194" s="2296"/>
      <c r="R194" s="2722"/>
      <c r="S194" s="2296"/>
      <c r="T194" s="1928"/>
      <c r="U194" s="1928"/>
      <c r="V194" s="1995"/>
      <c r="W194" s="1442"/>
    </row>
    <row customHeight="1" ht="16.5">
      <c r="A195" s="1983"/>
      <c r="B195" s="1984"/>
      <c r="C195" s="1988"/>
      <c r="D195" s="2712"/>
      <c r="E195" s="2338"/>
      <c r="F195" s="2338"/>
      <c r="G195" s="2286"/>
      <c r="H195" s="2714"/>
      <c r="I195" s="2727"/>
      <c r="J195" s="2312"/>
      <c r="K195" s="2297"/>
      <c r="L195" s="2297"/>
      <c r="M195" s="2297"/>
      <c r="N195" s="2725"/>
      <c r="O195" s="2297"/>
      <c r="P195" s="2297"/>
      <c r="Q195" s="2297"/>
      <c r="R195" s="2723"/>
      <c r="S195" s="2297"/>
      <c r="T195" s="1443"/>
      <c r="U195" s="1443"/>
      <c r="V195" s="1443"/>
      <c r="W195" s="1444"/>
    </row>
    <row customHeight="1" ht="17.25">
      <c r="A196" s="1983"/>
      <c r="B196" s="1984"/>
      <c r="C196" s="1988"/>
      <c r="D196" s="2712"/>
      <c r="E196" s="2338"/>
      <c r="F196" s="2338"/>
      <c r="G196" s="2286"/>
      <c r="H196" s="2714"/>
      <c r="I196" s="2727"/>
      <c r="J196" s="2715"/>
      <c r="K196" s="2297"/>
      <c r="L196" s="2297"/>
      <c r="M196" s="2297"/>
      <c r="N196" s="2723"/>
      <c r="O196" s="2297"/>
      <c r="P196" s="1931"/>
      <c r="Q196" s="1443"/>
      <c r="R196" s="1443"/>
      <c r="S196" s="1996"/>
      <c r="T196" s="1996"/>
      <c r="U196" s="1996"/>
      <c r="V196" s="1996"/>
      <c r="W196" s="1444"/>
    </row>
    <row customHeight="1" ht="17.25">
      <c r="A197" s="1983"/>
      <c r="B197" s="1984"/>
      <c r="C197" s="1988"/>
      <c r="D197" s="2712"/>
      <c r="E197" s="2338"/>
      <c r="F197" s="2338"/>
      <c r="G197" s="2286"/>
      <c r="H197" s="2714"/>
      <c r="I197" s="2727"/>
      <c r="J197" s="2715"/>
      <c r="K197" s="2297"/>
      <c r="L197" s="1443"/>
      <c r="M197" s="1443"/>
      <c r="N197" s="1443"/>
      <c r="O197" s="1443"/>
      <c r="P197" s="1443"/>
      <c r="Q197" s="1443"/>
      <c r="R197" s="1443"/>
      <c r="S197" s="1996"/>
      <c r="T197" s="1996"/>
      <c r="U197" s="1996"/>
      <c r="V197" s="1996"/>
      <c r="W197" s="1444"/>
    </row>
    <row customHeight="1" ht="17.25">
      <c r="A198" s="1983"/>
      <c r="B198" s="1984"/>
      <c r="C198" s="1988"/>
      <c r="D198" s="2712"/>
      <c r="E198" s="2338"/>
      <c r="F198" s="2338"/>
      <c r="G198" s="2286"/>
      <c r="H198" s="1445"/>
      <c r="I198" s="1446"/>
      <c r="J198" s="1446"/>
      <c r="K198" s="1446"/>
      <c r="L198" s="1446"/>
      <c r="M198" s="1446"/>
      <c r="N198" s="1446"/>
      <c r="O198" s="1446"/>
      <c r="P198" s="1446"/>
      <c r="Q198" s="1446"/>
      <c r="R198" s="1446"/>
      <c r="S198" s="1997"/>
      <c r="T198" s="1997"/>
      <c r="U198" s="1997"/>
      <c r="V198" s="1997"/>
      <c r="W198" s="1448"/>
    </row>
    <row r="200" s="7537" customFormat="1" customHeight="1" ht="17.25">
      <c r="A200" s="1960" t="s">
        <v>2227</v>
      </c>
    </row>
    <row customHeight="1" ht="17.25">
      <c r="G201" s="1982"/>
      <c r="H201" s="1982"/>
      <c r="I201" s="1982"/>
      <c r="M201" s="1978"/>
    </row>
    <row s="7976" customFormat="1" customHeight="1" ht="15">
      <c r="D202" s="2682"/>
      <c r="E202" s="2358"/>
      <c r="F202" s="2358"/>
      <c r="G202" s="2344"/>
      <c r="H202" s="1710"/>
      <c r="I202" s="2686">
        <v>1</v>
      </c>
      <c r="J202" s="2660"/>
      <c r="K202" s="1725"/>
      <c r="L202" s="2344" t="s">
        <v>63</v>
      </c>
      <c r="M202" s="2344" t="s">
        <v>63</v>
      </c>
      <c r="N202" s="1710"/>
      <c r="O202" s="2267" t="s">
        <v>121</v>
      </c>
      <c r="P202" s="2676"/>
      <c r="Q202" s="1726"/>
      <c r="R202" s="2344" t="s">
        <v>63</v>
      </c>
      <c r="S202" s="2344" t="s">
        <v>63</v>
      </c>
      <c r="T202" s="1998"/>
      <c r="U202" s="2267" t="s">
        <v>121</v>
      </c>
      <c r="V202" s="2683" t="str">
        <f>IF(AK202="","",INDEX(TERRITORY_MR_LIST,MATCH(AK202,TERRITORY_LIST_ID,0)))</f>
        <v/>
      </c>
      <c r="W202" s="1727"/>
      <c r="X202" s="2344" t="s">
        <v>63</v>
      </c>
      <c r="Y202" s="2344" t="s">
        <v>19</v>
      </c>
      <c r="Z202" s="1710"/>
      <c r="AA202" s="2267" t="s">
        <v>121</v>
      </c>
      <c r="AB202" s="2685"/>
      <c r="AC202" s="1728"/>
      <c r="AD202" s="2344" t="s">
        <v>63</v>
      </c>
      <c r="AE202" s="2344" t="s">
        <v>19</v>
      </c>
      <c r="AF202" s="1708"/>
      <c r="AG202" s="1956" t="s">
        <v>121</v>
      </c>
      <c r="AH202" s="1718"/>
      <c r="AI202" s="1946"/>
    </row>
    <row s="7976" customFormat="1" customHeight="1" ht="15">
      <c r="D203" s="2682"/>
      <c r="E203" s="2358"/>
      <c r="F203" s="2358"/>
      <c r="G203" s="2345"/>
      <c r="H203" s="1710"/>
      <c r="I203" s="2686"/>
      <c r="J203" s="2660"/>
      <c r="K203" s="1709"/>
      <c r="L203" s="2345"/>
      <c r="M203" s="2345"/>
      <c r="N203" s="1710"/>
      <c r="O203" s="2267"/>
      <c r="P203" s="2676"/>
      <c r="Q203" s="1706"/>
      <c r="R203" s="2345"/>
      <c r="S203" s="2345"/>
      <c r="T203" s="1998"/>
      <c r="U203" s="2267"/>
      <c r="V203" s="2684"/>
      <c r="W203" s="1707"/>
      <c r="X203" s="2345"/>
      <c r="Y203" s="2345"/>
      <c r="Z203" s="1710"/>
      <c r="AA203" s="2267"/>
      <c r="AB203" s="2654"/>
      <c r="AC203" s="1711"/>
      <c r="AD203" s="2271"/>
      <c r="AE203" s="2271"/>
      <c r="AF203" s="1712"/>
      <c r="AG203" s="1713"/>
      <c r="AH203" s="2677" t="s">
        <v>2228</v>
      </c>
      <c r="AI203" s="2678"/>
    </row>
    <row s="7976" customFormat="1" customHeight="1" ht="15">
      <c r="D204" s="2682"/>
      <c r="E204" s="2358"/>
      <c r="F204" s="2358"/>
      <c r="G204" s="2345"/>
      <c r="H204" s="1710"/>
      <c r="I204" s="2686"/>
      <c r="J204" s="2660"/>
      <c r="K204" s="1709"/>
      <c r="L204" s="2345"/>
      <c r="M204" s="2345"/>
      <c r="N204" s="1710"/>
      <c r="O204" s="2267"/>
      <c r="P204" s="2676"/>
      <c r="Q204" s="1706"/>
      <c r="R204" s="2345"/>
      <c r="S204" s="2345"/>
      <c r="T204" s="1998"/>
      <c r="U204" s="2267"/>
      <c r="V204" s="2684"/>
      <c r="W204" s="1707"/>
      <c r="X204" s="2345"/>
      <c r="Y204" s="2345"/>
      <c r="Z204" s="1749"/>
      <c r="AA204" s="1715"/>
      <c r="AB204" s="2679" t="s">
        <v>2229</v>
      </c>
      <c r="AC204" s="2679"/>
      <c r="AD204" s="2679"/>
      <c r="AE204" s="2679"/>
      <c r="AF204" s="2679"/>
      <c r="AG204" s="2679"/>
      <c r="AH204" s="2679"/>
      <c r="AI204" s="2680"/>
    </row>
    <row s="7976" customFormat="1" customHeight="1" ht="15">
      <c r="D205" s="2682"/>
      <c r="E205" s="2358"/>
      <c r="F205" s="2358"/>
      <c r="G205" s="2345"/>
      <c r="H205" s="1710"/>
      <c r="I205" s="2686"/>
      <c r="J205" s="2660"/>
      <c r="K205" s="1709"/>
      <c r="L205" s="2345"/>
      <c r="M205" s="2345"/>
      <c r="N205" s="1710"/>
      <c r="O205" s="2267"/>
      <c r="P205" s="2681"/>
      <c r="Q205" s="1706"/>
      <c r="R205" s="2345"/>
      <c r="S205" s="2345"/>
      <c r="T205" s="1999"/>
      <c r="U205" s="1750"/>
      <c r="V205" s="2677" t="s">
        <v>115</v>
      </c>
      <c r="W205" s="2677"/>
      <c r="X205" s="2677"/>
      <c r="Y205" s="2677"/>
      <c r="Z205" s="2677"/>
      <c r="AA205" s="2677"/>
      <c r="AB205" s="2677"/>
      <c r="AC205" s="2677"/>
      <c r="AD205" s="2677"/>
      <c r="AE205" s="2677"/>
      <c r="AF205" s="2677"/>
      <c r="AG205" s="2677"/>
      <c r="AH205" s="2677"/>
      <c r="AI205" s="2678"/>
    </row>
    <row s="7976" customFormat="1" customHeight="1" ht="11.25">
      <c r="D206" s="2682"/>
      <c r="E206" s="2358"/>
      <c r="F206" s="2358"/>
      <c r="G206" s="2345"/>
      <c r="H206" s="1714"/>
      <c r="I206" s="2686"/>
      <c r="J206" s="2687"/>
      <c r="K206" s="1709"/>
      <c r="L206" s="2345"/>
      <c r="M206" s="2345"/>
      <c r="N206" s="1714"/>
      <c r="O206" s="1715"/>
      <c r="P206" s="2677" t="s">
        <v>2230</v>
      </c>
      <c r="Q206" s="2677"/>
      <c r="R206" s="2677"/>
      <c r="S206" s="2677"/>
      <c r="T206" s="2677"/>
      <c r="U206" s="2677"/>
      <c r="V206" s="2677"/>
      <c r="W206" s="2677"/>
      <c r="X206" s="2677"/>
      <c r="Y206" s="2677"/>
      <c r="Z206" s="2677"/>
      <c r="AA206" s="2677"/>
      <c r="AB206" s="2677"/>
      <c r="AC206" s="2677"/>
      <c r="AD206" s="2677"/>
      <c r="AE206" s="2677"/>
      <c r="AF206" s="2677"/>
      <c r="AG206" s="2677"/>
      <c r="AH206" s="2677"/>
      <c r="AI206" s="2678"/>
    </row>
    <row s="5829" customFormat="1" customHeight="1" ht="11.25">
      <c r="D207" s="2682"/>
      <c r="E207" s="2358"/>
      <c r="F207" s="2358"/>
      <c r="G207" s="2271"/>
      <c r="H207" s="1716"/>
      <c r="I207" s="1717"/>
      <c r="J207" s="2677" t="s">
        <v>470</v>
      </c>
      <c r="K207" s="2677"/>
      <c r="L207" s="2677"/>
      <c r="M207" s="2677"/>
      <c r="N207" s="2677"/>
      <c r="O207" s="2677"/>
      <c r="P207" s="2677"/>
      <c r="Q207" s="2677"/>
      <c r="R207" s="2677"/>
      <c r="S207" s="2677"/>
      <c r="T207" s="2677"/>
      <c r="U207" s="2677"/>
      <c r="V207" s="2677"/>
      <c r="W207" s="2677"/>
      <c r="X207" s="2677"/>
      <c r="Y207" s="2677"/>
      <c r="Z207" s="2677"/>
      <c r="AA207" s="2677"/>
      <c r="AB207" s="2677"/>
      <c r="AC207" s="2677"/>
      <c r="AD207" s="2677"/>
      <c r="AE207" s="2677"/>
      <c r="AF207" s="2677"/>
      <c r="AG207" s="2677"/>
      <c r="AH207" s="2677"/>
      <c r="AI207" s="2678"/>
      <c r="BK207" s="1720"/>
    </row>
    <row customHeight="1" ht="17.25">
      <c r="G208" s="1982"/>
      <c r="I208" s="1982"/>
      <c r="J208" s="1982"/>
      <c r="N208" s="1978"/>
    </row>
    <row s="7976" customFormat="1" customHeight="1" ht="15">
      <c r="D209" s="2682"/>
      <c r="E209" s="2358"/>
      <c r="F209" s="2358"/>
      <c r="G209" s="2338"/>
      <c r="H209" s="1745"/>
      <c r="I209" s="2340"/>
      <c r="J209" s="2311"/>
      <c r="K209" s="1930"/>
      <c r="L209" s="2296"/>
      <c r="M209" s="2296"/>
      <c r="N209" s="1730"/>
      <c r="O209" s="2296"/>
      <c r="P209" s="2311"/>
      <c r="Q209" s="1934"/>
      <c r="R209" s="2296"/>
      <c r="S209" s="2296"/>
      <c r="T209" s="2000"/>
      <c r="U209" s="2296"/>
      <c r="V209" s="2311"/>
      <c r="W209" s="1733"/>
      <c r="X209" s="2296"/>
      <c r="Y209" s="2296"/>
      <c r="Z209" s="1730"/>
      <c r="AA209" s="2296"/>
      <c r="AB209" s="2311"/>
      <c r="AC209" s="1734"/>
      <c r="AD209" s="2296"/>
      <c r="AE209" s="2296"/>
      <c r="AF209" s="1928"/>
      <c r="AG209" s="1928"/>
      <c r="AH209" s="1735"/>
      <c r="AI209" s="1442"/>
    </row>
    <row s="7976" customFormat="1" customHeight="1" ht="15">
      <c r="D210" s="2682"/>
      <c r="E210" s="2358"/>
      <c r="F210" s="2358"/>
      <c r="G210" s="2338"/>
      <c r="H210" s="1746"/>
      <c r="I210" s="2341"/>
      <c r="J210" s="2312"/>
      <c r="K210" s="1756"/>
      <c r="L210" s="2297"/>
      <c r="M210" s="2297"/>
      <c r="N210" s="1736"/>
      <c r="O210" s="2297"/>
      <c r="P210" s="2312"/>
      <c r="Q210" s="1935"/>
      <c r="R210" s="2297"/>
      <c r="S210" s="2297"/>
      <c r="T210" s="2001"/>
      <c r="U210" s="2297"/>
      <c r="V210" s="2312"/>
      <c r="W210" s="1739"/>
      <c r="X210" s="2297"/>
      <c r="Y210" s="2297"/>
      <c r="Z210" s="1736"/>
      <c r="AA210" s="2297"/>
      <c r="AB210" s="2312"/>
      <c r="AC210" s="1740"/>
      <c r="AD210" s="2297"/>
      <c r="AE210" s="2297"/>
      <c r="AF210" s="1933"/>
      <c r="AG210" s="1933"/>
      <c r="AH210" s="2336"/>
      <c r="AI210" s="2337"/>
    </row>
    <row s="7976" customFormat="1" customHeight="1" ht="15">
      <c r="D211" s="2682"/>
      <c r="E211" s="2358"/>
      <c r="F211" s="2358"/>
      <c r="G211" s="2338"/>
      <c r="H211" s="1746"/>
      <c r="I211" s="2341"/>
      <c r="J211" s="2312"/>
      <c r="K211" s="1756"/>
      <c r="L211" s="2297"/>
      <c r="M211" s="2297"/>
      <c r="N211" s="1736"/>
      <c r="O211" s="2297"/>
      <c r="P211" s="2312"/>
      <c r="Q211" s="1935"/>
      <c r="R211" s="2297"/>
      <c r="S211" s="2297"/>
      <c r="T211" s="2001"/>
      <c r="U211" s="2297"/>
      <c r="V211" s="2312"/>
      <c r="W211" s="1739"/>
      <c r="X211" s="2297"/>
      <c r="Y211" s="2297"/>
      <c r="Z211" s="1931"/>
      <c r="AA211" s="1933"/>
      <c r="AB211" s="2336"/>
      <c r="AC211" s="2336"/>
      <c r="AD211" s="2336"/>
      <c r="AE211" s="2336"/>
      <c r="AF211" s="2336"/>
      <c r="AG211" s="2336"/>
      <c r="AH211" s="2336"/>
      <c r="AI211" s="2337"/>
    </row>
    <row s="7976" customFormat="1" customHeight="1" ht="15">
      <c r="D212" s="2682"/>
      <c r="E212" s="2358"/>
      <c r="F212" s="2358"/>
      <c r="G212" s="2338"/>
      <c r="H212" s="1746"/>
      <c r="I212" s="2341"/>
      <c r="J212" s="2312"/>
      <c r="K212" s="1756"/>
      <c r="L212" s="2297"/>
      <c r="M212" s="2297"/>
      <c r="N212" s="1736"/>
      <c r="O212" s="2297"/>
      <c r="P212" s="2312"/>
      <c r="Q212" s="1935"/>
      <c r="R212" s="2297"/>
      <c r="S212" s="2297"/>
      <c r="T212" s="2002"/>
      <c r="U212" s="1743"/>
      <c r="V212" s="2336"/>
      <c r="W212" s="2336"/>
      <c r="X212" s="2336"/>
      <c r="Y212" s="2336"/>
      <c r="Z212" s="2336"/>
      <c r="AA212" s="2336"/>
      <c r="AB212" s="2336"/>
      <c r="AC212" s="2336"/>
      <c r="AD212" s="2336"/>
      <c r="AE212" s="2336"/>
      <c r="AF212" s="2336"/>
      <c r="AG212" s="2336"/>
      <c r="AH212" s="2336"/>
      <c r="AI212" s="2337"/>
    </row>
    <row s="7976" customFormat="1" customHeight="1" ht="11.25">
      <c r="D213" s="2682"/>
      <c r="E213" s="2358"/>
      <c r="F213" s="2358"/>
      <c r="G213" s="2338"/>
      <c r="H213" s="1747"/>
      <c r="I213" s="2341"/>
      <c r="J213" s="2312"/>
      <c r="K213" s="1756"/>
      <c r="L213" s="2297"/>
      <c r="M213" s="2297"/>
      <c r="N213" s="1933"/>
      <c r="O213" s="1933"/>
      <c r="P213" s="2336"/>
      <c r="Q213" s="2336"/>
      <c r="R213" s="2336"/>
      <c r="S213" s="2336"/>
      <c r="T213" s="2336"/>
      <c r="U213" s="2336"/>
      <c r="V213" s="2336"/>
      <c r="W213" s="2336"/>
      <c r="X213" s="2336"/>
      <c r="Y213" s="2336"/>
      <c r="Z213" s="2336"/>
      <c r="AA213" s="2336"/>
      <c r="AB213" s="2336"/>
      <c r="AC213" s="2336"/>
      <c r="AD213" s="2336"/>
      <c r="AE213" s="2336"/>
      <c r="AF213" s="2336"/>
      <c r="AG213" s="2336"/>
      <c r="AH213" s="2336"/>
      <c r="AI213" s="2337"/>
    </row>
    <row s="5829" customFormat="1" customHeight="1" ht="11.25">
      <c r="D214" s="2682"/>
      <c r="E214" s="2358"/>
      <c r="F214" s="2358"/>
      <c r="G214" s="2343"/>
      <c r="H214" s="1744"/>
      <c r="I214" s="1748"/>
      <c r="J214" s="2346"/>
      <c r="K214" s="2346"/>
      <c r="L214" s="2346"/>
      <c r="M214" s="2346"/>
      <c r="N214" s="2346"/>
      <c r="O214" s="2346"/>
      <c r="P214" s="2346"/>
      <c r="Q214" s="2346"/>
      <c r="R214" s="2346"/>
      <c r="S214" s="2346"/>
      <c r="T214" s="2346"/>
      <c r="U214" s="2346"/>
      <c r="V214" s="2346"/>
      <c r="W214" s="2346"/>
      <c r="X214" s="2346"/>
      <c r="Y214" s="2346"/>
      <c r="Z214" s="2346"/>
      <c r="AA214" s="2346"/>
      <c r="AB214" s="2346"/>
      <c r="AC214" s="2346"/>
      <c r="AD214" s="2346"/>
      <c r="AE214" s="2346"/>
      <c r="AF214" s="2346"/>
      <c r="AG214" s="2346"/>
      <c r="AH214" s="2346"/>
      <c r="AI214" s="2347"/>
      <c r="BK214" s="1720"/>
    </row>
    <row customHeight="1" ht="17.25">
      <c r="A215" s="199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AF0B5A-0717-3C79-A05B-0.3074FEE9}"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7858" width="43.140625"/>
    <col min="2" max="2" style="7858" width="43.140625" hidden="1"/>
    <col min="3" max="3" style="7858" width="43.140625"/>
    <col min="4" max="5" style="7858" width="36.421875" customWidth="1"/>
    <col min="6" max="8" style="7859" width="36.421875" customWidth="1"/>
  </cols>
  <sheetData>
    <row customHeight="1" ht="9">
      <c r="A1" s="992" t="s">
        <v>2231</v>
      </c>
      <c r="B1" s="992"/>
      <c r="C1" s="1128" t="s">
        <v>2232</v>
      </c>
      <c r="D1" s="1126" t="s">
        <v>869</v>
      </c>
      <c r="E1" s="1126" t="s">
        <v>918</v>
      </c>
      <c r="F1" s="1126" t="s">
        <v>971</v>
      </c>
      <c r="G1" s="1126" t="s">
        <v>958</v>
      </c>
      <c r="H1" s="1126" t="s">
        <v>1931</v>
      </c>
    </row>
    <row customHeight="1" ht="9">
      <c r="A2" s="1129" t="s">
        <v>2233</v>
      </c>
      <c r="B2" s="1129"/>
      <c r="C2" s="1130" t="str">
        <f>INDEX(TEMPLATE_NUMBER_FORM_LIST,MATCH(TEMPLATE_SPHERE,TEMPLATE_SPHERE_LIST,0))</f>
        <v>16</v>
      </c>
      <c r="D2" s="1129" t="s">
        <v>1196</v>
      </c>
      <c r="E2" s="1129" t="s">
        <v>173</v>
      </c>
      <c r="F2" s="1131" t="s">
        <v>173</v>
      </c>
      <c r="G2" s="1129" t="s">
        <v>173</v>
      </c>
      <c r="H2" s="1132"/>
    </row>
    <row customHeight="1" ht="63">
      <c r="A3" s="992"/>
      <c r="B3" s="992" t="s">
        <v>121</v>
      </c>
      <c r="C3" s="113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130" t="s">
        <v>2234</v>
      </c>
      <c r="E3" s="113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131"/>
      <c r="G3" s="1132"/>
      <c r="H3" s="992"/>
    </row>
    <row customHeight="1" ht="243">
      <c r="A4" s="992" t="s">
        <v>2235</v>
      </c>
      <c r="B4" s="992" t="s">
        <v>105</v>
      </c>
      <c r="C4" s="113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129" t="s">
        <v>2236</v>
      </c>
      <c r="E4" s="113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129"/>
      <c r="G4" s="1129"/>
      <c r="H4" s="992" t="s">
        <v>2237</v>
      </c>
    </row>
    <row customHeight="1" ht="117">
      <c r="A5" s="992" t="s">
        <v>2238</v>
      </c>
      <c r="B5" s="992" t="s">
        <v>91</v>
      </c>
      <c r="C5" s="113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992" t="s">
        <v>2239</v>
      </c>
      <c r="E5" s="99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132"/>
      <c r="G5" s="1132"/>
      <c r="H5" s="992" t="s">
        <v>2240</v>
      </c>
    </row>
    <row customHeight="1" ht="90">
      <c r="A6" s="992" t="s">
        <v>2241</v>
      </c>
      <c r="B6" s="992" t="s">
        <v>92</v>
      </c>
      <c r="C6" s="1130"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99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99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992"/>
      <c r="G6" s="992"/>
      <c r="H6" s="1132"/>
    </row>
    <row customHeight="1" ht="45">
      <c r="A7" s="992" t="s">
        <v>2242</v>
      </c>
      <c r="B7" s="992" t="s">
        <v>122</v>
      </c>
      <c r="C7" s="1130" t="str">
        <f>IF(TEMPLATE_SPHERE="HEAT",D7,E7)</f>
        <v>Форма 11. Информация о расходах на капитальный и текущий ремонт основных средств</v>
      </c>
      <c r="D7" s="992" t="s">
        <v>2243</v>
      </c>
      <c r="E7" s="992" t="s">
        <v>2244</v>
      </c>
      <c r="F7" s="1132"/>
      <c r="G7" s="1132"/>
      <c r="H7" s="1132"/>
    </row>
    <row customHeight="1" ht="108">
      <c r="A8" s="992" t="s">
        <v>2245</v>
      </c>
      <c r="B8" s="992" t="s">
        <v>93</v>
      </c>
      <c r="C8" s="113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992" t="s">
        <v>1505</v>
      </c>
      <c r="E8" s="992" t="s">
        <v>2246</v>
      </c>
      <c r="F8" s="1132"/>
      <c r="G8" s="1132"/>
      <c r="H8" s="1132"/>
    </row>
    <row customHeight="1" ht="99">
      <c r="A9" s="992" t="s">
        <v>2247</v>
      </c>
      <c r="B9" s="992"/>
      <c r="C9" s="992" t="s">
        <v>2248</v>
      </c>
      <c r="D9" s="992"/>
      <c r="E9" s="992"/>
      <c r="F9" s="1132"/>
      <c r="G9" s="1132"/>
      <c r="H9" s="1132"/>
    </row>
    <row customHeight="1" ht="126">
      <c r="A10" s="992" t="s">
        <v>2249</v>
      </c>
      <c r="B10" s="992"/>
      <c r="C10" s="992" t="s">
        <v>2250</v>
      </c>
      <c r="D10" s="992"/>
      <c r="E10" s="992"/>
      <c r="F10" s="1132"/>
      <c r="G10" s="1132"/>
      <c r="H10" s="1132"/>
    </row>
    <row customHeight="1" ht="108">
      <c r="A11" s="992" t="s">
        <v>2251</v>
      </c>
      <c r="B11" s="992"/>
      <c r="C11" s="992" t="s">
        <v>2252</v>
      </c>
      <c r="D11" s="992"/>
      <c r="E11" s="992"/>
      <c r="F11" s="1132"/>
      <c r="G11" s="1132"/>
      <c r="H11" s="1132"/>
    </row>
    <row customHeight="1" ht="54">
      <c r="A12" s="992" t="s">
        <v>2253</v>
      </c>
      <c r="B12" s="992"/>
      <c r="C12" s="992" t="s">
        <v>2254</v>
      </c>
      <c r="D12" s="992"/>
      <c r="E12" s="992"/>
      <c r="F12" s="1132"/>
      <c r="G12" s="1132"/>
      <c r="H12" s="1132"/>
    </row>
    <row customHeight="1" ht="45">
      <c r="A13" s="992" t="s">
        <v>2255</v>
      </c>
      <c r="B13" s="992"/>
      <c r="C13" s="992" t="s">
        <v>2256</v>
      </c>
      <c r="D13" s="992"/>
      <c r="E13" s="992"/>
      <c r="F13" s="1132"/>
      <c r="G13" s="1132"/>
      <c r="H13" s="1132"/>
    </row>
    <row customHeight="1" ht="117">
      <c r="A14" s="992" t="s">
        <v>2257</v>
      </c>
      <c r="B14" s="992"/>
      <c r="C14" s="992" t="s">
        <v>2258</v>
      </c>
      <c r="D14" s="992"/>
      <c r="E14" s="992"/>
      <c r="F14" s="1132"/>
      <c r="G14" s="1132"/>
      <c r="H14" s="1132"/>
    </row>
    <row customHeight="1" ht="117">
      <c r="A15" s="992" t="s">
        <v>2259</v>
      </c>
      <c r="B15" s="992"/>
      <c r="C15" s="992" t="s">
        <v>2260</v>
      </c>
      <c r="D15" s="992"/>
      <c r="E15" s="992"/>
      <c r="F15" s="1132"/>
      <c r="G15" s="1132"/>
      <c r="H15" s="1132"/>
    </row>
    <row customHeight="1" ht="63">
      <c r="A16" s="992" t="s">
        <v>2261</v>
      </c>
      <c r="B16" s="992"/>
      <c r="C16" s="992" t="s">
        <v>2262</v>
      </c>
      <c r="D16" s="992"/>
      <c r="E16" s="992"/>
      <c r="F16" s="1132"/>
      <c r="G16" s="1132"/>
      <c r="H16" s="1132"/>
    </row>
    <row customHeight="1" ht="54">
      <c r="A17" s="992" t="s">
        <v>2263</v>
      </c>
      <c r="B17" s="992"/>
      <c r="C17" s="1130" t="s">
        <v>2264</v>
      </c>
      <c r="D17" s="992"/>
      <c r="E17" s="992"/>
      <c r="F17" s="1132"/>
      <c r="G17" s="1132"/>
      <c r="H17" s="1132"/>
    </row>
    <row customHeight="1" ht="27">
      <c r="A18" s="992" t="s">
        <v>2265</v>
      </c>
      <c r="B18" s="992"/>
      <c r="C18" s="1130" t="s">
        <v>2266</v>
      </c>
      <c r="D18" s="992"/>
      <c r="E18" s="992"/>
      <c r="F18" s="1132"/>
      <c r="G18" s="1132"/>
      <c r="H18" s="1132"/>
    </row>
    <row customHeight="1" ht="54">
      <c r="A19" s="992" t="s">
        <v>2267</v>
      </c>
      <c r="B19" s="992"/>
      <c r="C19" s="1130" t="s">
        <v>2268</v>
      </c>
      <c r="D19" s="992"/>
      <c r="E19" s="992"/>
      <c r="F19" s="1132"/>
      <c r="G19" s="1132"/>
      <c r="H19" s="1132"/>
    </row>
    <row customHeight="1" ht="36">
      <c r="A20" s="992" t="s">
        <v>2269</v>
      </c>
      <c r="B20" s="992"/>
      <c r="C20" s="1130" t="s">
        <v>2270</v>
      </c>
      <c r="D20" s="992"/>
      <c r="E20" s="992"/>
      <c r="F20" s="1132"/>
      <c r="G20" s="1132"/>
      <c r="H20" s="1132"/>
    </row>
    <row customHeight="1" ht="36">
      <c r="A21" s="992" t="s">
        <v>2271</v>
      </c>
      <c r="B21" s="992"/>
      <c r="C21" s="1130" t="s">
        <v>2272</v>
      </c>
      <c r="D21" s="992"/>
      <c r="E21" s="992"/>
      <c r="F21" s="1132"/>
      <c r="G21" s="1132"/>
      <c r="H21" s="1132"/>
    </row>
    <row customHeight="1" ht="27">
      <c r="A22" s="992" t="s">
        <v>2273</v>
      </c>
      <c r="B22" s="992"/>
      <c r="C22" s="1130" t="s">
        <v>2274</v>
      </c>
      <c r="D22" s="992"/>
      <c r="E22" s="992"/>
      <c r="F22" s="1132"/>
      <c r="G22" s="1132"/>
      <c r="H22" s="1132"/>
    </row>
    <row customHeight="1" ht="36">
      <c r="A23" s="992" t="s">
        <v>2275</v>
      </c>
      <c r="B23" s="992"/>
      <c r="C23" s="1130" t="s">
        <v>2276</v>
      </c>
      <c r="D23" s="992"/>
      <c r="E23" s="992"/>
      <c r="F23" s="1132"/>
      <c r="G23" s="1132"/>
      <c r="H23" s="1132"/>
    </row>
    <row customHeight="1" ht="28.5">
      <c r="A24" s="992" t="s">
        <v>2277</v>
      </c>
      <c r="B24" s="992"/>
      <c r="C24" s="1130" t="s">
        <v>2278</v>
      </c>
      <c r="D24" s="992"/>
      <c r="E24" s="992"/>
      <c r="F24" s="1132"/>
      <c r="G24" s="1132"/>
      <c r="H24" s="1132"/>
    </row>
    <row customHeight="1" ht="36">
      <c r="A25" s="992" t="s">
        <v>2279</v>
      </c>
      <c r="B25" s="992"/>
      <c r="C25" s="1130" t="s">
        <v>2280</v>
      </c>
      <c r="D25" s="992"/>
      <c r="E25" s="992"/>
      <c r="F25" s="1132"/>
      <c r="G25" s="1132"/>
      <c r="H25" s="1132"/>
    </row>
    <row customHeight="1" ht="27">
      <c r="A26" s="992" t="s">
        <v>2281</v>
      </c>
      <c r="B26" s="992"/>
      <c r="C26" s="1130" t="s">
        <v>2282</v>
      </c>
      <c r="D26" s="992"/>
      <c r="E26" s="992"/>
      <c r="F26" s="1132"/>
      <c r="G26" s="1132"/>
      <c r="H26" s="1132"/>
    </row>
    <row customHeight="1" ht="36">
      <c r="A27" s="992" t="s">
        <v>2283</v>
      </c>
      <c r="B27" s="992"/>
      <c r="C27" s="1130" t="s">
        <v>2284</v>
      </c>
      <c r="D27" s="992"/>
      <c r="E27" s="992"/>
      <c r="F27" s="1132"/>
      <c r="G27" s="1132"/>
      <c r="H27" s="1132"/>
    </row>
    <row customHeight="1" ht="28.5">
      <c r="A28" s="992" t="s">
        <v>2285</v>
      </c>
      <c r="B28" s="992"/>
      <c r="C28" s="1130" t="s">
        <v>2286</v>
      </c>
      <c r="D28" s="992"/>
      <c r="E28" s="992"/>
      <c r="F28" s="1132"/>
      <c r="G28" s="1132"/>
      <c r="H28" s="1132"/>
    </row>
    <row customHeight="1" ht="126">
      <c r="A29" s="992" t="s">
        <v>2287</v>
      </c>
      <c r="B29" s="992" t="s">
        <v>1222</v>
      </c>
      <c r="C29" s="113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992" t="s">
        <v>2288</v>
      </c>
      <c r="E29" s="99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132"/>
      <c r="G29" s="1132"/>
      <c r="H29" s="992" t="s">
        <v>2289</v>
      </c>
    </row>
    <row customHeight="1" ht="36">
      <c r="A30" s="992" t="s">
        <v>2290</v>
      </c>
      <c r="B30" s="992"/>
      <c r="C30" s="113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992" t="s">
        <v>2291</v>
      </c>
      <c r="E30" s="99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132"/>
      <c r="G30" s="1132"/>
      <c r="H30" s="1132"/>
    </row>
    <row customHeight="1" ht="54">
      <c r="A31" s="992" t="s">
        <v>2292</v>
      </c>
      <c r="B31" s="992"/>
      <c r="C31" s="113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992" t="s">
        <v>2293</v>
      </c>
      <c r="E31" s="99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132"/>
      <c r="G31" s="1132"/>
      <c r="H31" s="1132"/>
    </row>
    <row customHeight="1" ht="198">
      <c r="A32" s="992" t="s">
        <v>2294</v>
      </c>
      <c r="B32" s="992"/>
      <c r="C32" s="113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992" t="s">
        <v>2295</v>
      </c>
      <c r="E32" s="99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132"/>
      <c r="G32" s="1132"/>
      <c r="H32" s="992" t="s">
        <v>2296</v>
      </c>
    </row>
    <row customHeight="1" ht="9">
      <c r="A33" s="992"/>
      <c r="B33" s="992"/>
      <c r="C33" s="1130"/>
      <c r="D33" s="992"/>
      <c r="E33" s="992"/>
      <c r="F33" s="1132"/>
      <c r="G33" s="1132"/>
      <c r="H33" s="1132"/>
    </row>
    <row customHeight="1" ht="9">
      <c r="A34" s="992"/>
      <c r="B34" s="992" t="s">
        <v>1204</v>
      </c>
      <c r="C34" s="1130">
        <f>INDEX(TEMPLATE_NAME_FORM_LIST,B34,MATCH(TEMPLATE_SPHERE,TEMPLATE_SPHERE_LIST,0))</f>
        <v>0</v>
      </c>
      <c r="D34" s="992"/>
      <c r="E34" s="992"/>
      <c r="F34" s="1132"/>
      <c r="G34" s="1132"/>
      <c r="H34" s="1132"/>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3E2CEEF-916E-D3ED-4D63-0.8CBA7C3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7858" width="9.140625"/>
    <col min="3" max="7" style="7902" width="8.00390625" customWidth="1"/>
    <col min="8" max="12" style="7902" width="8.57421875" customWidth="1"/>
    <col min="13" max="14" style="7902" width="27.7109375" customWidth="1"/>
    <col min="15" max="19" style="7902" width="5.140625" customWidth="1"/>
    <col min="20" max="24" style="7902" width="27.7109375" customWidth="1"/>
    <col min="25" max="25" style="7903" width="1.8515625" customWidth="1"/>
    <col min="26" max="26" style="7858" width="27.7109375" customWidth="1"/>
    <col min="27" max="27" style="7904" width="27.7109375" customWidth="1"/>
    <col min="28" max="29" style="7858" width="27.7109375" customWidth="1"/>
    <col min="30" max="30" style="7858" width="3.8515625" customWidth="1"/>
    <col min="31" max="34" style="7858" width="9.140625"/>
  </cols>
  <sheetData>
    <row s="7860" customFormat="1" customHeight="1" ht="18">
      <c r="A1" s="1044"/>
      <c r="B1" s="1044"/>
      <c r="C1" s="1044" t="s">
        <v>2297</v>
      </c>
      <c r="D1" s="1044"/>
      <c r="E1" s="1044"/>
      <c r="F1" s="1044"/>
      <c r="G1" s="1044"/>
      <c r="H1" s="1044" t="s">
        <v>2298</v>
      </c>
      <c r="I1" s="1044"/>
      <c r="J1" s="1044"/>
      <c r="K1" s="1044"/>
      <c r="L1" s="1044"/>
      <c r="M1" s="1044" t="s">
        <v>2299</v>
      </c>
      <c r="N1" s="1044" t="s">
        <v>2300</v>
      </c>
      <c r="O1" s="2751" t="s">
        <v>2301</v>
      </c>
      <c r="P1" s="2751"/>
      <c r="Q1" s="2751"/>
      <c r="R1" s="2751"/>
      <c r="S1" s="2751"/>
      <c r="T1" s="2751" t="s">
        <v>2299</v>
      </c>
      <c r="U1" s="2751"/>
      <c r="V1" s="2751"/>
      <c r="W1" s="2751"/>
      <c r="X1" s="2751"/>
      <c r="Y1" s="1145"/>
      <c r="Z1" s="2751" t="s">
        <v>2302</v>
      </c>
      <c r="AA1" s="2751"/>
      <c r="AB1" s="2751"/>
      <c r="AC1" s="2751"/>
      <c r="AD1" s="2751"/>
    </row>
    <row customHeight="1" ht="18">
      <c r="A2" s="992"/>
      <c r="B2" s="992"/>
      <c r="C2" s="987" t="s">
        <v>869</v>
      </c>
      <c r="D2" s="987" t="s">
        <v>918</v>
      </c>
      <c r="E2" s="987" t="s">
        <v>971</v>
      </c>
      <c r="F2" s="987" t="s">
        <v>958</v>
      </c>
      <c r="G2" s="987" t="s">
        <v>1931</v>
      </c>
      <c r="H2" s="989"/>
      <c r="I2" s="989"/>
      <c r="J2" s="989"/>
      <c r="K2" s="989"/>
      <c r="L2" s="989"/>
      <c r="M2" s="989"/>
      <c r="N2" s="989"/>
      <c r="O2" s="987" t="s">
        <v>869</v>
      </c>
      <c r="P2" s="987" t="s">
        <v>918</v>
      </c>
      <c r="Q2" s="987" t="s">
        <v>958</v>
      </c>
      <c r="R2" s="987" t="s">
        <v>971</v>
      </c>
      <c r="S2" s="987" t="s">
        <v>1931</v>
      </c>
      <c r="T2" s="987" t="s">
        <v>869</v>
      </c>
      <c r="U2" s="987" t="s">
        <v>918</v>
      </c>
      <c r="V2" s="987" t="s">
        <v>958</v>
      </c>
      <c r="W2" s="987" t="s">
        <v>971</v>
      </c>
      <c r="X2" s="987" t="s">
        <v>1931</v>
      </c>
      <c r="Y2" s="987"/>
      <c r="Z2" s="987" t="s">
        <v>869</v>
      </c>
      <c r="AA2" s="996" t="s">
        <v>918</v>
      </c>
      <c r="AB2" s="987" t="s">
        <v>958</v>
      </c>
      <c r="AC2" s="987" t="s">
        <v>971</v>
      </c>
      <c r="AD2" s="987" t="s">
        <v>1931</v>
      </c>
    </row>
    <row customHeight="1" ht="162">
      <c r="A3" s="991" t="s">
        <v>27</v>
      </c>
      <c r="B3" s="991"/>
      <c r="C3" s="2755" t="s">
        <v>2303</v>
      </c>
      <c r="D3" s="2756"/>
      <c r="E3" s="2756"/>
      <c r="F3" s="2757"/>
      <c r="G3" s="989"/>
      <c r="H3" s="989"/>
      <c r="I3" s="989"/>
      <c r="J3" s="989"/>
      <c r="K3" s="989"/>
      <c r="L3" s="989"/>
      <c r="M3" s="989"/>
      <c r="N3" s="99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989"/>
      <c r="P3" s="989"/>
      <c r="Q3" s="989"/>
      <c r="R3" s="989"/>
      <c r="S3" s="989"/>
      <c r="T3" s="989"/>
      <c r="U3" s="989"/>
      <c r="V3" s="989"/>
      <c r="W3" s="989"/>
      <c r="X3" s="989"/>
      <c r="Y3" s="1146"/>
      <c r="Z3" s="992" t="s">
        <v>2304</v>
      </c>
      <c r="AA3" s="989" t="s">
        <v>2305</v>
      </c>
      <c r="AB3" s="992" t="s">
        <v>2306</v>
      </c>
      <c r="AC3" s="992" t="s">
        <v>2307</v>
      </c>
      <c r="AD3" s="992"/>
      <c r="AG3" s="992"/>
      <c r="AH3" s="992"/>
    </row>
    <row customHeight="1" ht="9">
      <c r="A4" s="991"/>
      <c r="B4" s="991"/>
      <c r="C4" s="989"/>
      <c r="D4" s="989"/>
      <c r="E4" s="989"/>
      <c r="F4" s="989"/>
      <c r="G4" s="989"/>
      <c r="H4" s="989"/>
      <c r="I4" s="989"/>
      <c r="J4" s="989"/>
      <c r="K4" s="989"/>
      <c r="L4" s="989"/>
      <c r="M4" s="989"/>
      <c r="N4" s="989"/>
      <c r="O4" s="989"/>
      <c r="P4" s="989"/>
      <c r="Q4" s="989"/>
      <c r="R4" s="989"/>
      <c r="S4" s="989"/>
      <c r="T4" s="989"/>
      <c r="U4" s="989"/>
      <c r="V4" s="989"/>
      <c r="W4" s="989"/>
      <c r="X4" s="989"/>
      <c r="Y4" s="1146"/>
      <c r="Z4" s="992"/>
      <c r="AA4" s="995"/>
      <c r="AB4" s="992"/>
      <c r="AC4" s="992"/>
      <c r="AD4" s="992"/>
    </row>
    <row customHeight="1" ht="9">
      <c r="A5" s="991"/>
      <c r="B5" s="991"/>
      <c r="C5" s="989"/>
      <c r="D5" s="989"/>
      <c r="E5" s="989"/>
      <c r="F5" s="989"/>
      <c r="G5" s="989"/>
      <c r="H5" s="989"/>
      <c r="I5" s="989"/>
      <c r="J5" s="989"/>
      <c r="K5" s="989"/>
      <c r="L5" s="989"/>
      <c r="M5" s="989"/>
      <c r="N5" s="989"/>
      <c r="O5" s="989"/>
      <c r="P5" s="989"/>
      <c r="Q5" s="989"/>
      <c r="R5" s="989"/>
      <c r="S5" s="989"/>
      <c r="T5" s="989"/>
      <c r="U5" s="989"/>
      <c r="V5" s="989"/>
      <c r="W5" s="989"/>
      <c r="X5" s="989"/>
      <c r="Y5" s="1146"/>
      <c r="Z5" s="992"/>
      <c r="AA5" s="995"/>
      <c r="AB5" s="992"/>
      <c r="AC5" s="992"/>
      <c r="AD5" s="992"/>
    </row>
    <row customHeight="1" ht="9">
      <c r="A6" s="991"/>
      <c r="B6" s="991"/>
      <c r="C6" s="989"/>
      <c r="D6" s="989"/>
      <c r="E6" s="989"/>
      <c r="F6" s="989"/>
      <c r="G6" s="989"/>
      <c r="H6" s="989"/>
      <c r="I6" s="989"/>
      <c r="J6" s="989"/>
      <c r="K6" s="989"/>
      <c r="L6" s="989"/>
      <c r="M6" s="989"/>
      <c r="N6" s="989"/>
      <c r="O6" s="989"/>
      <c r="P6" s="989"/>
      <c r="Q6" s="989"/>
      <c r="R6" s="989"/>
      <c r="S6" s="989"/>
      <c r="T6" s="989"/>
      <c r="U6" s="989"/>
      <c r="V6" s="989"/>
      <c r="W6" s="989"/>
      <c r="X6" s="989"/>
      <c r="Y6" s="1146"/>
      <c r="Z6" s="992"/>
      <c r="AA6" s="995"/>
      <c r="AB6" s="992"/>
      <c r="AC6" s="992"/>
      <c r="AD6" s="992"/>
    </row>
    <row customHeight="1" ht="9">
      <c r="A7" s="991"/>
      <c r="B7" s="991"/>
      <c r="C7" s="989"/>
      <c r="D7" s="989"/>
      <c r="E7" s="989"/>
      <c r="F7" s="989"/>
      <c r="G7" s="989"/>
      <c r="H7" s="989"/>
      <c r="I7" s="989"/>
      <c r="J7" s="989"/>
      <c r="K7" s="989"/>
      <c r="L7" s="989"/>
      <c r="M7" s="989"/>
      <c r="N7" s="989"/>
      <c r="O7" s="989"/>
      <c r="P7" s="989"/>
      <c r="Q7" s="989"/>
      <c r="R7" s="989"/>
      <c r="S7" s="989"/>
      <c r="T7" s="989"/>
      <c r="U7" s="989"/>
      <c r="V7" s="989"/>
      <c r="W7" s="989"/>
      <c r="X7" s="989"/>
      <c r="Y7" s="1146"/>
      <c r="Z7" s="992"/>
      <c r="AA7" s="995"/>
      <c r="AB7" s="992"/>
      <c r="AC7" s="992"/>
      <c r="AD7" s="992"/>
    </row>
    <row customHeight="1" ht="9">
      <c r="A8" s="991"/>
      <c r="B8" s="991"/>
      <c r="C8" s="989"/>
      <c r="D8" s="989"/>
      <c r="E8" s="989"/>
      <c r="F8" s="989"/>
      <c r="G8" s="989"/>
      <c r="H8" s="989"/>
      <c r="I8" s="989"/>
      <c r="J8" s="989"/>
      <c r="K8" s="989"/>
      <c r="L8" s="989"/>
      <c r="M8" s="989"/>
      <c r="N8" s="989"/>
      <c r="O8" s="989"/>
      <c r="P8" s="989"/>
      <c r="Q8" s="989"/>
      <c r="R8" s="989"/>
      <c r="S8" s="989"/>
      <c r="T8" s="989"/>
      <c r="U8" s="989"/>
      <c r="V8" s="989"/>
      <c r="W8" s="989"/>
      <c r="X8" s="989"/>
      <c r="Y8" s="1146"/>
      <c r="Z8" s="992"/>
      <c r="AA8" s="995"/>
      <c r="AB8" s="992"/>
      <c r="AC8" s="992"/>
      <c r="AD8" s="992"/>
    </row>
    <row customHeight="1" ht="9">
      <c r="A9" s="991"/>
      <c r="B9" s="991"/>
      <c r="C9" s="989"/>
      <c r="D9" s="989"/>
      <c r="E9" s="989"/>
      <c r="F9" s="989"/>
      <c r="G9" s="989"/>
      <c r="H9" s="989"/>
      <c r="I9" s="989"/>
      <c r="J9" s="989"/>
      <c r="K9" s="989"/>
      <c r="L9" s="989"/>
      <c r="M9" s="989"/>
      <c r="N9" s="989"/>
      <c r="O9" s="989"/>
      <c r="P9" s="989"/>
      <c r="Q9" s="989"/>
      <c r="R9" s="989"/>
      <c r="S9" s="989"/>
      <c r="T9" s="989"/>
      <c r="U9" s="989"/>
      <c r="V9" s="989"/>
      <c r="W9" s="989"/>
      <c r="X9" s="989"/>
      <c r="Y9" s="1146"/>
      <c r="Z9" s="992"/>
      <c r="AA9" s="995"/>
      <c r="AB9" s="992"/>
      <c r="AC9" s="992"/>
      <c r="AD9" s="992"/>
    </row>
    <row customHeight="1" ht="9">
      <c r="A10" s="1045"/>
      <c r="B10" s="1045"/>
      <c r="C10" s="1045"/>
      <c r="D10" s="1045"/>
      <c r="E10" s="1045"/>
      <c r="F10" s="1045"/>
      <c r="G10" s="1045"/>
      <c r="H10" s="1045"/>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5"/>
    </row>
    <row customHeight="1" ht="45">
      <c r="A11" s="2752" t="s">
        <v>33</v>
      </c>
      <c r="B11" s="1045">
        <v>1</v>
      </c>
      <c r="C11" s="2758" t="s">
        <v>1167</v>
      </c>
      <c r="D11" s="2758" t="s">
        <v>1217</v>
      </c>
      <c r="E11" s="2758" t="s">
        <v>1261</v>
      </c>
      <c r="F11" s="2758" t="s">
        <v>2308</v>
      </c>
      <c r="G11" s="2758"/>
      <c r="H11" s="1044" t="s">
        <v>2309</v>
      </c>
      <c r="I11" s="1044"/>
      <c r="J11" s="1044"/>
      <c r="K11" s="1044"/>
      <c r="L11" s="1044"/>
      <c r="M11" s="990" t="str">
        <f>IF(TEMPLATE_SPHERE="HEAT",T11,U11)</f>
        <v>Количество поданных заявок</v>
      </c>
      <c r="N11" s="990"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989"/>
      <c r="P11" s="989"/>
      <c r="Q11" s="989"/>
      <c r="R11" s="989"/>
      <c r="S11" s="989"/>
      <c r="T11" s="989" t="s">
        <v>2310</v>
      </c>
      <c r="U11" s="989" t="s">
        <v>2311</v>
      </c>
      <c r="V11" s="989"/>
      <c r="W11" s="989"/>
      <c r="X11" s="989"/>
      <c r="Y11" s="1146"/>
      <c r="Z11" s="992" t="s">
        <v>2312</v>
      </c>
      <c r="AA11" s="99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992"/>
      <c r="AC11" s="992"/>
      <c r="AD11" s="992"/>
    </row>
    <row customHeight="1" ht="45">
      <c r="A12" s="2752"/>
      <c r="B12" s="1045">
        <v>2</v>
      </c>
      <c r="C12" s="2759"/>
      <c r="D12" s="2759"/>
      <c r="E12" s="2759"/>
      <c r="F12" s="2759"/>
      <c r="G12" s="2759"/>
      <c r="H12" s="1044" t="s">
        <v>2313</v>
      </c>
      <c r="I12" s="1044"/>
      <c r="J12" s="1044"/>
      <c r="K12" s="1044"/>
      <c r="L12" s="1044"/>
      <c r="M12" s="990" t="str">
        <f>IF(TEMPLATE_SPHERE="HEAT",T12,U12)</f>
        <v>Количество рассмотренных заявок</v>
      </c>
      <c r="N12" s="990"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989"/>
      <c r="P12" s="989"/>
      <c r="Q12" s="989"/>
      <c r="R12" s="989"/>
      <c r="S12" s="989"/>
      <c r="T12" s="989" t="s">
        <v>2314</v>
      </c>
      <c r="U12" s="989" t="s">
        <v>2315</v>
      </c>
      <c r="V12" s="989"/>
      <c r="W12" s="989"/>
      <c r="X12" s="989"/>
      <c r="Y12" s="1146"/>
      <c r="Z12" s="992" t="s">
        <v>2316</v>
      </c>
      <c r="AA12" s="99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992"/>
      <c r="AC12" s="992"/>
      <c r="AD12" s="992"/>
    </row>
    <row customHeight="1" ht="72">
      <c r="A13" s="2752"/>
      <c r="B13" s="1045">
        <v>3</v>
      </c>
      <c r="C13" s="2759"/>
      <c r="D13" s="2759"/>
      <c r="E13" s="2759"/>
      <c r="F13" s="2759"/>
      <c r="G13" s="2759"/>
      <c r="H13" s="2751" t="s">
        <v>2317</v>
      </c>
      <c r="I13" s="1044"/>
      <c r="J13" s="1044"/>
      <c r="K13" s="1044"/>
      <c r="L13" s="1044"/>
      <c r="M13" s="99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990" t="str">
        <f>IF(TEMPLATE_SPHERE="HEAT",Z13,AA13)</f>
        <v>Указывается количество заявок с решением об отказе в течение отчетного квартала.</v>
      </c>
      <c r="O13" s="989"/>
      <c r="P13" s="990"/>
      <c r="Q13" s="990"/>
      <c r="R13" s="990"/>
      <c r="S13" s="989"/>
      <c r="T13" s="989" t="s">
        <v>2318</v>
      </c>
      <c r="U13" s="990" t="s">
        <v>2319</v>
      </c>
      <c r="V13" s="990"/>
      <c r="W13" s="990"/>
      <c r="X13" s="989"/>
      <c r="Y13" s="1146"/>
      <c r="Z13" s="992" t="s">
        <v>2320</v>
      </c>
      <c r="AA13" s="99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992"/>
      <c r="AC13" s="992"/>
      <c r="AD13" s="992"/>
    </row>
    <row customHeight="1" ht="45">
      <c r="A14" s="2752"/>
      <c r="B14" s="1045">
        <v>4</v>
      </c>
      <c r="C14" s="2759"/>
      <c r="D14" s="2759"/>
      <c r="E14" s="2759"/>
      <c r="F14" s="2759"/>
      <c r="G14" s="2759"/>
      <c r="H14" s="2751"/>
      <c r="I14" s="1047"/>
      <c r="J14" s="1047"/>
      <c r="K14" s="1047"/>
      <c r="L14" s="1047"/>
      <c r="M14" s="993" t="str">
        <f>IF(TEMPLATE_SPHERE="HEAT",T14,U14)</f>
        <v>Причины отказа в заключении договора о подключении (технологическом присоединении) к системе теплоснабжения</v>
      </c>
      <c r="N14" s="99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989"/>
      <c r="P14" s="990"/>
      <c r="Q14" s="990"/>
      <c r="R14" s="990"/>
      <c r="S14" s="989"/>
      <c r="T14" s="989" t="s">
        <v>2321</v>
      </c>
      <c r="U14" s="99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990"/>
      <c r="W14" s="990"/>
      <c r="X14" s="989"/>
      <c r="Y14" s="1146"/>
      <c r="Z14" s="992" t="s">
        <v>2322</v>
      </c>
      <c r="AA14" s="995" t="s">
        <v>2322</v>
      </c>
      <c r="AB14" s="992"/>
      <c r="AC14" s="992"/>
      <c r="AD14" s="992"/>
    </row>
    <row customHeight="1" ht="108">
      <c r="A15" s="2752"/>
      <c r="B15" s="1045">
        <v>5</v>
      </c>
      <c r="C15" s="2759"/>
      <c r="D15" s="2759"/>
      <c r="E15" s="2759"/>
      <c r="F15" s="2759"/>
      <c r="G15" s="2759"/>
      <c r="H15" s="2753" t="s">
        <v>2323</v>
      </c>
      <c r="I15" s="1046"/>
      <c r="J15" s="1046"/>
      <c r="K15" s="1046"/>
      <c r="L15" s="1046"/>
      <c r="M15" s="995" t="str">
        <f>IF(TEMPLATE_SPHERE="HEAT",T15,U15)</f>
        <v>Резерв мощности источников тепловой энергии, входящих в систему теплоснабжения, в течение одного квартала, в том числе:</v>
      </c>
      <c r="N15" s="994"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989"/>
      <c r="P15" s="990"/>
      <c r="Q15" s="990"/>
      <c r="R15" s="990"/>
      <c r="S15" s="989"/>
      <c r="T15" s="989" t="s">
        <v>2324</v>
      </c>
      <c r="U15" s="99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990"/>
      <c r="W15" s="990"/>
      <c r="X15" s="989"/>
      <c r="Y15" s="1146"/>
      <c r="Z15" s="992" t="s">
        <v>2325</v>
      </c>
      <c r="AA15" s="99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992"/>
      <c r="AC15" s="992"/>
      <c r="AD15" s="992"/>
    </row>
    <row customHeight="1" ht="108">
      <c r="A16" s="1045"/>
      <c r="B16" s="1045">
        <v>6</v>
      </c>
      <c r="C16" s="2760"/>
      <c r="D16" s="2760"/>
      <c r="E16" s="2760"/>
      <c r="F16" s="2760"/>
      <c r="G16" s="2760"/>
      <c r="H16" s="2754"/>
      <c r="I16" s="1108"/>
      <c r="J16" s="1108"/>
      <c r="K16" s="1108"/>
      <c r="L16" s="1108"/>
      <c r="M16" s="1038"/>
      <c r="N16" s="994"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989"/>
      <c r="P16" s="990"/>
      <c r="Q16" s="990"/>
      <c r="R16" s="990"/>
      <c r="S16" s="989"/>
      <c r="T16" s="989"/>
      <c r="U16" s="990"/>
      <c r="V16" s="990"/>
      <c r="W16" s="990"/>
      <c r="X16" s="989"/>
      <c r="Y16" s="1146"/>
      <c r="Z16" s="992" t="s">
        <v>2325</v>
      </c>
      <c r="AA16" s="99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992"/>
      <c r="AC16" s="992"/>
      <c r="AD16" s="992"/>
    </row>
    <row customHeight="1" ht="9">
      <c r="A17" s="1045"/>
      <c r="B17" s="1045"/>
      <c r="C17" s="1045">
        <v>22</v>
      </c>
      <c r="D17" s="1045">
        <v>21</v>
      </c>
      <c r="E17" s="1045">
        <v>42</v>
      </c>
      <c r="F17" s="1045">
        <v>63</v>
      </c>
      <c r="G17" s="1045"/>
      <c r="H17" s="1045"/>
      <c r="I17" s="1045"/>
      <c r="J17" s="1045"/>
      <c r="K17" s="1045"/>
      <c r="L17" s="1045"/>
      <c r="M17" s="1045"/>
      <c r="N17" s="1045"/>
      <c r="O17" s="1045"/>
      <c r="P17" s="1045"/>
      <c r="Q17" s="1045"/>
      <c r="R17" s="1045"/>
      <c r="S17" s="1045"/>
      <c r="T17" s="1045"/>
      <c r="U17" s="1045"/>
      <c r="V17" s="1045"/>
      <c r="W17" s="1045"/>
      <c r="X17" s="1045"/>
      <c r="Y17" s="1045"/>
      <c r="Z17" s="1045"/>
      <c r="AA17" s="1045"/>
      <c r="AB17" s="1045"/>
      <c r="AC17" s="1045"/>
      <c r="AD17" s="1045"/>
    </row>
    <row customHeight="1" ht="27">
      <c r="A18" s="991" t="s">
        <v>1960</v>
      </c>
      <c r="B18" s="1045">
        <v>1</v>
      </c>
      <c r="C18" s="989" t="s">
        <v>2309</v>
      </c>
      <c r="D18" s="1113" t="s">
        <v>2309</v>
      </c>
      <c r="E18" s="989" t="s">
        <v>2309</v>
      </c>
      <c r="F18" s="989" t="s">
        <v>2309</v>
      </c>
      <c r="G18" s="989"/>
      <c r="H18" s="1148"/>
      <c r="I18" s="1151">
        <f>INDEX(TEMPLATE_NUMBER_POINT_FHD,B18,MATCH(TEMPLATE_SPHERE,TEMPLATE_SPHERE_LIST_FOR_NOTE,0))</f>
        <v>1</v>
      </c>
      <c r="J18" s="1151" t="str">
        <f>INDEX(TEMPLATE_DATA_POINT_FHD,B18,MATCH(TEMPLATE_SPHERE,TEMPLATE_SPHERE_LIST_FOR_NOTE,0))</f>
        <v>Выручка от регулируемого вида деятельности с распределением по видам деятельности</v>
      </c>
      <c r="K18" s="1151" t="str">
        <f>INDEX(TEMPLATE_NOTE_POINT_FHD,B18,MATCH(TEMPLATE_SPHERE,TEMPLATE_SPHERE_LIST_FOR_NOTE,0))</f>
        <v>Указывается выручка от регулируемого вида деятельности с распределением по видам деятельности.</v>
      </c>
      <c r="L18" s="990">
        <f>IF(I18=0,"",I18)</f>
        <v>1</v>
      </c>
      <c r="M18" s="990" t="str">
        <f>IF(J18=0,"",J18)</f>
        <v>Выручка от регулируемого вида деятельности с распределением по видам деятельности</v>
      </c>
      <c r="N18" s="990" t="str">
        <f>IF(K18=0,"",K18)</f>
        <v>Указывается выручка от регулируемого вида деятельности с распределением по видам деятельности.</v>
      </c>
      <c r="O18" s="1103">
        <v>1</v>
      </c>
      <c r="P18" s="1103">
        <v>1</v>
      </c>
      <c r="Q18" s="1103">
        <v>1</v>
      </c>
      <c r="R18" s="1103">
        <v>1</v>
      </c>
      <c r="S18" s="1103"/>
      <c r="T18" s="1110" t="s">
        <v>2326</v>
      </c>
      <c r="U18" s="992" t="s">
        <v>2327</v>
      </c>
      <c r="V18" s="992" t="s">
        <v>2328</v>
      </c>
      <c r="W18" s="992" t="s">
        <v>2329</v>
      </c>
      <c r="X18" s="989"/>
      <c r="Y18" s="1146"/>
      <c r="Z18" s="992" t="s">
        <v>2330</v>
      </c>
      <c r="AA18" s="995" t="s">
        <v>2331</v>
      </c>
      <c r="AB18" s="995" t="s">
        <v>2331</v>
      </c>
      <c r="AC18" s="995" t="s">
        <v>2331</v>
      </c>
      <c r="AD18" s="992"/>
    </row>
    <row customHeight="1" ht="36">
      <c r="A19" s="991"/>
      <c r="B19" s="1045">
        <v>2</v>
      </c>
      <c r="C19" s="989" t="s">
        <v>2313</v>
      </c>
      <c r="D19" s="1113" t="s">
        <v>2313</v>
      </c>
      <c r="E19" s="989" t="s">
        <v>2313</v>
      </c>
      <c r="F19" s="989" t="s">
        <v>2313</v>
      </c>
      <c r="G19" s="989"/>
      <c r="H19" s="1148"/>
      <c r="I19" s="1151">
        <f>INDEX(TEMPLATE_NUMBER_POINT_FHD,B19,MATCH(TEMPLATE_SPHERE,TEMPLATE_SPHERE_LIST_FOR_NOTE,0))</f>
        <v>2</v>
      </c>
      <c r="J19" s="1151"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151" t="str">
        <f>INDEX(TEMPLATE_NOTE_POINT_FHD,B19,MATCH(TEMPLATE_SPHERE,TEMPLATE_SPHERE_LIST_FOR_NOTE,0))</f>
        <v>Указывается суммарная себестоимость производимых товаров.</v>
      </c>
      <c r="L19" s="990">
        <f>IF(I19=0,"",I19)</f>
        <v>2</v>
      </c>
      <c r="M19" s="990" t="str">
        <f>IF(J19=0,"",J19)</f>
        <v>Себестоимость производимых товаров (оказываемых услуг) по регулируемому виду деятельности, включая:</v>
      </c>
      <c r="N19" s="990" t="str">
        <f>IF(K19=0,"",K19)</f>
        <v>Указывается суммарная себестоимость производимых товаров.</v>
      </c>
      <c r="O19" s="1103">
        <v>2</v>
      </c>
      <c r="P19" s="1103">
        <v>2</v>
      </c>
      <c r="Q19" s="1103">
        <v>2</v>
      </c>
      <c r="R19" s="1103">
        <v>2</v>
      </c>
      <c r="S19" s="1103"/>
      <c r="T19" s="1110" t="s">
        <v>2332</v>
      </c>
      <c r="U19" s="992" t="s">
        <v>2333</v>
      </c>
      <c r="V19" s="992" t="s">
        <v>2334</v>
      </c>
      <c r="W19" s="992" t="s">
        <v>2335</v>
      </c>
      <c r="X19" s="989"/>
      <c r="Y19" s="1146"/>
      <c r="Z19" s="992" t="s">
        <v>2336</v>
      </c>
      <c r="AA19" s="995" t="s">
        <v>2336</v>
      </c>
      <c r="AB19" s="995" t="s">
        <v>2336</v>
      </c>
      <c r="AC19" s="995" t="s">
        <v>2336</v>
      </c>
      <c r="AD19" s="992"/>
    </row>
    <row customHeight="1" ht="27">
      <c r="A20" s="991"/>
      <c r="B20" s="1045">
        <v>3</v>
      </c>
      <c r="C20" s="989">
        <v>1</v>
      </c>
      <c r="D20" s="1113"/>
      <c r="E20" s="989"/>
      <c r="F20" s="989"/>
      <c r="G20" s="989"/>
      <c r="H20" s="1148"/>
      <c r="I20" s="1151" t="str">
        <f>INDEX(TEMPLATE_NUMBER_POINT_FHD,B20,MATCH(TEMPLATE_SPHERE,TEMPLATE_SPHERE_LIST_FOR_NOTE,0))</f>
        <v>2.1</v>
      </c>
      <c r="J20" s="1151" t="str">
        <f>INDEX(TEMPLATE_DATA_POINT_FHD,B20,MATCH(TEMPLATE_SPHERE,TEMPLATE_SPHERE_LIST_FOR_NOTE,0))</f>
        <v>Расходы на приобретаемую тепловую энергию (мощность), теплоноситель</v>
      </c>
      <c r="K20" s="1151">
        <f>INDEX(TEMPLATE_NOTE_POINT_FHD,B20,MATCH(TEMPLATE_SPHERE,TEMPLATE_SPHERE_LIST_FOR_NOTE,0))</f>
        <v>0</v>
      </c>
      <c r="L20" s="990" t="str">
        <f>IF(I20=0,"",I20)</f>
        <v>2.1</v>
      </c>
      <c r="M20" s="990" t="str">
        <f>IF(J20=0,"",J20)</f>
        <v>Расходы на приобретаемую тепловую энергию (мощность), теплоноситель</v>
      </c>
      <c r="N20" s="990" t="str">
        <f>IF(K20=0,"",K20)</f>
        <v/>
      </c>
      <c r="O20" s="1103" t="s">
        <v>752</v>
      </c>
      <c r="P20" s="1103" t="s">
        <v>752</v>
      </c>
      <c r="Q20" s="1103" t="s">
        <v>752</v>
      </c>
      <c r="R20" s="1103" t="s">
        <v>752</v>
      </c>
      <c r="S20" s="1103"/>
      <c r="T20" s="1110" t="s">
        <v>2337</v>
      </c>
      <c r="U20" s="992" t="s">
        <v>2338</v>
      </c>
      <c r="V20" s="992" t="s">
        <v>2339</v>
      </c>
      <c r="W20" s="992" t="s">
        <v>2340</v>
      </c>
      <c r="X20" s="989"/>
      <c r="Y20" s="1146"/>
      <c r="Z20" s="992"/>
      <c r="AA20" s="995"/>
      <c r="AB20" s="992"/>
      <c r="AC20" s="992"/>
      <c r="AD20" s="992"/>
    </row>
    <row customHeight="1" ht="36">
      <c r="A21" s="991"/>
      <c r="B21" s="1045">
        <v>4</v>
      </c>
      <c r="C21" s="989">
        <v>2</v>
      </c>
      <c r="D21" s="1113"/>
      <c r="E21" s="989"/>
      <c r="F21" s="989"/>
      <c r="G21" s="989"/>
      <c r="H21" s="1148"/>
      <c r="I21" s="1151" t="str">
        <f>INDEX(TEMPLATE_NUMBER_POINT_FHD,B21,MATCH(TEMPLATE_SPHERE,TEMPLATE_SPHERE_LIST_FOR_NOTE,0))</f>
        <v>2.2</v>
      </c>
      <c r="J21" s="1151"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151" t="str">
        <f>INDEX(TEMPLATE_NOTE_POINT_FHD,B21,MATCH(TEMPLATE_SPHERE,TEMPLATE_SPHERE_LIST_FOR_NOTE,0))</f>
        <v>Указываются суммарные расходы на приобретение топлива всех видов.</v>
      </c>
      <c r="L21" s="990" t="str">
        <f>IF(I21=0,"",I21)</f>
        <v>2.2</v>
      </c>
      <c r="M21" s="990"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990" t="str">
        <f>IF(K21=0,"",K21)</f>
        <v>Указываются суммарные расходы на приобретение топлива всех видов.</v>
      </c>
      <c r="O21" s="1103" t="s">
        <v>329</v>
      </c>
      <c r="P21" s="1103"/>
      <c r="Q21" s="1103"/>
      <c r="R21" s="1103"/>
      <c r="S21" s="1103"/>
      <c r="T21" s="1110" t="s">
        <v>2341</v>
      </c>
      <c r="U21" s="992"/>
      <c r="V21" s="992"/>
      <c r="W21" s="992"/>
      <c r="X21" s="989"/>
      <c r="Y21" s="1146"/>
      <c r="Z21" s="992" t="s">
        <v>2342</v>
      </c>
      <c r="AA21" s="995"/>
      <c r="AB21" s="992"/>
      <c r="AC21" s="992"/>
      <c r="AD21" s="992"/>
    </row>
    <row customHeight="1" ht="36">
      <c r="A22" s="991"/>
      <c r="B22" s="1045">
        <v>5</v>
      </c>
      <c r="C22" s="989">
        <v>3</v>
      </c>
      <c r="D22" s="1113"/>
      <c r="E22" s="989"/>
      <c r="F22" s="989"/>
      <c r="G22" s="1037"/>
      <c r="H22" s="1104"/>
      <c r="I22" s="1151">
        <f>INDEX(TEMPLATE_NUMBER_POINT_FHD,B22,MATCH(TEMPLATE_SPHERE,TEMPLATE_SPHERE_LIST_FOR_NOTE,0))</f>
        <v>0</v>
      </c>
      <c r="J22" s="1151">
        <f>INDEX(TEMPLATE_DATA_POINT_FHD,B22,MATCH(TEMPLATE_SPHERE,TEMPLATE_SPHERE_LIST_FOR_NOTE,0))</f>
        <v>0</v>
      </c>
      <c r="K22" s="1151">
        <f>INDEX(TEMPLATE_NOTE_POINT_FHD,B22,MATCH(TEMPLATE_SPHERE,TEMPLATE_SPHERE_LIST_FOR_NOTE,0))</f>
        <v>0</v>
      </c>
      <c r="L22" s="990" t="str">
        <f>IF(I22=0,"",I22)</f>
        <v/>
      </c>
      <c r="M22" s="990" t="str">
        <f>IF(J22=0,"",J22)</f>
        <v/>
      </c>
      <c r="N22" s="990" t="str">
        <f>IF(K22=0,"",K22)</f>
        <v/>
      </c>
      <c r="O22" s="1103"/>
      <c r="P22" s="1103"/>
      <c r="Q22" s="1103" t="s">
        <v>329</v>
      </c>
      <c r="R22" s="1103"/>
      <c r="S22" s="1103"/>
      <c r="T22" s="1110"/>
      <c r="U22" s="992"/>
      <c r="V22" s="992" t="s">
        <v>2343</v>
      </c>
      <c r="W22" s="992"/>
      <c r="X22" s="989"/>
      <c r="Y22" s="1146"/>
      <c r="Z22" s="992"/>
      <c r="AA22" s="995"/>
      <c r="AB22" s="992"/>
      <c r="AC22" s="992"/>
      <c r="AD22" s="992"/>
    </row>
    <row customHeight="1" ht="27">
      <c r="A23" s="991"/>
      <c r="B23" s="1045">
        <v>6</v>
      </c>
      <c r="C23" s="989">
        <v>4</v>
      </c>
      <c r="D23" s="1113"/>
      <c r="E23" s="989"/>
      <c r="F23" s="989"/>
      <c r="G23" s="1037"/>
      <c r="H23" s="1104"/>
      <c r="I23" s="1151">
        <f>INDEX(TEMPLATE_NUMBER_POINT_FHD,B23,MATCH(TEMPLATE_SPHERE,TEMPLATE_SPHERE_LIST_FOR_NOTE,0))</f>
        <v>0</v>
      </c>
      <c r="J23" s="1151">
        <f>INDEX(TEMPLATE_DATA_POINT_FHD,B23,MATCH(TEMPLATE_SPHERE,TEMPLATE_SPHERE_LIST_FOR_NOTE,0))</f>
        <v>0</v>
      </c>
      <c r="K23" s="1151">
        <f>INDEX(TEMPLATE_NOTE_POINT_FHD,B23,MATCH(TEMPLATE_SPHERE,TEMPLATE_SPHERE_LIST_FOR_NOTE,0))</f>
        <v>0</v>
      </c>
      <c r="L23" s="990" t="str">
        <f>IF(I23=0,"",I23)</f>
        <v/>
      </c>
      <c r="M23" s="990" t="str">
        <f>IF(J23=0,"",J23)</f>
        <v/>
      </c>
      <c r="N23" s="990" t="str">
        <f>IF(K23=0,"",K23)</f>
        <v/>
      </c>
      <c r="O23" s="1103"/>
      <c r="P23" s="1103"/>
      <c r="Q23" s="1103" t="s">
        <v>332</v>
      </c>
      <c r="R23" s="1103"/>
      <c r="S23" s="1103"/>
      <c r="T23" s="1110"/>
      <c r="U23" s="992"/>
      <c r="V23" s="992" t="s">
        <v>2344</v>
      </c>
      <c r="W23" s="992"/>
      <c r="X23" s="989"/>
      <c r="Y23" s="1146"/>
      <c r="Z23" s="992"/>
      <c r="AA23" s="995"/>
      <c r="AB23" s="992"/>
      <c r="AC23" s="992"/>
      <c r="AD23" s="992"/>
    </row>
    <row customHeight="1" ht="36">
      <c r="A24" s="991"/>
      <c r="B24" s="1045">
        <v>7</v>
      </c>
      <c r="C24" s="989">
        <v>5</v>
      </c>
      <c r="D24" s="1113"/>
      <c r="E24" s="989"/>
      <c r="F24" s="989"/>
      <c r="G24" s="1037"/>
      <c r="H24" s="1104"/>
      <c r="I24" s="1151">
        <f>INDEX(TEMPLATE_NUMBER_POINT_FHD,B24,MATCH(TEMPLATE_SPHERE,TEMPLATE_SPHERE_LIST_FOR_NOTE,0))</f>
        <v>0</v>
      </c>
      <c r="J24" s="1151">
        <f>INDEX(TEMPLATE_DATA_POINT_FHD,B24,MATCH(TEMPLATE_SPHERE,TEMPLATE_SPHERE_LIST_FOR_NOTE,0))</f>
        <v>0</v>
      </c>
      <c r="K24" s="1151">
        <f>INDEX(TEMPLATE_NOTE_POINT_FHD,B24,MATCH(TEMPLATE_SPHERE,TEMPLATE_SPHERE_LIST_FOR_NOTE,0))</f>
        <v>0</v>
      </c>
      <c r="L24" s="990" t="str">
        <f>IF(I24=0,"",I24)</f>
        <v/>
      </c>
      <c r="M24" s="990" t="str">
        <f>IF(J24=0,"",J24)</f>
        <v/>
      </c>
      <c r="N24" s="990" t="str">
        <f>IF(K24=0,"",K24)</f>
        <v/>
      </c>
      <c r="O24" s="1103"/>
      <c r="P24" s="1103"/>
      <c r="Q24" s="1103" t="s">
        <v>772</v>
      </c>
      <c r="R24" s="1103"/>
      <c r="S24" s="1103"/>
      <c r="T24" s="1110"/>
      <c r="U24" s="992"/>
      <c r="V24" s="992" t="s">
        <v>2345</v>
      </c>
      <c r="W24" s="992"/>
      <c r="X24" s="989"/>
      <c r="Y24" s="1146"/>
      <c r="Z24" s="992"/>
      <c r="AA24" s="995"/>
      <c r="AB24" s="992"/>
      <c r="AC24" s="992"/>
      <c r="AD24" s="992"/>
    </row>
    <row customHeight="1" ht="36">
      <c r="A25" s="991"/>
      <c r="B25" s="1045">
        <v>8</v>
      </c>
      <c r="C25" s="989">
        <v>6</v>
      </c>
      <c r="D25" s="1113"/>
      <c r="E25" s="989"/>
      <c r="F25" s="989"/>
      <c r="G25" s="1037"/>
      <c r="H25" s="1104"/>
      <c r="I25" s="1151" t="str">
        <f>INDEX(TEMPLATE_NUMBER_POINT_FHD,B25,MATCH(TEMPLATE_SPHERE,TEMPLATE_SPHERE_LIST_FOR_NOTE,0))</f>
        <v>2.3</v>
      </c>
      <c r="J25" s="115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151">
        <f>INDEX(TEMPLATE_NOTE_POINT_FHD,B25,MATCH(TEMPLATE_SPHERE,TEMPLATE_SPHERE_LIST_FOR_NOTE,0))</f>
        <v>0</v>
      </c>
      <c r="L25" s="990" t="str">
        <f>IF(I25=0,"",I25)</f>
        <v>2.3</v>
      </c>
      <c r="M25" s="990" t="str">
        <f>IF(J25=0,"",J25)</f>
        <v>Расходы на приобретаемую электрическую энергию (мощность), используемую в технологическом процессе</v>
      </c>
      <c r="N25" s="990" t="str">
        <f>IF(K25=0,"",K25)</f>
        <v/>
      </c>
      <c r="O25" s="1103" t="s">
        <v>332</v>
      </c>
      <c r="P25" s="1103" t="s">
        <v>329</v>
      </c>
      <c r="Q25" s="1103" t="s">
        <v>779</v>
      </c>
      <c r="R25" s="1103" t="s">
        <v>329</v>
      </c>
      <c r="S25" s="1103"/>
      <c r="T25" s="1110" t="s">
        <v>2346</v>
      </c>
      <c r="U25" s="992" t="s">
        <v>2346</v>
      </c>
      <c r="V25" s="992" t="s">
        <v>2346</v>
      </c>
      <c r="W25" s="992" t="s">
        <v>2346</v>
      </c>
      <c r="X25" s="989"/>
      <c r="Y25" s="1146"/>
      <c r="Z25" s="992"/>
      <c r="AA25" s="995"/>
      <c r="AB25" s="992"/>
      <c r="AC25" s="992"/>
      <c r="AD25" s="992"/>
    </row>
    <row customHeight="1" ht="18">
      <c r="A26" s="991"/>
      <c r="B26" s="1045">
        <v>9</v>
      </c>
      <c r="C26" s="989" t="s">
        <v>696</v>
      </c>
      <c r="D26" s="1113"/>
      <c r="E26" s="989"/>
      <c r="F26" s="989"/>
      <c r="G26" s="1037"/>
      <c r="H26" s="1104"/>
      <c r="I26" s="1151" t="str">
        <f>INDEX(TEMPLATE_NUMBER_POINT_FHD,B26,MATCH(TEMPLATE_SPHERE,TEMPLATE_SPHERE_LIST_FOR_NOTE,0))</f>
        <v>2.3.1</v>
      </c>
      <c r="J26" s="1151" t="str">
        <f>INDEX(TEMPLATE_DATA_POINT_FHD,B26,MATCH(TEMPLATE_SPHERE,TEMPLATE_SPHERE_LIST_FOR_NOTE,0))</f>
        <v>Средневзвешенная стоимость 1 кВт.ч (с учетом мощности)</v>
      </c>
      <c r="K26" s="1151">
        <f>INDEX(TEMPLATE_NOTE_POINT_FHD,B26,MATCH(TEMPLATE_SPHERE,TEMPLATE_SPHERE_LIST_FOR_NOTE,0))</f>
        <v>0</v>
      </c>
      <c r="L26" s="990" t="str">
        <f>IF(I26=0,"",I26)</f>
        <v>2.3.1</v>
      </c>
      <c r="M26" s="990" t="str">
        <f>IF(J26=0,"",J26)</f>
        <v>Средневзвешенная стоимость 1 кВт.ч (с учетом мощности)</v>
      </c>
      <c r="N26" s="990" t="str">
        <f>IF(K26=0,"",K26)</f>
        <v/>
      </c>
      <c r="O26" s="1103" t="s">
        <v>768</v>
      </c>
      <c r="P26" s="1103" t="s">
        <v>762</v>
      </c>
      <c r="Q26" s="1103" t="s">
        <v>2347</v>
      </c>
      <c r="R26" s="1103" t="s">
        <v>762</v>
      </c>
      <c r="S26" s="1103"/>
      <c r="T26" s="1110" t="str">
        <f>"Средневзвешенная стоимость 1 кВт.ч"&amp;IF(TITLE_TYPE_ORG="Регулируемая организация"," (с учетом мощности)","")</f>
        <v>Средневзвешенная стоимость 1 кВт.ч (с учетом мощности)</v>
      </c>
      <c r="U26" s="1110" t="s">
        <v>2348</v>
      </c>
      <c r="V26" s="1110" t="s">
        <v>2348</v>
      </c>
      <c r="W26" s="1110" t="s">
        <v>2348</v>
      </c>
      <c r="X26" s="989"/>
      <c r="Y26" s="1146"/>
      <c r="Z26" s="992"/>
      <c r="AA26" s="995"/>
      <c r="AB26" s="992"/>
      <c r="AC26" s="992"/>
      <c r="AD26" s="992"/>
    </row>
    <row customHeight="1" ht="18">
      <c r="A27" s="991"/>
      <c r="B27" s="1045">
        <v>10</v>
      </c>
      <c r="C27" s="989" t="s">
        <v>700</v>
      </c>
      <c r="D27" s="1113"/>
      <c r="E27" s="989"/>
      <c r="F27" s="989"/>
      <c r="G27" s="1037"/>
      <c r="H27" s="1104"/>
      <c r="I27" s="1151" t="str">
        <f>INDEX(TEMPLATE_NUMBER_POINT_FHD,B27,MATCH(TEMPLATE_SPHERE,TEMPLATE_SPHERE_LIST_FOR_NOTE,0))</f>
        <v>2.3.2</v>
      </c>
      <c r="J27" s="1151" t="str">
        <f>INDEX(TEMPLATE_DATA_POINT_FHD,B27,MATCH(TEMPLATE_SPHERE,TEMPLATE_SPHERE_LIST_FOR_NOTE,0))</f>
        <v>Объём приобретения электрической энергии</v>
      </c>
      <c r="K27" s="1151">
        <f>INDEX(TEMPLATE_NOTE_POINT_FHD,B27,MATCH(TEMPLATE_SPHERE,TEMPLATE_SPHERE_LIST_FOR_NOTE,0))</f>
        <v>0</v>
      </c>
      <c r="L27" s="990" t="str">
        <f>IF(I27=0,"",I27)</f>
        <v>2.3.2</v>
      </c>
      <c r="M27" s="990" t="str">
        <f>IF(J27=0,"",J27)</f>
        <v>Объём приобретения электрической энергии</v>
      </c>
      <c r="N27" s="990" t="str">
        <f>IF(K27=0,"",K27)</f>
        <v/>
      </c>
      <c r="O27" s="1103" t="s">
        <v>770</v>
      </c>
      <c r="P27" s="1103" t="s">
        <v>764</v>
      </c>
      <c r="Q27" s="1103" t="s">
        <v>2349</v>
      </c>
      <c r="R27" s="1103" t="s">
        <v>764</v>
      </c>
      <c r="S27" s="1103"/>
      <c r="T27" s="1110" t="s">
        <v>2350</v>
      </c>
      <c r="U27" s="1110" t="s">
        <v>2350</v>
      </c>
      <c r="V27" s="1110" t="s">
        <v>2350</v>
      </c>
      <c r="W27" s="1110" t="s">
        <v>2350</v>
      </c>
      <c r="X27" s="989"/>
      <c r="Y27" s="1146"/>
      <c r="Z27" s="992"/>
      <c r="AA27" s="995"/>
      <c r="AB27" s="992"/>
      <c r="AC27" s="992"/>
      <c r="AD27" s="992"/>
    </row>
    <row customHeight="1" ht="27">
      <c r="A28" s="991"/>
      <c r="B28" s="1045">
        <v>11</v>
      </c>
      <c r="C28" s="989">
        <v>7</v>
      </c>
      <c r="D28" s="1113"/>
      <c r="E28" s="989"/>
      <c r="F28" s="989"/>
      <c r="G28" s="1037"/>
      <c r="H28" s="1104"/>
      <c r="I28" s="1151" t="str">
        <f>INDEX(TEMPLATE_NUMBER_POINT_FHD,B28,MATCH(TEMPLATE_SPHERE,TEMPLATE_SPHERE_LIST_FOR_NOTE,0))</f>
        <v>2.4</v>
      </c>
      <c r="J28" s="1151" t="str">
        <f>INDEX(TEMPLATE_DATA_POINT_FHD,B28,MATCH(TEMPLATE_SPHERE,TEMPLATE_SPHERE_LIST_FOR_NOTE,0))</f>
        <v>Расходы на приобретение холодной воды, используемой в технологическом процессе</v>
      </c>
      <c r="K28" s="1151">
        <f>INDEX(TEMPLATE_NOTE_POINT_FHD,B28,MATCH(TEMPLATE_SPHERE,TEMPLATE_SPHERE_LIST_FOR_NOTE,0))</f>
        <v>0</v>
      </c>
      <c r="L28" s="990" t="str">
        <f>IF(I28=0,"",I28)</f>
        <v>2.4</v>
      </c>
      <c r="M28" s="990" t="str">
        <f>IF(J28=0,"",J28)</f>
        <v>Расходы на приобретение холодной воды, используемой в технологическом процессе</v>
      </c>
      <c r="N28" s="990" t="str">
        <f>IF(K28=0,"",K28)</f>
        <v/>
      </c>
      <c r="O28" s="1103" t="s">
        <v>772</v>
      </c>
      <c r="P28" s="1103"/>
      <c r="Q28" s="1103"/>
      <c r="R28" s="1103"/>
      <c r="S28" s="1103"/>
      <c r="T28" s="1110" t="s">
        <v>2351</v>
      </c>
      <c r="U28" s="992"/>
      <c r="V28" s="992"/>
      <c r="W28" s="992"/>
      <c r="X28" s="989"/>
      <c r="Y28" s="1146"/>
      <c r="Z28" s="992"/>
      <c r="AA28" s="995"/>
      <c r="AB28" s="992"/>
      <c r="AC28" s="992"/>
      <c r="AD28" s="992"/>
    </row>
    <row customHeight="1" ht="27">
      <c r="A29" s="991"/>
      <c r="B29" s="1045">
        <v>12</v>
      </c>
      <c r="C29" s="989">
        <v>8</v>
      </c>
      <c r="D29" s="1113"/>
      <c r="E29" s="989"/>
      <c r="F29" s="989"/>
      <c r="G29" s="1037"/>
      <c r="H29" s="1104"/>
      <c r="I29" s="1151" t="str">
        <f>INDEX(TEMPLATE_NUMBER_POINT_FHD,B29,MATCH(TEMPLATE_SPHERE,TEMPLATE_SPHERE_LIST_FOR_NOTE,0))</f>
        <v>2.5</v>
      </c>
      <c r="J29" s="1151" t="str">
        <f>INDEX(TEMPLATE_DATA_POINT_FHD,B29,MATCH(TEMPLATE_SPHERE,TEMPLATE_SPHERE_LIST_FOR_NOTE,0))</f>
        <v>Расходы на  химические реагенты, используемые в технологическом процессе</v>
      </c>
      <c r="K29" s="1151">
        <f>INDEX(TEMPLATE_NOTE_POINT_FHD,B29,MATCH(TEMPLATE_SPHERE,TEMPLATE_SPHERE_LIST_FOR_NOTE,0))</f>
        <v>0</v>
      </c>
      <c r="L29" s="990" t="str">
        <f>IF(I29=0,"",I29)</f>
        <v>2.5</v>
      </c>
      <c r="M29" s="990" t="str">
        <f>IF(J29=0,"",J29)</f>
        <v>Расходы на  химические реагенты, используемые в технологическом процессе</v>
      </c>
      <c r="N29" s="990" t="str">
        <f>IF(K29=0,"",K29)</f>
        <v/>
      </c>
      <c r="O29" s="1103" t="s">
        <v>779</v>
      </c>
      <c r="P29" s="1103" t="s">
        <v>332</v>
      </c>
      <c r="Q29" s="1103"/>
      <c r="R29" s="1103" t="s">
        <v>332</v>
      </c>
      <c r="S29" s="1103"/>
      <c r="T29" s="111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992" t="s">
        <v>2352</v>
      </c>
      <c r="V29" s="992"/>
      <c r="W29" s="992" t="s">
        <v>2352</v>
      </c>
      <c r="X29" s="989"/>
      <c r="Y29" s="1146"/>
      <c r="Z29" s="992"/>
      <c r="AA29" s="995"/>
      <c r="AB29" s="992"/>
      <c r="AC29" s="992"/>
      <c r="AD29" s="992"/>
    </row>
    <row customHeight="1" ht="54">
      <c r="A30" s="991"/>
      <c r="B30" s="1045">
        <v>13</v>
      </c>
      <c r="C30" s="989">
        <v>9</v>
      </c>
      <c r="D30" s="1113"/>
      <c r="E30" s="989"/>
      <c r="F30" s="989"/>
      <c r="G30" s="1037"/>
      <c r="H30" s="1104"/>
      <c r="I30" s="1151" t="str">
        <f>INDEX(TEMPLATE_NUMBER_POINT_FHD,B30,MATCH(TEMPLATE_SPHERE,TEMPLATE_SPHERE_LIST_FOR_NOTE,0))</f>
        <v>2.6</v>
      </c>
      <c r="J30" s="115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151">
        <f>INDEX(TEMPLATE_NOTE_POINT_FHD,B30,MATCH(TEMPLATE_SPHERE,TEMPLATE_SPHERE_LIST_FOR_NOTE,0))</f>
        <v>0</v>
      </c>
      <c r="L30" s="990" t="str">
        <f>IF(I30=0,"",I30)</f>
        <v>2.6</v>
      </c>
      <c r="M30" s="99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90" t="str">
        <f>IF(K30=0,"",K30)</f>
        <v/>
      </c>
      <c r="O30" s="1103" t="s">
        <v>781</v>
      </c>
      <c r="P30" s="1103" t="s">
        <v>772</v>
      </c>
      <c r="Q30" s="1103" t="s">
        <v>781</v>
      </c>
      <c r="R30" s="1103" t="s">
        <v>772</v>
      </c>
      <c r="S30" s="1103"/>
      <c r="T30" s="1110" t="s">
        <v>2353</v>
      </c>
      <c r="U30" s="992" t="s">
        <v>2353</v>
      </c>
      <c r="V30" s="992" t="s">
        <v>2353</v>
      </c>
      <c r="W30" s="992" t="s">
        <v>2353</v>
      </c>
      <c r="X30" s="989"/>
      <c r="Y30" s="1146"/>
      <c r="Z30" s="992"/>
      <c r="AA30" s="995" t="s">
        <v>2354</v>
      </c>
      <c r="AB30" s="995" t="s">
        <v>2354</v>
      </c>
      <c r="AC30" s="995" t="s">
        <v>2354</v>
      </c>
      <c r="AD30" s="992"/>
    </row>
    <row customHeight="1" ht="18">
      <c r="A31" s="991"/>
      <c r="B31" s="1045">
        <v>14</v>
      </c>
      <c r="C31" s="989" t="s">
        <v>2355</v>
      </c>
      <c r="D31" s="1113"/>
      <c r="E31" s="989"/>
      <c r="F31" s="989"/>
      <c r="G31" s="1037"/>
      <c r="H31" s="1104"/>
      <c r="I31" s="1151" t="str">
        <f>INDEX(TEMPLATE_NUMBER_POINT_FHD,B31,MATCH(TEMPLATE_SPHERE,TEMPLATE_SPHERE_LIST_FOR_NOTE,0))</f>
        <v>2.6.1</v>
      </c>
      <c r="J31" s="1151" t="str">
        <f>INDEX(TEMPLATE_DATA_POINT_FHD,B31,MATCH(TEMPLATE_SPHERE,TEMPLATE_SPHERE_LIST_FOR_NOTE,0))</f>
        <v>Расходы на оплату труда основного производственного персонала</v>
      </c>
      <c r="K31" s="1151">
        <f>INDEX(TEMPLATE_NOTE_POINT_FHD,B31,MATCH(TEMPLATE_SPHERE,TEMPLATE_SPHERE_LIST_FOR_NOTE,0))</f>
        <v>0</v>
      </c>
      <c r="L31" s="990" t="str">
        <f>IF(I31=0,"",I31)</f>
        <v>2.6.1</v>
      </c>
      <c r="M31" s="990" t="str">
        <f>IF(J31=0,"",J31)</f>
        <v>Расходы на оплату труда основного производственного персонала</v>
      </c>
      <c r="N31" s="990" t="str">
        <f>IF(K31=0,"",K31)</f>
        <v/>
      </c>
      <c r="O31" s="1103" t="s">
        <v>2356</v>
      </c>
      <c r="P31" s="1103" t="s">
        <v>775</v>
      </c>
      <c r="Q31" s="1103" t="s">
        <v>2356</v>
      </c>
      <c r="R31" s="1103" t="s">
        <v>775</v>
      </c>
      <c r="S31" s="1103"/>
      <c r="T31" s="1111" t="s">
        <v>2357</v>
      </c>
      <c r="U31" s="992" t="s">
        <v>2357</v>
      </c>
      <c r="V31" s="992" t="s">
        <v>2357</v>
      </c>
      <c r="W31" s="992" t="s">
        <v>2357</v>
      </c>
      <c r="X31" s="989"/>
      <c r="Y31" s="1146"/>
      <c r="Z31" s="992"/>
      <c r="AA31" s="995"/>
      <c r="AB31" s="995"/>
      <c r="AC31" s="995"/>
      <c r="AD31" s="992"/>
    </row>
    <row customHeight="1" ht="36">
      <c r="A32" s="991"/>
      <c r="B32" s="1045">
        <v>15</v>
      </c>
      <c r="C32" s="989" t="s">
        <v>2358</v>
      </c>
      <c r="D32" s="1113"/>
      <c r="E32" s="989"/>
      <c r="F32" s="989"/>
      <c r="G32" s="1037"/>
      <c r="H32" s="1104"/>
      <c r="I32" s="1151" t="str">
        <f>INDEX(TEMPLATE_NUMBER_POINT_FHD,B32,MATCH(TEMPLATE_SPHERE,TEMPLATE_SPHERE_LIST_FOR_NOTE,0))</f>
        <v>2.6.2</v>
      </c>
      <c r="J32" s="115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151">
        <f>INDEX(TEMPLATE_NOTE_POINT_FHD,B32,MATCH(TEMPLATE_SPHERE,TEMPLATE_SPHERE_LIST_FOR_NOTE,0))</f>
        <v>0</v>
      </c>
      <c r="L32" s="990" t="str">
        <f>IF(I32=0,"",I32)</f>
        <v>2.6.2</v>
      </c>
      <c r="M32" s="990" t="str">
        <f>IF(J32=0,"",J32)</f>
        <v>Страховые взносы на обязательное социальное страхование, выплачиваемые из фонда оплаты труда основного производственного персонала</v>
      </c>
      <c r="N32" s="990" t="str">
        <f>IF(K32=0,"",K32)</f>
        <v/>
      </c>
      <c r="O32" s="1103" t="s">
        <v>2359</v>
      </c>
      <c r="P32" s="1103" t="s">
        <v>777</v>
      </c>
      <c r="Q32" s="1103" t="s">
        <v>2359</v>
      </c>
      <c r="R32" s="1103" t="s">
        <v>777</v>
      </c>
      <c r="S32" s="1103"/>
      <c r="T32" s="111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992" t="s">
        <v>2360</v>
      </c>
      <c r="V32" s="992" t="s">
        <v>2360</v>
      </c>
      <c r="W32" s="992" t="s">
        <v>2360</v>
      </c>
      <c r="X32" s="989"/>
      <c r="Y32" s="1146"/>
      <c r="Z32" s="992"/>
      <c r="AA32" s="995"/>
      <c r="AB32" s="995"/>
      <c r="AC32" s="995"/>
      <c r="AD32" s="992"/>
    </row>
    <row customHeight="1" ht="45">
      <c r="A33" s="991"/>
      <c r="B33" s="1045">
        <v>16</v>
      </c>
      <c r="C33" s="989">
        <v>10</v>
      </c>
      <c r="D33" s="1113"/>
      <c r="E33" s="989"/>
      <c r="F33" s="989"/>
      <c r="G33" s="1037"/>
      <c r="H33" s="1104"/>
      <c r="I33" s="1151" t="str">
        <f>INDEX(TEMPLATE_NUMBER_POINT_FHD,B33,MATCH(TEMPLATE_SPHERE,TEMPLATE_SPHERE_LIST_FOR_NOTE,0))</f>
        <v>2.7</v>
      </c>
      <c r="J33" s="115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151">
        <f>INDEX(TEMPLATE_NOTE_POINT_FHD,B33,MATCH(TEMPLATE_SPHERE,TEMPLATE_SPHERE_LIST_FOR_NOTE,0))</f>
        <v>0</v>
      </c>
      <c r="L33" s="990" t="str">
        <f>IF(I33=0,"",I33)</f>
        <v>2.7</v>
      </c>
      <c r="M33" s="99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90" t="str">
        <f>IF(K33=0,"",K33)</f>
        <v/>
      </c>
      <c r="O33" s="1103" t="s">
        <v>783</v>
      </c>
      <c r="P33" s="1103" t="s">
        <v>779</v>
      </c>
      <c r="Q33" s="1103" t="s">
        <v>783</v>
      </c>
      <c r="R33" s="1103" t="s">
        <v>779</v>
      </c>
      <c r="S33" s="1103"/>
      <c r="T33" s="111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992" t="s">
        <v>2361</v>
      </c>
      <c r="V33" s="992" t="s">
        <v>2361</v>
      </c>
      <c r="W33" s="992" t="s">
        <v>2362</v>
      </c>
      <c r="X33" s="989"/>
      <c r="Y33" s="1146"/>
      <c r="Z33" s="992"/>
      <c r="AA33" s="995" t="s">
        <v>2363</v>
      </c>
      <c r="AB33" s="995" t="s">
        <v>2363</v>
      </c>
      <c r="AC33" s="995" t="s">
        <v>2363</v>
      </c>
      <c r="AD33" s="992"/>
    </row>
    <row customHeight="1" ht="27">
      <c r="A34" s="991"/>
      <c r="B34" s="1045">
        <v>17</v>
      </c>
      <c r="C34" s="989" t="s">
        <v>2364</v>
      </c>
      <c r="D34" s="1113"/>
      <c r="E34" s="989"/>
      <c r="F34" s="989"/>
      <c r="G34" s="1037"/>
      <c r="H34" s="1104"/>
      <c r="I34" s="1151" t="str">
        <f>INDEX(TEMPLATE_NUMBER_POINT_FHD,B34,MATCH(TEMPLATE_SPHERE,TEMPLATE_SPHERE_LIST_FOR_NOTE,0))</f>
        <v>2.7.1</v>
      </c>
      <c r="J34" s="1151" t="str">
        <f>INDEX(TEMPLATE_DATA_POINT_FHD,B34,MATCH(TEMPLATE_SPHERE,TEMPLATE_SPHERE_LIST_FOR_NOTE,0))</f>
        <v>Расходы на оплату труда административно-управленческого персонала</v>
      </c>
      <c r="K34" s="1151">
        <f>INDEX(TEMPLATE_NOTE_POINT_FHD,B34,MATCH(TEMPLATE_SPHERE,TEMPLATE_SPHERE_LIST_FOR_NOTE,0))</f>
        <v>0</v>
      </c>
      <c r="L34" s="990" t="str">
        <f>IF(I34=0,"",I34)</f>
        <v>2.7.1</v>
      </c>
      <c r="M34" s="990" t="str">
        <f>IF(J34=0,"",J34)</f>
        <v>Расходы на оплату труда административно-управленческого персонала</v>
      </c>
      <c r="N34" s="990" t="str">
        <f>IF(K34=0,"",K34)</f>
        <v/>
      </c>
      <c r="O34" s="1103" t="s">
        <v>2365</v>
      </c>
      <c r="P34" s="1103" t="s">
        <v>2347</v>
      </c>
      <c r="Q34" s="1103" t="s">
        <v>2365</v>
      </c>
      <c r="R34" s="1103" t="s">
        <v>2347</v>
      </c>
      <c r="S34" s="1103"/>
      <c r="T34" s="1112" t="s">
        <v>2366</v>
      </c>
      <c r="U34" s="992" t="s">
        <v>2366</v>
      </c>
      <c r="V34" s="992" t="s">
        <v>2366</v>
      </c>
      <c r="W34" s="992" t="s">
        <v>2367</v>
      </c>
      <c r="X34" s="989"/>
      <c r="Y34" s="1146"/>
      <c r="Z34" s="992"/>
      <c r="AA34" s="995"/>
      <c r="AB34" s="992"/>
      <c r="AC34" s="992"/>
      <c r="AD34" s="992"/>
    </row>
    <row customHeight="1" ht="45">
      <c r="A35" s="991"/>
      <c r="B35" s="1045">
        <v>18</v>
      </c>
      <c r="C35" s="989" t="s">
        <v>2368</v>
      </c>
      <c r="D35" s="1113"/>
      <c r="E35" s="989"/>
      <c r="F35" s="989"/>
      <c r="G35" s="1037"/>
      <c r="H35" s="1104"/>
      <c r="I35" s="1151" t="str">
        <f>INDEX(TEMPLATE_NUMBER_POINT_FHD,B35,MATCH(TEMPLATE_SPHERE,TEMPLATE_SPHERE_LIST_FOR_NOTE,0))</f>
        <v>2.7.2</v>
      </c>
      <c r="J35" s="115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151">
        <f>INDEX(TEMPLATE_NOTE_POINT_FHD,B35,MATCH(TEMPLATE_SPHERE,TEMPLATE_SPHERE_LIST_FOR_NOTE,0))</f>
        <v>0</v>
      </c>
      <c r="L35" s="990" t="str">
        <f>IF(I35=0,"",I35)</f>
        <v>2.7.2</v>
      </c>
      <c r="M35" s="99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90" t="str">
        <f>IF(K35=0,"",K35)</f>
        <v/>
      </c>
      <c r="O35" s="1103" t="s">
        <v>2369</v>
      </c>
      <c r="P35" s="1103" t="s">
        <v>2349</v>
      </c>
      <c r="Q35" s="1103" t="s">
        <v>2369</v>
      </c>
      <c r="R35" s="1103" t="s">
        <v>2349</v>
      </c>
      <c r="S35" s="1103"/>
      <c r="T35" s="111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992" t="s">
        <v>2370</v>
      </c>
      <c r="V35" s="992" t="s">
        <v>2370</v>
      </c>
      <c r="W35" s="992" t="s">
        <v>2370</v>
      </c>
      <c r="X35" s="989"/>
      <c r="Y35" s="1146"/>
      <c r="Z35" s="992"/>
      <c r="AA35" s="995"/>
      <c r="AB35" s="992"/>
      <c r="AC35" s="992"/>
      <c r="AD35" s="992"/>
    </row>
    <row customHeight="1" ht="18">
      <c r="A36" s="991"/>
      <c r="B36" s="1045">
        <v>19</v>
      </c>
      <c r="C36" s="989">
        <v>11</v>
      </c>
      <c r="D36" s="1113"/>
      <c r="E36" s="989"/>
      <c r="F36" s="989"/>
      <c r="G36" s="1037"/>
      <c r="H36" s="1104"/>
      <c r="I36" s="1151" t="str">
        <f>INDEX(TEMPLATE_NUMBER_POINT_FHD,B36,MATCH(TEMPLATE_SPHERE,TEMPLATE_SPHERE_LIST_FOR_NOTE,0))</f>
        <v>2.8</v>
      </c>
      <c r="J36" s="1151" t="str">
        <f>INDEX(TEMPLATE_DATA_POINT_FHD,B36,MATCH(TEMPLATE_SPHERE,TEMPLATE_SPHERE_LIST_FOR_NOTE,0))</f>
        <v>Расходы на амортизацию основных средств и нематериальных активов</v>
      </c>
      <c r="K36" s="1151">
        <f>INDEX(TEMPLATE_NOTE_POINT_FHD,B36,MATCH(TEMPLATE_SPHERE,TEMPLATE_SPHERE_LIST_FOR_NOTE,0))</f>
        <v>0</v>
      </c>
      <c r="L36" s="990" t="str">
        <f>IF(I36=0,"",I36)</f>
        <v>2.8</v>
      </c>
      <c r="M36" s="990" t="str">
        <f>IF(J36=0,"",J36)</f>
        <v>Расходы на амортизацию основных средств и нематериальных активов</v>
      </c>
      <c r="N36" s="990" t="str">
        <f>IF(K36=0,"",K36)</f>
        <v/>
      </c>
      <c r="O36" s="1103" t="s">
        <v>785</v>
      </c>
      <c r="P36" s="1103" t="s">
        <v>781</v>
      </c>
      <c r="Q36" s="1103" t="s">
        <v>785</v>
      </c>
      <c r="R36" s="1103" t="s">
        <v>781</v>
      </c>
      <c r="S36" s="1103"/>
      <c r="T36" s="1110" t="s">
        <v>2371</v>
      </c>
      <c r="U36" s="992" t="s">
        <v>2371</v>
      </c>
      <c r="V36" s="992" t="s">
        <v>2371</v>
      </c>
      <c r="W36" s="992" t="s">
        <v>2371</v>
      </c>
      <c r="X36" s="989"/>
      <c r="Y36" s="1146"/>
      <c r="Z36" s="992"/>
      <c r="AA36" s="995"/>
      <c r="AB36" s="992"/>
      <c r="AC36" s="992"/>
      <c r="AD36" s="992"/>
    </row>
    <row customHeight="1" ht="18">
      <c r="A37" s="991"/>
      <c r="B37" s="1045">
        <v>20</v>
      </c>
      <c r="C37" s="989" t="s">
        <v>2372</v>
      </c>
      <c r="D37" s="1113"/>
      <c r="E37" s="989"/>
      <c r="F37" s="989"/>
      <c r="G37" s="1037"/>
      <c r="H37" s="1104"/>
      <c r="I37" s="1151" t="str">
        <f>INDEX(TEMPLATE_NUMBER_POINT_FHD,B37,MATCH(TEMPLATE_SPHERE,TEMPLATE_SPHERE_LIST_FOR_NOTE,0))</f>
        <v>2.8.1</v>
      </c>
      <c r="J37" s="1151" t="str">
        <f>INDEX(TEMPLATE_DATA_POINT_FHD,B37,MATCH(TEMPLATE_SPHERE,TEMPLATE_SPHERE_LIST_FOR_NOTE,0))</f>
        <v>Расходы на амортизацию основных средств</v>
      </c>
      <c r="K37" s="1151">
        <f>INDEX(TEMPLATE_NOTE_POINT_FHD,B37,MATCH(TEMPLATE_SPHERE,TEMPLATE_SPHERE_LIST_FOR_NOTE,0))</f>
        <v>0</v>
      </c>
      <c r="L37" s="990" t="str">
        <f>IF(I37=0,"",I37)</f>
        <v>2.8.1</v>
      </c>
      <c r="M37" s="990" t="str">
        <f>IF(J37=0,"",J37)</f>
        <v>Расходы на амортизацию основных средств</v>
      </c>
      <c r="N37" s="990" t="str">
        <f>IF(K37=0,"",K37)</f>
        <v/>
      </c>
      <c r="O37" s="1103" t="s">
        <v>2373</v>
      </c>
      <c r="P37" s="1103" t="s">
        <v>2356</v>
      </c>
      <c r="Q37" s="1103" t="s">
        <v>2373</v>
      </c>
      <c r="R37" s="1103" t="s">
        <v>2356</v>
      </c>
      <c r="S37" s="1103"/>
      <c r="T37" s="1110" t="s">
        <v>2374</v>
      </c>
      <c r="U37" s="992" t="s">
        <v>2374</v>
      </c>
      <c r="V37" s="992" t="s">
        <v>2374</v>
      </c>
      <c r="W37" s="992" t="s">
        <v>2374</v>
      </c>
      <c r="X37" s="989"/>
      <c r="Y37" s="1146"/>
      <c r="Z37" s="992"/>
      <c r="AA37" s="995"/>
      <c r="AB37" s="992"/>
      <c r="AC37" s="992"/>
      <c r="AD37" s="992"/>
    </row>
    <row customHeight="1" ht="18">
      <c r="A38" s="991"/>
      <c r="B38" s="1045">
        <v>21</v>
      </c>
      <c r="C38" s="989" t="s">
        <v>2375</v>
      </c>
      <c r="D38" s="1113"/>
      <c r="E38" s="989"/>
      <c r="F38" s="989"/>
      <c r="G38" s="1037"/>
      <c r="H38" s="1104"/>
      <c r="I38" s="1151" t="str">
        <f>INDEX(TEMPLATE_NUMBER_POINT_FHD,B38,MATCH(TEMPLATE_SPHERE,TEMPLATE_SPHERE_LIST_FOR_NOTE,0))</f>
        <v>2.8.2</v>
      </c>
      <c r="J38" s="1151" t="str">
        <f>INDEX(TEMPLATE_DATA_POINT_FHD,B38,MATCH(TEMPLATE_SPHERE,TEMPLATE_SPHERE_LIST_FOR_NOTE,0))</f>
        <v>Расходы на амортизацию нематериальных активов</v>
      </c>
      <c r="K38" s="1151">
        <f>INDEX(TEMPLATE_NOTE_POINT_FHD,B38,MATCH(TEMPLATE_SPHERE,TEMPLATE_SPHERE_LIST_FOR_NOTE,0))</f>
        <v>0</v>
      </c>
      <c r="L38" s="990" t="str">
        <f>IF(I38=0,"",I38)</f>
        <v>2.8.2</v>
      </c>
      <c r="M38" s="990" t="str">
        <f>IF(J38=0,"",J38)</f>
        <v>Расходы на амортизацию нематериальных активов</v>
      </c>
      <c r="N38" s="990" t="str">
        <f>IF(K38=0,"",K38)</f>
        <v/>
      </c>
      <c r="O38" s="1103" t="s">
        <v>2376</v>
      </c>
      <c r="P38" s="1103" t="s">
        <v>2359</v>
      </c>
      <c r="Q38" s="1103" t="s">
        <v>2376</v>
      </c>
      <c r="R38" s="1103" t="s">
        <v>2359</v>
      </c>
      <c r="S38" s="1103"/>
      <c r="T38" s="1110" t="s">
        <v>2377</v>
      </c>
      <c r="U38" s="992" t="s">
        <v>2377</v>
      </c>
      <c r="V38" s="992" t="s">
        <v>2377</v>
      </c>
      <c r="W38" s="992" t="s">
        <v>2377</v>
      </c>
      <c r="X38" s="989"/>
      <c r="Y38" s="1146"/>
      <c r="Z38" s="992"/>
      <c r="AA38" s="995"/>
      <c r="AB38" s="992"/>
      <c r="AC38" s="992"/>
      <c r="AD38" s="992"/>
    </row>
    <row customHeight="1" ht="36">
      <c r="A39" s="991"/>
      <c r="B39" s="1045">
        <v>22</v>
      </c>
      <c r="C39" s="989">
        <v>12</v>
      </c>
      <c r="D39" s="1113"/>
      <c r="E39" s="989"/>
      <c r="F39" s="989"/>
      <c r="G39" s="1037"/>
      <c r="H39" s="1104"/>
      <c r="I39" s="1151" t="str">
        <f>INDEX(TEMPLATE_NUMBER_POINT_FHD,B39,MATCH(TEMPLATE_SPHERE,TEMPLATE_SPHERE_LIST_FOR_NOTE,0))</f>
        <v>2.9</v>
      </c>
      <c r="J39" s="1151" t="str">
        <f>INDEX(TEMPLATE_DATA_POINT_FHD,B39,MATCH(TEMPLATE_SPHERE,TEMPLATE_SPHERE_LIST_FOR_NOTE,0))</f>
        <v>Расходы на аренду имущества, используемого для осуществления регулируемого вида деятельности</v>
      </c>
      <c r="K39" s="1151">
        <f>INDEX(TEMPLATE_NOTE_POINT_FHD,B39,MATCH(TEMPLATE_SPHERE,TEMPLATE_SPHERE_LIST_FOR_NOTE,0))</f>
        <v>0</v>
      </c>
      <c r="L39" s="990" t="str">
        <f>IF(I39=0,"",I39)</f>
        <v>2.9</v>
      </c>
      <c r="M39" s="990" t="str">
        <f>IF(J39=0,"",J39)</f>
        <v>Расходы на аренду имущества, используемого для осуществления регулируемого вида деятельности</v>
      </c>
      <c r="N39" s="990" t="str">
        <f>IF(K39=0,"",K39)</f>
        <v/>
      </c>
      <c r="O39" s="1103" t="s">
        <v>789</v>
      </c>
      <c r="P39" s="1103" t="s">
        <v>783</v>
      </c>
      <c r="Q39" s="1103" t="s">
        <v>789</v>
      </c>
      <c r="R39" s="1103" t="s">
        <v>783</v>
      </c>
      <c r="S39" s="1103"/>
      <c r="T39" s="1110" t="s">
        <v>2378</v>
      </c>
      <c r="U39" s="992" t="s">
        <v>2379</v>
      </c>
      <c r="V39" s="992" t="s">
        <v>2380</v>
      </c>
      <c r="W39" s="992" t="s">
        <v>2381</v>
      </c>
      <c r="X39" s="989"/>
      <c r="Y39" s="1146"/>
      <c r="Z39" s="992"/>
      <c r="AA39" s="995"/>
      <c r="AB39" s="992"/>
      <c r="AC39" s="992"/>
      <c r="AD39" s="992"/>
    </row>
    <row customHeight="1" ht="18">
      <c r="A40" s="991"/>
      <c r="B40" s="1045">
        <v>23</v>
      </c>
      <c r="C40" s="989">
        <v>13</v>
      </c>
      <c r="D40" s="1113"/>
      <c r="E40" s="989"/>
      <c r="F40" s="989"/>
      <c r="G40" s="989"/>
      <c r="H40" s="1040"/>
      <c r="I40" s="1151" t="str">
        <f>INDEX(TEMPLATE_NUMBER_POINT_FHD,B40,MATCH(TEMPLATE_SPHERE,TEMPLATE_SPHERE_LIST_FOR_NOTE,0))</f>
        <v>2.10</v>
      </c>
      <c r="J40" s="1151" t="str">
        <f>INDEX(TEMPLATE_DATA_POINT_FHD,B40,MATCH(TEMPLATE_SPHERE,TEMPLATE_SPHERE_LIST_FOR_NOTE,0))</f>
        <v>Общепроизводственные расходы, в том числе:</v>
      </c>
      <c r="K40" s="1151" t="str">
        <f>INDEX(TEMPLATE_NOTE_POINT_FHD,B40,MATCH(TEMPLATE_SPHERE,TEMPLATE_SPHERE_LIST_FOR_NOTE,0))</f>
        <v>Указывается общая сумма общепроизводственных расходов.</v>
      </c>
      <c r="L40" s="990" t="str">
        <f>IF(I40=0,"",I40)</f>
        <v>2.10</v>
      </c>
      <c r="M40" s="990" t="str">
        <f>IF(J40=0,"",J40)</f>
        <v>Общепроизводственные расходы, в том числе:</v>
      </c>
      <c r="N40" s="990" t="str">
        <f>IF(K40=0,"",K40)</f>
        <v>Указывается общая сумма общепроизводственных расходов.</v>
      </c>
      <c r="O40" s="1103" t="s">
        <v>841</v>
      </c>
      <c r="P40" s="1103" t="s">
        <v>785</v>
      </c>
      <c r="Q40" s="1103" t="s">
        <v>841</v>
      </c>
      <c r="R40" s="1103" t="s">
        <v>785</v>
      </c>
      <c r="S40" s="1103"/>
      <c r="T40" s="989" t="s">
        <v>2382</v>
      </c>
      <c r="U40" s="989" t="s">
        <v>2382</v>
      </c>
      <c r="V40" s="989" t="s">
        <v>2382</v>
      </c>
      <c r="W40" s="989" t="s">
        <v>2382</v>
      </c>
      <c r="X40" s="989"/>
      <c r="Y40" s="1146"/>
      <c r="Z40" s="992" t="s">
        <v>2383</v>
      </c>
      <c r="AA40" s="995" t="s">
        <v>2383</v>
      </c>
      <c r="AB40" s="995" t="s">
        <v>2383</v>
      </c>
      <c r="AC40" s="995" t="s">
        <v>2383</v>
      </c>
      <c r="AD40" s="992"/>
    </row>
    <row customHeight="1" ht="27">
      <c r="A41" s="991"/>
      <c r="B41" s="1045">
        <v>24</v>
      </c>
      <c r="C41" s="989" t="s">
        <v>2384</v>
      </c>
      <c r="D41" s="1113"/>
      <c r="E41" s="989"/>
      <c r="F41" s="989"/>
      <c r="G41" s="989"/>
      <c r="H41" s="1037"/>
      <c r="I41" s="1151" t="str">
        <f>INDEX(TEMPLATE_NUMBER_POINT_FHD,B41,MATCH(TEMPLATE_SPHERE,TEMPLATE_SPHERE_LIST_FOR_NOTE,0))</f>
        <v>2.10.1</v>
      </c>
      <c r="J41" s="1151" t="str">
        <f>INDEX(TEMPLATE_DATA_POINT_FHD,B41,MATCH(TEMPLATE_SPHERE,TEMPLATE_SPHERE_LIST_FOR_NOTE,0))</f>
        <v>Расходы на текущий ремонт</v>
      </c>
      <c r="K41" s="1151" t="str">
        <f>INDEX(TEMPLATE_NOTE_POINT_FHD,B41,MATCH(TEMPLATE_SPHERE,TEMPLATE_SPHERE_LIST_FOR_NOTE,0))</f>
        <v>Указываются расходы на текущий ремонт, отнесенные к общепроизводственным расходам.</v>
      </c>
      <c r="L41" s="990" t="str">
        <f>IF(I41=0,"",I41)</f>
        <v>2.10.1</v>
      </c>
      <c r="M41" s="990" t="str">
        <f>IF(J41=0,"",J41)</f>
        <v>Расходы на текущий ремонт</v>
      </c>
      <c r="N41" s="990" t="str">
        <f>IF(K41=0,"",K41)</f>
        <v>Указываются расходы на текущий ремонт, отнесенные к общепроизводственным расходам.</v>
      </c>
      <c r="O41" s="1103" t="s">
        <v>2385</v>
      </c>
      <c r="P41" s="1103" t="s">
        <v>2373</v>
      </c>
      <c r="Q41" s="1103" t="s">
        <v>2385</v>
      </c>
      <c r="R41" s="1103" t="s">
        <v>2373</v>
      </c>
      <c r="S41" s="1103"/>
      <c r="T41" s="989" t="s">
        <v>2386</v>
      </c>
      <c r="U41" s="989" t="s">
        <v>2386</v>
      </c>
      <c r="V41" s="989" t="s">
        <v>2386</v>
      </c>
      <c r="W41" s="989" t="s">
        <v>2386</v>
      </c>
      <c r="X41" s="989"/>
      <c r="Y41" s="1146"/>
      <c r="Z41" s="992" t="s">
        <v>2387</v>
      </c>
      <c r="AA41" s="992" t="s">
        <v>2387</v>
      </c>
      <c r="AB41" s="992" t="s">
        <v>2387</v>
      </c>
      <c r="AC41" s="992" t="s">
        <v>2387</v>
      </c>
      <c r="AD41" s="992"/>
    </row>
    <row customHeight="1" ht="27">
      <c r="A42" s="991"/>
      <c r="B42" s="1045">
        <v>25</v>
      </c>
      <c r="C42" s="989" t="s">
        <v>2388</v>
      </c>
      <c r="D42" s="1113"/>
      <c r="E42" s="989"/>
      <c r="F42" s="989"/>
      <c r="G42" s="989"/>
      <c r="H42" s="1037"/>
      <c r="I42" s="1151" t="str">
        <f>INDEX(TEMPLATE_NUMBER_POINT_FHD,B42,MATCH(TEMPLATE_SPHERE,TEMPLATE_SPHERE_LIST_FOR_NOTE,0))</f>
        <v>2.10.2</v>
      </c>
      <c r="J42" s="1151" t="str">
        <f>INDEX(TEMPLATE_DATA_POINT_FHD,B42,MATCH(TEMPLATE_SPHERE,TEMPLATE_SPHERE_LIST_FOR_NOTE,0))</f>
        <v>Расходы на капитальный ремонт</v>
      </c>
      <c r="K42" s="1151" t="str">
        <f>INDEX(TEMPLATE_NOTE_POINT_FHD,B42,MATCH(TEMPLATE_SPHERE,TEMPLATE_SPHERE_LIST_FOR_NOTE,0))</f>
        <v>Указываются расходы на капитальный ремонт, отнесенные к общепроизводственным расходам.</v>
      </c>
      <c r="L42" s="990" t="str">
        <f>IF(I42=0,"",I42)</f>
        <v>2.10.2</v>
      </c>
      <c r="M42" s="990" t="str">
        <f>IF(J42=0,"",J42)</f>
        <v>Расходы на капитальный ремонт</v>
      </c>
      <c r="N42" s="990" t="str">
        <f>IF(K42=0,"",K42)</f>
        <v>Указываются расходы на капитальный ремонт, отнесенные к общепроизводственным расходам.</v>
      </c>
      <c r="O42" s="1103" t="s">
        <v>2389</v>
      </c>
      <c r="P42" s="1103" t="s">
        <v>2376</v>
      </c>
      <c r="Q42" s="1103" t="s">
        <v>2389</v>
      </c>
      <c r="R42" s="1103" t="s">
        <v>2376</v>
      </c>
      <c r="S42" s="1103"/>
      <c r="T42" s="989" t="s">
        <v>2390</v>
      </c>
      <c r="U42" s="989" t="s">
        <v>2390</v>
      </c>
      <c r="V42" s="989" t="s">
        <v>2390</v>
      </c>
      <c r="W42" s="989" t="s">
        <v>2390</v>
      </c>
      <c r="X42" s="989"/>
      <c r="Y42" s="1146"/>
      <c r="Z42" s="992" t="s">
        <v>2391</v>
      </c>
      <c r="AA42" s="992" t="s">
        <v>2391</v>
      </c>
      <c r="AB42" s="992" t="s">
        <v>2391</v>
      </c>
      <c r="AC42" s="992" t="s">
        <v>2391</v>
      </c>
      <c r="AD42" s="992"/>
    </row>
    <row customHeight="1" ht="18">
      <c r="A43" s="991"/>
      <c r="B43" s="1045">
        <v>26</v>
      </c>
      <c r="C43" s="989">
        <v>14</v>
      </c>
      <c r="D43" s="1113"/>
      <c r="E43" s="989"/>
      <c r="F43" s="989"/>
      <c r="G43" s="989"/>
      <c r="H43" s="1037"/>
      <c r="I43" s="1151" t="str">
        <f>INDEX(TEMPLATE_NUMBER_POINT_FHD,B43,MATCH(TEMPLATE_SPHERE,TEMPLATE_SPHERE_LIST_FOR_NOTE,0))</f>
        <v>2.11</v>
      </c>
      <c r="J43" s="1151" t="str">
        <f>INDEX(TEMPLATE_DATA_POINT_FHD,B43,MATCH(TEMPLATE_SPHERE,TEMPLATE_SPHERE_LIST_FOR_NOTE,0))</f>
        <v>Общехозяйственные расходы, в том числе:</v>
      </c>
      <c r="K43" s="1151" t="str">
        <f>INDEX(TEMPLATE_NOTE_POINT_FHD,B43,MATCH(TEMPLATE_SPHERE,TEMPLATE_SPHERE_LIST_FOR_NOTE,0))</f>
        <v>Указывается общая сумма общехозяйственных расходов.</v>
      </c>
      <c r="L43" s="990" t="str">
        <f>IF(I43=0,"",I43)</f>
        <v>2.11</v>
      </c>
      <c r="M43" s="990" t="str">
        <f>IF(J43=0,"",J43)</f>
        <v>Общехозяйственные расходы, в том числе:</v>
      </c>
      <c r="N43" s="990" t="str">
        <f>IF(K43=0,"",K43)</f>
        <v>Указывается общая сумма общехозяйственных расходов.</v>
      </c>
      <c r="O43" s="1103" t="s">
        <v>2392</v>
      </c>
      <c r="P43" s="1103" t="s">
        <v>789</v>
      </c>
      <c r="Q43" s="1103" t="s">
        <v>2392</v>
      </c>
      <c r="R43" s="1103" t="s">
        <v>789</v>
      </c>
      <c r="S43" s="1103"/>
      <c r="T43" s="989" t="s">
        <v>2393</v>
      </c>
      <c r="U43" s="989" t="s">
        <v>2393</v>
      </c>
      <c r="V43" s="989" t="s">
        <v>2393</v>
      </c>
      <c r="W43" s="989" t="s">
        <v>2393</v>
      </c>
      <c r="X43" s="989"/>
      <c r="Y43" s="1146"/>
      <c r="Z43" s="992" t="s">
        <v>2394</v>
      </c>
      <c r="AA43" s="992" t="s">
        <v>2394</v>
      </c>
      <c r="AB43" s="992" t="s">
        <v>2394</v>
      </c>
      <c r="AC43" s="992" t="s">
        <v>2394</v>
      </c>
      <c r="AD43" s="992"/>
    </row>
    <row customHeight="1" ht="27">
      <c r="A44" s="991"/>
      <c r="B44" s="1045">
        <v>27</v>
      </c>
      <c r="C44" s="989" t="s">
        <v>2395</v>
      </c>
      <c r="D44" s="1113"/>
      <c r="E44" s="989"/>
      <c r="F44" s="989"/>
      <c r="G44" s="989"/>
      <c r="H44" s="1037"/>
      <c r="I44" s="1151" t="str">
        <f>INDEX(TEMPLATE_NUMBER_POINT_FHD,B44,MATCH(TEMPLATE_SPHERE,TEMPLATE_SPHERE_LIST_FOR_NOTE,0))</f>
        <v>2.11.1</v>
      </c>
      <c r="J44" s="1151" t="str">
        <f>INDEX(TEMPLATE_DATA_POINT_FHD,B44,MATCH(TEMPLATE_SPHERE,TEMPLATE_SPHERE_LIST_FOR_NOTE,0))</f>
        <v>Расходы на текущий ремонт</v>
      </c>
      <c r="K44" s="1151" t="str">
        <f>INDEX(TEMPLATE_NOTE_POINT_FHD,B44,MATCH(TEMPLATE_SPHERE,TEMPLATE_SPHERE_LIST_FOR_NOTE,0))</f>
        <v>Указываются расходы на текущий ремонт, отнесенные к общехозяйственным расходам.</v>
      </c>
      <c r="L44" s="990" t="str">
        <f>IF(I44=0,"",I44)</f>
        <v>2.11.1</v>
      </c>
      <c r="M44" s="990" t="str">
        <f>IF(J44=0,"",J44)</f>
        <v>Расходы на текущий ремонт</v>
      </c>
      <c r="N44" s="990" t="str">
        <f>IF(K44=0,"",K44)</f>
        <v>Указываются расходы на текущий ремонт, отнесенные к общехозяйственным расходам.</v>
      </c>
      <c r="O44" s="1103" t="s">
        <v>2396</v>
      </c>
      <c r="P44" s="1103" t="s">
        <v>792</v>
      </c>
      <c r="Q44" s="1103" t="s">
        <v>2396</v>
      </c>
      <c r="R44" s="1103" t="s">
        <v>792</v>
      </c>
      <c r="S44" s="1103"/>
      <c r="T44" s="989" t="s">
        <v>2386</v>
      </c>
      <c r="U44" s="989" t="s">
        <v>2386</v>
      </c>
      <c r="V44" s="989" t="s">
        <v>2386</v>
      </c>
      <c r="W44" s="989" t="s">
        <v>2386</v>
      </c>
      <c r="X44" s="989"/>
      <c r="Y44" s="1146"/>
      <c r="Z44" s="992" t="s">
        <v>2397</v>
      </c>
      <c r="AA44" s="992" t="s">
        <v>2397</v>
      </c>
      <c r="AB44" s="992" t="s">
        <v>2397</v>
      </c>
      <c r="AC44" s="992" t="s">
        <v>2397</v>
      </c>
      <c r="AD44" s="992"/>
    </row>
    <row customHeight="1" ht="27">
      <c r="A45" s="991"/>
      <c r="B45" s="1045">
        <v>28</v>
      </c>
      <c r="C45" s="989" t="s">
        <v>2398</v>
      </c>
      <c r="D45" s="1113"/>
      <c r="E45" s="989"/>
      <c r="F45" s="989"/>
      <c r="G45" s="989"/>
      <c r="H45" s="1037"/>
      <c r="I45" s="1151" t="str">
        <f>INDEX(TEMPLATE_NUMBER_POINT_FHD,B45,MATCH(TEMPLATE_SPHERE,TEMPLATE_SPHERE_LIST_FOR_NOTE,0))</f>
        <v>2.11.2</v>
      </c>
      <c r="J45" s="1151" t="str">
        <f>INDEX(TEMPLATE_DATA_POINT_FHD,B45,MATCH(TEMPLATE_SPHERE,TEMPLATE_SPHERE_LIST_FOR_NOTE,0))</f>
        <v>Расходы на капитальный ремонт</v>
      </c>
      <c r="K45" s="1151" t="str">
        <f>INDEX(TEMPLATE_NOTE_POINT_FHD,B45,MATCH(TEMPLATE_SPHERE,TEMPLATE_SPHERE_LIST_FOR_NOTE,0))</f>
        <v>Указываются расходы на капитальный ремонт, отнесенные к общехозяйственным расходам.</v>
      </c>
      <c r="L45" s="990" t="str">
        <f>IF(I45=0,"",I45)</f>
        <v>2.11.2</v>
      </c>
      <c r="M45" s="990" t="str">
        <f>IF(J45=0,"",J45)</f>
        <v>Расходы на капитальный ремонт</v>
      </c>
      <c r="N45" s="990" t="str">
        <f>IF(K45=0,"",K45)</f>
        <v>Указываются расходы на капитальный ремонт, отнесенные к общехозяйственным расходам.</v>
      </c>
      <c r="O45" s="1103" t="s">
        <v>2399</v>
      </c>
      <c r="P45" s="1103" t="s">
        <v>795</v>
      </c>
      <c r="Q45" s="1103" t="s">
        <v>2399</v>
      </c>
      <c r="R45" s="1103" t="s">
        <v>795</v>
      </c>
      <c r="S45" s="1103"/>
      <c r="T45" s="989" t="s">
        <v>2390</v>
      </c>
      <c r="U45" s="989" t="s">
        <v>2390</v>
      </c>
      <c r="V45" s="989" t="s">
        <v>2390</v>
      </c>
      <c r="W45" s="989" t="s">
        <v>2390</v>
      </c>
      <c r="X45" s="989"/>
      <c r="Y45" s="1146"/>
      <c r="Z45" s="992" t="s">
        <v>2400</v>
      </c>
      <c r="AA45" s="992" t="s">
        <v>2400</v>
      </c>
      <c r="AB45" s="992" t="s">
        <v>2400</v>
      </c>
      <c r="AC45" s="992" t="s">
        <v>2400</v>
      </c>
      <c r="AD45" s="992"/>
    </row>
    <row customHeight="1" ht="54">
      <c r="A46" s="991"/>
      <c r="B46" s="1045">
        <v>29</v>
      </c>
      <c r="C46" s="989">
        <v>15</v>
      </c>
      <c r="D46" s="1113"/>
      <c r="E46" s="989"/>
      <c r="F46" s="989"/>
      <c r="G46" s="989"/>
      <c r="H46" s="1037"/>
      <c r="I46" s="1151" t="str">
        <f>INDEX(TEMPLATE_NUMBER_POINT_FHD,B46,MATCH(TEMPLATE_SPHERE,TEMPLATE_SPHERE_LIST_FOR_NOTE,0))</f>
        <v>2.12</v>
      </c>
      <c r="J46" s="1151" t="str">
        <f>INDEX(TEMPLATE_DATA_POINT_FHD,B46,MATCH(TEMPLATE_SPHERE,TEMPLATE_SPHERE_LIST_FOR_NOTE,0))</f>
        <v>Расходы на капитальный и текущий ремонт основных средств</v>
      </c>
      <c r="K46" s="1151"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90" t="str">
        <f>IF(I46=0,"",I46)</f>
        <v>2.12</v>
      </c>
      <c r="M46" s="990" t="str">
        <f>IF(J46=0,"",J46)</f>
        <v>Расходы на капитальный и текущий ремонт основных средств</v>
      </c>
      <c r="N46" s="990"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103" t="s">
        <v>2401</v>
      </c>
      <c r="P46" s="1103" t="s">
        <v>841</v>
      </c>
      <c r="Q46" s="1103" t="s">
        <v>2401</v>
      </c>
      <c r="R46" s="1103" t="s">
        <v>841</v>
      </c>
      <c r="S46" s="1103"/>
      <c r="T46" s="99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989" t="s">
        <v>2402</v>
      </c>
      <c r="V46" s="989" t="s">
        <v>2402</v>
      </c>
      <c r="W46" s="989" t="s">
        <v>2402</v>
      </c>
      <c r="X46" s="989"/>
      <c r="Y46" s="1146"/>
      <c r="Z46" s="992" t="s">
        <v>2403</v>
      </c>
      <c r="AA46" s="992" t="s">
        <v>2404</v>
      </c>
      <c r="AB46" s="992" t="s">
        <v>2404</v>
      </c>
      <c r="AC46" s="992" t="s">
        <v>2404</v>
      </c>
      <c r="AD46" s="992"/>
    </row>
    <row customHeight="1" ht="54">
      <c r="A47" s="991"/>
      <c r="B47" s="1045">
        <v>30</v>
      </c>
      <c r="C47" s="989" t="s">
        <v>2405</v>
      </c>
      <c r="D47" s="1113"/>
      <c r="E47" s="989"/>
      <c r="F47" s="989"/>
      <c r="G47" s="989"/>
      <c r="H47" s="1037"/>
      <c r="I47" s="1151" t="str">
        <f>INDEX(TEMPLATE_NUMBER_POINT_FHD,B47,MATCH(TEMPLATE_SPHERE,TEMPLATE_SPHERE_LIST_FOR_NOTE,0))</f>
        <v>2.12.1</v>
      </c>
      <c r="J47" s="115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151">
        <f>INDEX(TEMPLATE_NOTE_POINT_FHD,B47,MATCH(TEMPLATE_SPHERE,TEMPLATE_SPHERE_LIST_FOR_NOTE,0))</f>
        <v>0</v>
      </c>
      <c r="L47" s="990" t="str">
        <f>IF(I47=0,"",I47)</f>
        <v>2.12.1</v>
      </c>
      <c r="M47" s="99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90" t="str">
        <f>IF(K47=0,"",K47)</f>
        <v/>
      </c>
      <c r="O47" s="1103" t="s">
        <v>2406</v>
      </c>
      <c r="P47" s="1103" t="s">
        <v>2385</v>
      </c>
      <c r="Q47" s="1103" t="s">
        <v>2406</v>
      </c>
      <c r="R47" s="1103" t="s">
        <v>2385</v>
      </c>
      <c r="S47" s="1103"/>
      <c r="T47" s="989" t="s">
        <v>2407</v>
      </c>
      <c r="U47" s="989" t="s">
        <v>2407</v>
      </c>
      <c r="V47" s="989" t="s">
        <v>2407</v>
      </c>
      <c r="W47" s="989" t="s">
        <v>2407</v>
      </c>
      <c r="X47" s="989"/>
      <c r="Y47" s="1146"/>
      <c r="Z47" s="992"/>
      <c r="AA47" s="995"/>
      <c r="AB47" s="995"/>
      <c r="AC47" s="995"/>
      <c r="AD47" s="992"/>
    </row>
    <row customHeight="1" ht="54">
      <c r="A48" s="991"/>
      <c r="B48" s="1045">
        <v>31</v>
      </c>
      <c r="C48" s="989">
        <v>16</v>
      </c>
      <c r="D48" s="1113"/>
      <c r="E48" s="989"/>
      <c r="F48" s="989"/>
      <c r="G48" s="989"/>
      <c r="H48" s="1037"/>
      <c r="I48" s="1151">
        <f>INDEX(TEMPLATE_NUMBER_POINT_FHD,B48,MATCH(TEMPLATE_SPHERE,TEMPLATE_SPHERE_LIST_FOR_NOTE,0))</f>
        <v>0</v>
      </c>
      <c r="J48" s="1151">
        <f>INDEX(TEMPLATE_DATA_POINT_FHD,B48,MATCH(TEMPLATE_SPHERE,TEMPLATE_SPHERE_LIST_FOR_NOTE,0))</f>
        <v>0</v>
      </c>
      <c r="K48" s="1151">
        <f>INDEX(TEMPLATE_NOTE_POINT_FHD,B48,MATCH(TEMPLATE_SPHERE,TEMPLATE_SPHERE_LIST_FOR_NOTE,0))</f>
        <v>0</v>
      </c>
      <c r="L48" s="990" t="str">
        <f>IF(I48=0,"",I48)</f>
        <v/>
      </c>
      <c r="M48" s="990" t="str">
        <f>IF(J48=0,"",J48)</f>
        <v/>
      </c>
      <c r="N48" s="990" t="str">
        <f>IF(K48=0,"",K48)</f>
        <v/>
      </c>
      <c r="O48" s="1103"/>
      <c r="P48" s="1103" t="s">
        <v>2392</v>
      </c>
      <c r="Q48" s="1103" t="s">
        <v>2408</v>
      </c>
      <c r="R48" s="1103" t="s">
        <v>2392</v>
      </c>
      <c r="S48" s="1103"/>
      <c r="T48" s="989"/>
      <c r="U48" s="989" t="s">
        <v>2409</v>
      </c>
      <c r="V48" s="989" t="s">
        <v>2410</v>
      </c>
      <c r="W48" s="989" t="s">
        <v>2410</v>
      </c>
      <c r="X48" s="989"/>
      <c r="Y48" s="1146"/>
      <c r="Z48" s="992"/>
      <c r="AA48" s="995" t="s">
        <v>2404</v>
      </c>
      <c r="AB48" s="995" t="s">
        <v>2404</v>
      </c>
      <c r="AC48" s="995" t="s">
        <v>2404</v>
      </c>
      <c r="AD48" s="992"/>
    </row>
    <row customHeight="1" ht="54">
      <c r="A49" s="991"/>
      <c r="B49" s="1045">
        <v>32</v>
      </c>
      <c r="C49" s="989" t="s">
        <v>2411</v>
      </c>
      <c r="D49" s="1113"/>
      <c r="E49" s="989"/>
      <c r="F49" s="989"/>
      <c r="G49" s="989"/>
      <c r="H49" s="1037"/>
      <c r="I49" s="1151">
        <f>INDEX(TEMPLATE_NUMBER_POINT_FHD,B49,MATCH(TEMPLATE_SPHERE,TEMPLATE_SPHERE_LIST_FOR_NOTE,0))</f>
        <v>0</v>
      </c>
      <c r="J49" s="1151">
        <f>INDEX(TEMPLATE_DATA_POINT_FHD,B49,MATCH(TEMPLATE_SPHERE,TEMPLATE_SPHERE_LIST_FOR_NOTE,0))</f>
        <v>0</v>
      </c>
      <c r="K49" s="1151">
        <f>INDEX(TEMPLATE_NOTE_POINT_FHD,B49,MATCH(TEMPLATE_SPHERE,TEMPLATE_SPHERE_LIST_FOR_NOTE,0))</f>
        <v>0</v>
      </c>
      <c r="L49" s="990" t="str">
        <f>IF(I49=0,"",I49)</f>
        <v/>
      </c>
      <c r="M49" s="990" t="str">
        <f>IF(J49=0,"",J49)</f>
        <v/>
      </c>
      <c r="N49" s="990" t="str">
        <f>IF(K49=0,"",K49)</f>
        <v/>
      </c>
      <c r="O49" s="1103"/>
      <c r="P49" s="1103" t="s">
        <v>2396</v>
      </c>
      <c r="Q49" s="1103" t="s">
        <v>2412</v>
      </c>
      <c r="R49" s="1103" t="s">
        <v>2396</v>
      </c>
      <c r="S49" s="1103"/>
      <c r="T49" s="989"/>
      <c r="U49" s="989" t="s">
        <v>2407</v>
      </c>
      <c r="V49" s="989" t="s">
        <v>2407</v>
      </c>
      <c r="W49" s="989" t="s">
        <v>2407</v>
      </c>
      <c r="X49" s="989"/>
      <c r="Y49" s="1146"/>
      <c r="Z49" s="992"/>
      <c r="AA49" s="995"/>
      <c r="AB49" s="995"/>
      <c r="AC49" s="995"/>
      <c r="AD49" s="992"/>
    </row>
    <row customHeight="1" ht="126">
      <c r="A50" s="991"/>
      <c r="B50" s="1045">
        <v>33</v>
      </c>
      <c r="C50" s="989">
        <v>17</v>
      </c>
      <c r="D50" s="1113"/>
      <c r="E50" s="989"/>
      <c r="F50" s="989"/>
      <c r="G50" s="989"/>
      <c r="H50" s="1037"/>
      <c r="I50" s="1151" t="str">
        <f>INDEX(TEMPLATE_NUMBER_POINT_FHD,B50,MATCH(TEMPLATE_SPHERE,TEMPLATE_SPHERE_LIST_FOR_NOTE,0))</f>
        <v>2.13</v>
      </c>
      <c r="J50" s="1151"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15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990" t="str">
        <f>IF(I50=0,"",I50)</f>
        <v>2.13</v>
      </c>
      <c r="M50" s="990" t="str">
        <f>IF(J50=0,"",J50)</f>
        <v>Прочие расходы, которые подлежат отнесению на регулируемые виды деятельности в соответствии с законодательством Российской Федерации</v>
      </c>
      <c r="N50" s="990"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103" t="s">
        <v>2408</v>
      </c>
      <c r="P50" s="1103" t="s">
        <v>2401</v>
      </c>
      <c r="Q50" s="1103" t="s">
        <v>2413</v>
      </c>
      <c r="R50" s="1103" t="s">
        <v>2401</v>
      </c>
      <c r="S50" s="1103"/>
      <c r="T50" s="989" t="s">
        <v>2414</v>
      </c>
      <c r="U50" s="989" t="s">
        <v>2415</v>
      </c>
      <c r="V50" s="989" t="s">
        <v>2416</v>
      </c>
      <c r="W50" s="989" t="s">
        <v>2417</v>
      </c>
      <c r="X50" s="989"/>
      <c r="Y50" s="1146"/>
      <c r="Z50" s="992" t="s">
        <v>2418</v>
      </c>
      <c r="AA50" s="995" t="s">
        <v>2419</v>
      </c>
      <c r="AB50" s="995" t="s">
        <v>2419</v>
      </c>
      <c r="AC50" s="995" t="s">
        <v>2419</v>
      </c>
      <c r="AD50" s="992"/>
    </row>
    <row customHeight="1" ht="27">
      <c r="A51" s="991"/>
      <c r="B51" s="1045">
        <v>34</v>
      </c>
      <c r="C51" s="989" t="s">
        <v>2420</v>
      </c>
      <c r="D51" s="1113"/>
      <c r="E51" s="989"/>
      <c r="F51" s="989"/>
      <c r="G51" s="989"/>
      <c r="H51" s="1037"/>
      <c r="I51" s="1151" t="str">
        <f>INDEX(TEMPLATE_NUMBER_POINT_FHD,B51,MATCH(TEMPLATE_SPHERE,TEMPLATE_SPHERE_LIST_FOR_NOTE,0))</f>
        <v>3</v>
      </c>
      <c r="J51" s="1151"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151">
        <f>INDEX(TEMPLATE_NOTE_POINT_FHD,B51,MATCH(TEMPLATE_SPHERE,TEMPLATE_SPHERE_LIST_FOR_NOTE,0))</f>
        <v>0</v>
      </c>
      <c r="L51" s="990" t="str">
        <f>IF(I51=0,"",I51)</f>
        <v>3</v>
      </c>
      <c r="M51" s="990" t="str">
        <f>IF(J51=0,"",J51)</f>
        <v>Валовая прибыль (убытки) от реализации товаров и оказания услуг по регулируемому виду деятельности</v>
      </c>
      <c r="N51" s="990" t="str">
        <f>IF(K51=0,"",K51)</f>
        <v/>
      </c>
      <c r="O51" s="1103" t="s">
        <v>91</v>
      </c>
      <c r="P51" s="1103"/>
      <c r="Q51" s="1103"/>
      <c r="R51" s="1103"/>
      <c r="S51" s="1103"/>
      <c r="T51" s="989" t="s">
        <v>2421</v>
      </c>
      <c r="U51" s="989"/>
      <c r="V51" s="989"/>
      <c r="W51" s="989"/>
      <c r="X51" s="989"/>
      <c r="Y51" s="1146"/>
      <c r="Z51" s="992"/>
      <c r="AA51" s="995"/>
      <c r="AB51" s="995"/>
      <c r="AC51" s="995"/>
      <c r="AD51" s="992"/>
    </row>
    <row customHeight="1" ht="36">
      <c r="A52" s="991"/>
      <c r="B52" s="1045">
        <v>35</v>
      </c>
      <c r="C52" s="989" t="s">
        <v>2317</v>
      </c>
      <c r="D52" s="1113" t="s">
        <v>2317</v>
      </c>
      <c r="E52" s="989" t="s">
        <v>2317</v>
      </c>
      <c r="F52" s="989" t="s">
        <v>2317</v>
      </c>
      <c r="G52" s="989"/>
      <c r="H52" s="1037"/>
      <c r="I52" s="1151" t="str">
        <f>INDEX(TEMPLATE_NUMBER_POINT_FHD,B52,MATCH(TEMPLATE_SPHERE,TEMPLATE_SPHERE_LIST_FOR_NOTE,0))</f>
        <v>4</v>
      </c>
      <c r="J52" s="1151" t="str">
        <f>INDEX(TEMPLATE_DATA_POINT_FHD,B52,MATCH(TEMPLATE_SPHERE,TEMPLATE_SPHERE_LIST_FOR_NOTE,0))</f>
        <v>Чистая прибыль, полученная от регулируемого вида деятельности, в том числе:</v>
      </c>
      <c r="K52" s="1151" t="str">
        <f>INDEX(TEMPLATE_NOTE_POINT_FHD,B52,MATCH(TEMPLATE_SPHERE,TEMPLATE_SPHERE_LIST_FOR_NOTE,0))</f>
        <v>Указывается общая сумма чистой прибыли, полученной от регулируемого вида деятельности.</v>
      </c>
      <c r="L52" s="990" t="str">
        <f>IF(I52=0,"",I52)</f>
        <v>4</v>
      </c>
      <c r="M52" s="990" t="str">
        <f>IF(J52=0,"",J52)</f>
        <v>Чистая прибыль, полученная от регулируемого вида деятельности, в том числе:</v>
      </c>
      <c r="N52" s="990" t="str">
        <f>IF(K52=0,"",K52)</f>
        <v>Указывается общая сумма чистой прибыли, полученной от регулируемого вида деятельности.</v>
      </c>
      <c r="O52" s="1103" t="s">
        <v>92</v>
      </c>
      <c r="P52" s="1103" t="s">
        <v>91</v>
      </c>
      <c r="Q52" s="1103" t="s">
        <v>91</v>
      </c>
      <c r="R52" s="1103" t="s">
        <v>91</v>
      </c>
      <c r="S52" s="1103"/>
      <c r="T52" s="989" t="s">
        <v>2422</v>
      </c>
      <c r="U52" s="989" t="s">
        <v>2423</v>
      </c>
      <c r="V52" s="989" t="s">
        <v>2424</v>
      </c>
      <c r="W52" s="989" t="s">
        <v>2425</v>
      </c>
      <c r="X52" s="989"/>
      <c r="Y52" s="1146"/>
      <c r="Z52" s="992" t="s">
        <v>799</v>
      </c>
      <c r="AA52" s="995" t="s">
        <v>799</v>
      </c>
      <c r="AB52" s="995" t="s">
        <v>799</v>
      </c>
      <c r="AC52" s="995" t="s">
        <v>799</v>
      </c>
      <c r="AD52" s="992"/>
    </row>
    <row customHeight="1" ht="36">
      <c r="A53" s="991"/>
      <c r="B53" s="1045">
        <v>36</v>
      </c>
      <c r="C53" s="989">
        <v>1</v>
      </c>
      <c r="D53" s="1113"/>
      <c r="E53" s="989"/>
      <c r="F53" s="989"/>
      <c r="G53" s="989"/>
      <c r="H53" s="1037"/>
      <c r="I53" s="1151" t="str">
        <f>INDEX(TEMPLATE_NUMBER_POINT_FHD,B53,MATCH(TEMPLATE_SPHERE,TEMPLATE_SPHERE_LIST_FOR_NOTE,0))</f>
        <v>4.1</v>
      </c>
      <c r="J53" s="115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151">
        <f>INDEX(TEMPLATE_NOTE_POINT_FHD,B53,MATCH(TEMPLATE_SPHERE,TEMPLATE_SPHERE_LIST_FOR_NOTE,0))</f>
        <v>0</v>
      </c>
      <c r="L53" s="990" t="str">
        <f>IF(I53=0,"",I53)</f>
        <v>4.1</v>
      </c>
      <c r="M53" s="99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90" t="str">
        <f>IF(K53=0,"",K53)</f>
        <v/>
      </c>
      <c r="O53" s="1103" t="s">
        <v>803</v>
      </c>
      <c r="P53" s="1103" t="s">
        <v>346</v>
      </c>
      <c r="Q53" s="1103" t="s">
        <v>346</v>
      </c>
      <c r="R53" s="1103" t="s">
        <v>346</v>
      </c>
      <c r="S53" s="1103"/>
      <c r="T53" s="989" t="s">
        <v>2426</v>
      </c>
      <c r="U53" s="989" t="s">
        <v>2426</v>
      </c>
      <c r="V53" s="989" t="s">
        <v>2426</v>
      </c>
      <c r="W53" s="989" t="s">
        <v>2426</v>
      </c>
      <c r="X53" s="989"/>
      <c r="Y53" s="1146"/>
      <c r="Z53" s="992"/>
      <c r="AA53" s="995"/>
      <c r="AB53" s="992"/>
      <c r="AC53" s="992"/>
      <c r="AD53" s="992"/>
    </row>
    <row customHeight="1" ht="18">
      <c r="A54" s="991"/>
      <c r="B54" s="1045">
        <v>37</v>
      </c>
      <c r="C54" s="989" t="s">
        <v>2323</v>
      </c>
      <c r="D54" s="1113" t="s">
        <v>2323</v>
      </c>
      <c r="E54" s="989" t="s">
        <v>2323</v>
      </c>
      <c r="F54" s="989" t="s">
        <v>2323</v>
      </c>
      <c r="G54" s="989"/>
      <c r="H54" s="1037"/>
      <c r="I54" s="1151" t="str">
        <f>INDEX(TEMPLATE_NUMBER_POINT_FHD,B54,MATCH(TEMPLATE_SPHERE,TEMPLATE_SPHERE_LIST_FOR_NOTE,0))</f>
        <v>5</v>
      </c>
      <c r="J54" s="1151" t="str">
        <f>INDEX(TEMPLATE_DATA_POINT_FHD,B54,MATCH(TEMPLATE_SPHERE,TEMPLATE_SPHERE_LIST_FOR_NOTE,0))</f>
        <v>Изменение стоимости основных фондов, в том числе:</v>
      </c>
      <c r="K54" s="1151" t="str">
        <f>INDEX(TEMPLATE_NOTE_POINT_FHD,B54,MATCH(TEMPLATE_SPHERE,TEMPLATE_SPHERE_LIST_FOR_NOTE,0))</f>
        <v>Указывается общее изменение стоимости основных фондов.</v>
      </c>
      <c r="L54" s="990" t="str">
        <f>IF(I54=0,"",I54)</f>
        <v>5</v>
      </c>
      <c r="M54" s="990" t="str">
        <f>IF(J54=0,"",J54)</f>
        <v>Изменение стоимости основных фондов, в том числе:</v>
      </c>
      <c r="N54" s="990" t="str">
        <f>IF(K54=0,"",K54)</f>
        <v>Указывается общее изменение стоимости основных фондов.</v>
      </c>
      <c r="O54" s="1103" t="s">
        <v>122</v>
      </c>
      <c r="P54" s="1103" t="s">
        <v>92</v>
      </c>
      <c r="Q54" s="1103" t="s">
        <v>92</v>
      </c>
      <c r="R54" s="1103" t="s">
        <v>92</v>
      </c>
      <c r="S54" s="1103"/>
      <c r="T54" s="989" t="s">
        <v>801</v>
      </c>
      <c r="U54" s="989" t="s">
        <v>801</v>
      </c>
      <c r="V54" s="989" t="s">
        <v>801</v>
      </c>
      <c r="W54" s="989" t="s">
        <v>801</v>
      </c>
      <c r="X54" s="989"/>
      <c r="Y54" s="1146"/>
      <c r="Z54" s="992" t="s">
        <v>802</v>
      </c>
      <c r="AA54" s="992" t="s">
        <v>802</v>
      </c>
      <c r="AB54" s="992" t="s">
        <v>802</v>
      </c>
      <c r="AC54" s="992" t="s">
        <v>802</v>
      </c>
      <c r="AD54" s="992"/>
    </row>
    <row customHeight="1" ht="36">
      <c r="A55" s="991"/>
      <c r="B55" s="1045">
        <v>38</v>
      </c>
      <c r="C55" s="989">
        <v>1</v>
      </c>
      <c r="D55" s="1113"/>
      <c r="E55" s="989"/>
      <c r="F55" s="989"/>
      <c r="G55" s="989"/>
      <c r="H55" s="1037"/>
      <c r="I55" s="1151" t="str">
        <f>INDEX(TEMPLATE_NUMBER_POINT_FHD,B55,MATCH(TEMPLATE_SPHERE,TEMPLATE_SPHERE_LIST_FOR_NOTE,0))</f>
        <v>5.1</v>
      </c>
      <c r="J55" s="1151" t="str">
        <f>INDEX(TEMPLATE_DATA_POINT_FHD,B55,MATCH(TEMPLATE_SPHERE,TEMPLATE_SPHERE_LIST_FOR_NOTE,0))</f>
        <v>Изменение стоимости основных фондов за счет:</v>
      </c>
      <c r="K55" s="115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90" t="str">
        <f>IF(I55=0,"",I55)</f>
        <v>5.1</v>
      </c>
      <c r="M55" s="990" t="str">
        <f>IF(J55=0,"",J55)</f>
        <v>Изменение стоимости основных фондов за счет:</v>
      </c>
      <c r="N55" s="990" t="str">
        <f>IF(K55=0,"",K55)</f>
        <v>Указываются общее изменение стоимости основных фондов за счет их ввода в эксплуатацию и вывода из эксплуатации.</v>
      </c>
      <c r="O55" s="1103" t="s">
        <v>335</v>
      </c>
      <c r="P55" s="1103" t="s">
        <v>803</v>
      </c>
      <c r="Q55" s="1103" t="s">
        <v>803</v>
      </c>
      <c r="R55" s="1103" t="s">
        <v>803</v>
      </c>
      <c r="S55" s="1103"/>
      <c r="T55" s="99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989" t="s">
        <v>2427</v>
      </c>
      <c r="V55" s="989" t="s">
        <v>2427</v>
      </c>
      <c r="W55" s="989" t="s">
        <v>2427</v>
      </c>
      <c r="X55" s="989"/>
      <c r="Y55" s="1146"/>
      <c r="Z55" s="992" t="s">
        <v>2428</v>
      </c>
      <c r="AA55" s="992" t="s">
        <v>2428</v>
      </c>
      <c r="AB55" s="992" t="s">
        <v>2428</v>
      </c>
      <c r="AC55" s="992" t="s">
        <v>2428</v>
      </c>
      <c r="AD55" s="992"/>
    </row>
    <row customHeight="1" ht="27">
      <c r="A56" s="991"/>
      <c r="B56" s="1045">
        <v>39</v>
      </c>
      <c r="C56" s="989" t="s">
        <v>1366</v>
      </c>
      <c r="D56" s="1113"/>
      <c r="E56" s="989"/>
      <c r="F56" s="989"/>
      <c r="G56" s="989"/>
      <c r="H56" s="1037"/>
      <c r="I56" s="1151" t="str">
        <f>INDEX(TEMPLATE_NUMBER_POINT_FHD,B56,MATCH(TEMPLATE_SPHERE,TEMPLATE_SPHERE_LIST_FOR_NOTE,0))</f>
        <v>5.1.1</v>
      </c>
      <c r="J56" s="1151" t="str">
        <f>INDEX(TEMPLATE_DATA_POINT_FHD,B56,MATCH(TEMPLATE_SPHERE,TEMPLATE_SPHERE_LIST_FOR_NOTE,0))</f>
        <v>Изменения стоимости основных фондов за счет их ввода в эксплуатацию</v>
      </c>
      <c r="K56" s="1151" t="str">
        <f>INDEX(TEMPLATE_NOTE_POINT_FHD,B56,MATCH(TEMPLATE_SPHERE,TEMPLATE_SPHERE_LIST_FOR_NOTE,0))</f>
        <v>Указываются изменение стоимости основных фондов за счет их ввода в эксплуатацию.</v>
      </c>
      <c r="L56" s="990" t="str">
        <f>IF(I56=0,"",I56)</f>
        <v>5.1.1</v>
      </c>
      <c r="M56" s="990" t="str">
        <f>IF(J56=0,"",J56)</f>
        <v>Изменения стоимости основных фондов за счет их ввода в эксплуатацию</v>
      </c>
      <c r="N56" s="990" t="str">
        <f>IF(K56=0,"",K56)</f>
        <v>Указываются изменение стоимости основных фондов за счет их ввода в эксплуатацию.</v>
      </c>
      <c r="O56" s="1103" t="s">
        <v>1489</v>
      </c>
      <c r="P56" s="1103" t="s">
        <v>806</v>
      </c>
      <c r="Q56" s="1103" t="s">
        <v>806</v>
      </c>
      <c r="R56" s="1103" t="s">
        <v>806</v>
      </c>
      <c r="S56" s="1103"/>
      <c r="T56" s="99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989" t="s">
        <v>2429</v>
      </c>
      <c r="V56" s="989" t="s">
        <v>2429</v>
      </c>
      <c r="W56" s="989" t="s">
        <v>2429</v>
      </c>
      <c r="X56" s="989"/>
      <c r="Y56" s="1146"/>
      <c r="Z56" s="992" t="s">
        <v>808</v>
      </c>
      <c r="AA56" s="992" t="s">
        <v>808</v>
      </c>
      <c r="AB56" s="992" t="s">
        <v>808</v>
      </c>
      <c r="AC56" s="992" t="s">
        <v>808</v>
      </c>
      <c r="AD56" s="992"/>
    </row>
    <row customHeight="1" ht="27">
      <c r="A57" s="991"/>
      <c r="B57" s="1045">
        <v>40</v>
      </c>
      <c r="C57" s="989" t="s">
        <v>1368</v>
      </c>
      <c r="D57" s="1113"/>
      <c r="E57" s="989"/>
      <c r="F57" s="989"/>
      <c r="G57" s="989"/>
      <c r="H57" s="1037"/>
      <c r="I57" s="1151" t="str">
        <f>INDEX(TEMPLATE_NUMBER_POINT_FHD,B57,MATCH(TEMPLATE_SPHERE,TEMPLATE_SPHERE_LIST_FOR_NOTE,0))</f>
        <v>5.1.2</v>
      </c>
      <c r="J57" s="1151" t="str">
        <f>INDEX(TEMPLATE_DATA_POINT_FHD,B57,MATCH(TEMPLATE_SPHERE,TEMPLATE_SPHERE_LIST_FOR_NOTE,0))</f>
        <v>Изменения стоимости основных фондов за счет их вывода в эксплуатацию</v>
      </c>
      <c r="K57" s="1151" t="str">
        <f>INDEX(TEMPLATE_NOTE_POINT_FHD,B57,MATCH(TEMPLATE_SPHERE,TEMPLATE_SPHERE_LIST_FOR_NOTE,0))</f>
        <v>Указываются изменение стоимости основных фондов за счет их вывода из эксплуатации.</v>
      </c>
      <c r="L57" s="990" t="str">
        <f>IF(I57=0,"",I57)</f>
        <v>5.1.2</v>
      </c>
      <c r="M57" s="990" t="str">
        <f>IF(J57=0,"",J57)</f>
        <v>Изменения стоимости основных фондов за счет их вывода в эксплуатацию</v>
      </c>
      <c r="N57" s="990" t="str">
        <f>IF(K57=0,"",K57)</f>
        <v>Указываются изменение стоимости основных фондов за счет их вывода из эксплуатации.</v>
      </c>
      <c r="O57" s="1103" t="s">
        <v>2430</v>
      </c>
      <c r="P57" s="1103" t="s">
        <v>809</v>
      </c>
      <c r="Q57" s="1103" t="s">
        <v>809</v>
      </c>
      <c r="R57" s="1103" t="s">
        <v>809</v>
      </c>
      <c r="S57" s="1103"/>
      <c r="T57" s="99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989" t="s">
        <v>2431</v>
      </c>
      <c r="V57" s="989" t="s">
        <v>2431</v>
      </c>
      <c r="W57" s="989" t="s">
        <v>2431</v>
      </c>
      <c r="X57" s="989"/>
      <c r="Y57" s="1146"/>
      <c r="Z57" s="992" t="s">
        <v>811</v>
      </c>
      <c r="AA57" s="992" t="s">
        <v>811</v>
      </c>
      <c r="AB57" s="992" t="s">
        <v>811</v>
      </c>
      <c r="AC57" s="992" t="s">
        <v>811</v>
      </c>
      <c r="AD57" s="992"/>
    </row>
    <row customHeight="1" ht="18">
      <c r="A58" s="991"/>
      <c r="B58" s="1045">
        <v>41</v>
      </c>
      <c r="C58" s="989">
        <v>2</v>
      </c>
      <c r="D58" s="1113"/>
      <c r="E58" s="989"/>
      <c r="F58" s="989"/>
      <c r="G58" s="989"/>
      <c r="H58" s="1037"/>
      <c r="I58" s="1151" t="str">
        <f>INDEX(TEMPLATE_NUMBER_POINT_FHD,B58,MATCH(TEMPLATE_SPHERE,TEMPLATE_SPHERE_LIST_FOR_NOTE,0))</f>
        <v>5.2</v>
      </c>
      <c r="J58" s="1151" t="str">
        <f>INDEX(TEMPLATE_DATA_POINT_FHD,B58,MATCH(TEMPLATE_SPHERE,TEMPLATE_SPHERE_LIST_FOR_NOTE,0))</f>
        <v>Изменение стоимости основных фондов за счет их переоценки</v>
      </c>
      <c r="K58" s="1151">
        <f>INDEX(TEMPLATE_NOTE_POINT_FHD,B58,MATCH(TEMPLATE_SPHERE,TEMPLATE_SPHERE_LIST_FOR_NOTE,0))</f>
        <v>0</v>
      </c>
      <c r="L58" s="990" t="str">
        <f>IF(I58=0,"",I58)</f>
        <v>5.2</v>
      </c>
      <c r="M58" s="990" t="str">
        <f>IF(J58=0,"",J58)</f>
        <v>Изменение стоимости основных фондов за счет их переоценки</v>
      </c>
      <c r="N58" s="990" t="str">
        <f>IF(K58=0,"",K58)</f>
        <v/>
      </c>
      <c r="O58" s="1103" t="s">
        <v>946</v>
      </c>
      <c r="P58" s="1103" t="s">
        <v>847</v>
      </c>
      <c r="Q58" s="1103" t="s">
        <v>847</v>
      </c>
      <c r="R58" s="1103" t="s">
        <v>847</v>
      </c>
      <c r="S58" s="1103"/>
      <c r="T58" s="99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989" t="s">
        <v>2432</v>
      </c>
      <c r="V58" s="989" t="s">
        <v>2432</v>
      </c>
      <c r="W58" s="989" t="s">
        <v>2432</v>
      </c>
      <c r="X58" s="989"/>
      <c r="Y58" s="1146"/>
      <c r="Z58" s="992"/>
      <c r="AA58" s="995"/>
      <c r="AB58" s="992"/>
      <c r="AC58" s="992"/>
      <c r="AD58" s="992"/>
    </row>
    <row customHeight="1" ht="36">
      <c r="A59" s="991"/>
      <c r="B59" s="1045">
        <v>42</v>
      </c>
      <c r="C59" s="989">
        <v>3</v>
      </c>
      <c r="D59" s="1113" t="s">
        <v>2420</v>
      </c>
      <c r="E59" s="989" t="s">
        <v>2420</v>
      </c>
      <c r="F59" s="989" t="s">
        <v>2420</v>
      </c>
      <c r="G59" s="989"/>
      <c r="H59" s="1037"/>
      <c r="I59" s="1151">
        <f>INDEX(TEMPLATE_NUMBER_POINT_FHD,B59,MATCH(TEMPLATE_SPHERE,TEMPLATE_SPHERE_LIST_FOR_NOTE,0))</f>
        <v>0</v>
      </c>
      <c r="J59" s="1151">
        <f>INDEX(TEMPLATE_DATA_POINT_FHD,B59,MATCH(TEMPLATE_SPHERE,TEMPLATE_SPHERE_LIST_FOR_NOTE,0))</f>
        <v>0</v>
      </c>
      <c r="K59" s="1151">
        <f>INDEX(TEMPLATE_NOTE_POINT_FHD,B59,MATCH(TEMPLATE_SPHERE,TEMPLATE_SPHERE_LIST_FOR_NOTE,0))</f>
        <v>0</v>
      </c>
      <c r="L59" s="990" t="str">
        <f>IF(I59=0,"",I59)</f>
        <v/>
      </c>
      <c r="M59" s="990" t="str">
        <f>IF(J59=0,"",J59)</f>
        <v/>
      </c>
      <c r="N59" s="990" t="str">
        <f>IF(K59=0,"",K59)</f>
        <v/>
      </c>
      <c r="O59" s="1103"/>
      <c r="P59" s="1103" t="s">
        <v>122</v>
      </c>
      <c r="Q59" s="1103" t="s">
        <v>122</v>
      </c>
      <c r="R59" s="1103" t="s">
        <v>122</v>
      </c>
      <c r="S59" s="1103"/>
      <c r="T59" s="989"/>
      <c r="U59" s="989" t="s">
        <v>2433</v>
      </c>
      <c r="V59" s="989" t="s">
        <v>2434</v>
      </c>
      <c r="W59" s="989" t="s">
        <v>2435</v>
      </c>
      <c r="X59" s="989"/>
      <c r="Y59" s="1146"/>
      <c r="Z59" s="992"/>
      <c r="AA59" s="995"/>
      <c r="AB59" s="992"/>
      <c r="AC59" s="992"/>
      <c r="AD59" s="992"/>
    </row>
    <row customHeight="1" ht="81">
      <c r="A60" s="991"/>
      <c r="B60" s="1045">
        <v>43</v>
      </c>
      <c r="C60" s="989" t="s">
        <v>2436</v>
      </c>
      <c r="D60" s="1113" t="s">
        <v>2436</v>
      </c>
      <c r="E60" s="989" t="s">
        <v>2436</v>
      </c>
      <c r="F60" s="989" t="s">
        <v>2436</v>
      </c>
      <c r="G60" s="989"/>
      <c r="H60" s="1037"/>
      <c r="I60" s="1151" t="str">
        <f>INDEX(TEMPLATE_NUMBER_POINT_FHD,B60,MATCH(TEMPLATE_SPHERE,TEMPLATE_SPHERE_LIST_FOR_NOTE,0))</f>
        <v>6</v>
      </c>
      <c r="J60" s="1151" t="str">
        <f>INDEX(TEMPLATE_DATA_POINT_FHD,B60,MATCH(TEMPLATE_SPHERE,TEMPLATE_SPHERE_LIST_FOR_NOTE,0))</f>
        <v>Годовая бухгалтерская (финансовая) отчетность, включая бухгалтерский баланс и приложения к нему</v>
      </c>
      <c r="K60" s="1151"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990" t="str">
        <f>IF(I60=0,"",I60)</f>
        <v>6</v>
      </c>
      <c r="M60" s="990" t="str">
        <f>IF(J60=0,"",J60)</f>
        <v>Годовая бухгалтерская (финансовая) отчетность, включая бухгалтерский баланс и приложения к нему</v>
      </c>
      <c r="N60" s="990"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103" t="s">
        <v>93</v>
      </c>
      <c r="P60" s="1103" t="s">
        <v>93</v>
      </c>
      <c r="Q60" s="1103" t="s">
        <v>93</v>
      </c>
      <c r="R60" s="1103" t="s">
        <v>93</v>
      </c>
      <c r="S60" s="1103"/>
      <c r="T60" s="989" t="s">
        <v>673</v>
      </c>
      <c r="U60" s="989" t="s">
        <v>673</v>
      </c>
      <c r="V60" s="989" t="s">
        <v>673</v>
      </c>
      <c r="W60" s="989" t="s">
        <v>673</v>
      </c>
      <c r="X60" s="989"/>
      <c r="Y60" s="1146"/>
      <c r="Z60" s="992" t="s">
        <v>2437</v>
      </c>
      <c r="AA60" s="995" t="s">
        <v>2438</v>
      </c>
      <c r="AB60" s="992" t="s">
        <v>2439</v>
      </c>
      <c r="AC60" s="992" t="s">
        <v>2438</v>
      </c>
      <c r="AD60" s="992"/>
    </row>
    <row customHeight="1" ht="9">
      <c r="A61" s="991"/>
      <c r="B61" s="1045">
        <v>44</v>
      </c>
      <c r="C61" s="989"/>
      <c r="D61" s="1113" t="s">
        <v>2440</v>
      </c>
      <c r="E61" s="989"/>
      <c r="F61" s="989"/>
      <c r="G61" s="989"/>
      <c r="H61" s="1037"/>
      <c r="I61" s="1151">
        <f>INDEX(TEMPLATE_NUMBER_POINT_FHD,B61,MATCH(TEMPLATE_SPHERE,TEMPLATE_SPHERE_LIST_FOR_NOTE,0))</f>
        <v>0</v>
      </c>
      <c r="J61" s="1151">
        <f>INDEX(TEMPLATE_DATA_POINT_FHD,B61,MATCH(TEMPLATE_SPHERE,TEMPLATE_SPHERE_LIST_FOR_NOTE,0))</f>
        <v>0</v>
      </c>
      <c r="K61" s="1151">
        <f>INDEX(TEMPLATE_NOTE_POINT_FHD,B61,MATCH(TEMPLATE_SPHERE,TEMPLATE_SPHERE_LIST_FOR_NOTE,0))</f>
        <v>0</v>
      </c>
      <c r="L61" s="990" t="str">
        <f>IF(I61=0,"",I61)</f>
        <v/>
      </c>
      <c r="M61" s="990" t="str">
        <f>IF(J61=0,"",J61)</f>
        <v/>
      </c>
      <c r="N61" s="990" t="str">
        <f>IF(K61=0,"",K61)</f>
        <v/>
      </c>
      <c r="O61" s="1103"/>
      <c r="P61" s="1103" t="s">
        <v>94</v>
      </c>
      <c r="Q61" s="1103"/>
      <c r="R61" s="1103"/>
      <c r="S61" s="1103"/>
      <c r="T61" s="989"/>
      <c r="U61" s="989" t="s">
        <v>2441</v>
      </c>
      <c r="V61" s="989"/>
      <c r="W61" s="989"/>
      <c r="X61" s="989"/>
      <c r="Y61" s="1146"/>
      <c r="Z61" s="992"/>
      <c r="AA61" s="995"/>
      <c r="AB61" s="992"/>
      <c r="AC61" s="992"/>
      <c r="AD61" s="992"/>
    </row>
    <row customHeight="1" ht="9">
      <c r="A62" s="991"/>
      <c r="B62" s="1045">
        <v>45</v>
      </c>
      <c r="C62" s="989"/>
      <c r="D62" s="1113" t="s">
        <v>2442</v>
      </c>
      <c r="E62" s="989"/>
      <c r="F62" s="989"/>
      <c r="G62" s="989"/>
      <c r="H62" s="1037"/>
      <c r="I62" s="1151">
        <f>INDEX(TEMPLATE_NUMBER_POINT_FHD,B62,MATCH(TEMPLATE_SPHERE,TEMPLATE_SPHERE_LIST_FOR_NOTE,0))</f>
        <v>0</v>
      </c>
      <c r="J62" s="1151">
        <f>INDEX(TEMPLATE_DATA_POINT_FHD,B62,MATCH(TEMPLATE_SPHERE,TEMPLATE_SPHERE_LIST_FOR_NOTE,0))</f>
        <v>0</v>
      </c>
      <c r="K62" s="1151">
        <f>INDEX(TEMPLATE_NOTE_POINT_FHD,B62,MATCH(TEMPLATE_SPHERE,TEMPLATE_SPHERE_LIST_FOR_NOTE,0))</f>
        <v>0</v>
      </c>
      <c r="L62" s="990" t="str">
        <f>IF(I62=0,"",I62)</f>
        <v/>
      </c>
      <c r="M62" s="990" t="str">
        <f>IF(J62=0,"",J62)</f>
        <v/>
      </c>
      <c r="N62" s="990" t="str">
        <f>IF(K62=0,"",K62)</f>
        <v/>
      </c>
      <c r="O62" s="1103"/>
      <c r="P62" s="1103" t="s">
        <v>123</v>
      </c>
      <c r="Q62" s="1103"/>
      <c r="R62" s="1103"/>
      <c r="S62" s="1103"/>
      <c r="T62" s="989"/>
      <c r="U62" s="989" t="s">
        <v>2443</v>
      </c>
      <c r="V62" s="989"/>
      <c r="W62" s="989"/>
      <c r="X62" s="989"/>
      <c r="Y62" s="1146"/>
      <c r="Z62" s="992"/>
      <c r="AA62" s="995"/>
      <c r="AB62" s="992"/>
      <c r="AC62" s="992"/>
      <c r="AD62" s="992"/>
    </row>
    <row customHeight="1" ht="18">
      <c r="A63" s="991"/>
      <c r="B63" s="1045">
        <v>46</v>
      </c>
      <c r="C63" s="989"/>
      <c r="D63" s="1113" t="s">
        <v>2444</v>
      </c>
      <c r="E63" s="989"/>
      <c r="F63" s="989"/>
      <c r="G63" s="989"/>
      <c r="H63" s="1037"/>
      <c r="I63" s="1151">
        <f>INDEX(TEMPLATE_NUMBER_POINT_FHD,B63,MATCH(TEMPLATE_SPHERE,TEMPLATE_SPHERE_LIST_FOR_NOTE,0))</f>
        <v>0</v>
      </c>
      <c r="J63" s="1151">
        <f>INDEX(TEMPLATE_DATA_POINT_FHD,B63,MATCH(TEMPLATE_SPHERE,TEMPLATE_SPHERE_LIST_FOR_NOTE,0))</f>
        <v>0</v>
      </c>
      <c r="K63" s="1151">
        <f>INDEX(TEMPLATE_NOTE_POINT_FHD,B63,MATCH(TEMPLATE_SPHERE,TEMPLATE_SPHERE_LIST_FOR_NOTE,0))</f>
        <v>0</v>
      </c>
      <c r="L63" s="990" t="str">
        <f>IF(I63=0,"",I63)</f>
        <v/>
      </c>
      <c r="M63" s="990" t="str">
        <f>IF(J63=0,"",J63)</f>
        <v/>
      </c>
      <c r="N63" s="990" t="str">
        <f>IF(K63=0,"",K63)</f>
        <v/>
      </c>
      <c r="O63" s="1103"/>
      <c r="P63" s="1103" t="s">
        <v>172</v>
      </c>
      <c r="Q63" s="1103"/>
      <c r="R63" s="1103"/>
      <c r="S63" s="1103"/>
      <c r="T63" s="989"/>
      <c r="U63" s="989" t="s">
        <v>2445</v>
      </c>
      <c r="V63" s="989"/>
      <c r="W63" s="989"/>
      <c r="X63" s="989"/>
      <c r="Y63" s="1146"/>
      <c r="Z63" s="992"/>
      <c r="AA63" s="995"/>
      <c r="AB63" s="992"/>
      <c r="AC63" s="992"/>
      <c r="AD63" s="992"/>
    </row>
    <row customHeight="1" ht="18">
      <c r="A64" s="991"/>
      <c r="B64" s="1045">
        <v>47</v>
      </c>
      <c r="C64" s="989"/>
      <c r="D64" s="1113" t="s">
        <v>2446</v>
      </c>
      <c r="E64" s="989"/>
      <c r="F64" s="989"/>
      <c r="G64" s="989"/>
      <c r="H64" s="1037"/>
      <c r="I64" s="1151">
        <f>INDEX(TEMPLATE_NUMBER_POINT_FHD,B64,MATCH(TEMPLATE_SPHERE,TEMPLATE_SPHERE_LIST_FOR_NOTE,0))</f>
        <v>0</v>
      </c>
      <c r="J64" s="1151">
        <f>INDEX(TEMPLATE_DATA_POINT_FHD,B64,MATCH(TEMPLATE_SPHERE,TEMPLATE_SPHERE_LIST_FOR_NOTE,0))</f>
        <v>0</v>
      </c>
      <c r="K64" s="1151">
        <f>INDEX(TEMPLATE_NOTE_POINT_FHD,B64,MATCH(TEMPLATE_SPHERE,TEMPLATE_SPHERE_LIST_FOR_NOTE,0))</f>
        <v>0</v>
      </c>
      <c r="L64" s="990" t="str">
        <f>IF(I64=0,"",I64)</f>
        <v/>
      </c>
      <c r="M64" s="990" t="str">
        <f>IF(J64=0,"",J64)</f>
        <v/>
      </c>
      <c r="N64" s="990" t="str">
        <f>IF(K64=0,"",K64)</f>
        <v/>
      </c>
      <c r="O64" s="1103"/>
      <c r="P64" s="1103" t="s">
        <v>173</v>
      </c>
      <c r="Q64" s="1103"/>
      <c r="R64" s="1103"/>
      <c r="S64" s="1103"/>
      <c r="T64" s="989"/>
      <c r="U64" s="989" t="s">
        <v>2447</v>
      </c>
      <c r="V64" s="989"/>
      <c r="W64" s="989"/>
      <c r="X64" s="989"/>
      <c r="Y64" s="1146"/>
      <c r="Z64" s="992"/>
      <c r="AA64" s="995" t="s">
        <v>2448</v>
      </c>
      <c r="AB64" s="992"/>
      <c r="AC64" s="992"/>
      <c r="AD64" s="992"/>
    </row>
    <row customHeight="1" ht="18">
      <c r="A65" s="991"/>
      <c r="B65" s="1045">
        <v>48</v>
      </c>
      <c r="C65" s="989"/>
      <c r="D65" s="1113"/>
      <c r="E65" s="989"/>
      <c r="F65" s="989"/>
      <c r="G65" s="989"/>
      <c r="H65" s="1037"/>
      <c r="I65" s="1151">
        <f>INDEX(TEMPLATE_NUMBER_POINT_FHD,B65,MATCH(TEMPLATE_SPHERE,TEMPLATE_SPHERE_LIST_FOR_NOTE,0))</f>
        <v>0</v>
      </c>
      <c r="J65" s="1151">
        <f>INDEX(TEMPLATE_DATA_POINT_FHD,B65,MATCH(TEMPLATE_SPHERE,TEMPLATE_SPHERE_LIST_FOR_NOTE,0))</f>
        <v>0</v>
      </c>
      <c r="K65" s="1151">
        <f>INDEX(TEMPLATE_NOTE_POINT_FHD,B65,MATCH(TEMPLATE_SPHERE,TEMPLATE_SPHERE_LIST_FOR_NOTE,0))</f>
        <v>0</v>
      </c>
      <c r="L65" s="990" t="str">
        <f>IF(I65=0,"",I65)</f>
        <v/>
      </c>
      <c r="M65" s="990" t="str">
        <f>IF(J65=0,"",J65)</f>
        <v/>
      </c>
      <c r="N65" s="990" t="str">
        <f>IF(K65=0,"",K65)</f>
        <v/>
      </c>
      <c r="O65" s="1103"/>
      <c r="P65" s="1103" t="s">
        <v>2364</v>
      </c>
      <c r="Q65" s="1103"/>
      <c r="R65" s="1103"/>
      <c r="S65" s="1103"/>
      <c r="T65" s="989"/>
      <c r="U65" s="989" t="s">
        <v>2449</v>
      </c>
      <c r="V65" s="989"/>
      <c r="W65" s="989"/>
      <c r="X65" s="989"/>
      <c r="Y65" s="1146"/>
      <c r="Z65" s="992"/>
      <c r="AA65" s="995"/>
      <c r="AB65" s="992"/>
      <c r="AC65" s="992"/>
      <c r="AD65" s="992"/>
    </row>
    <row customHeight="1" ht="18">
      <c r="A66" s="991"/>
      <c r="B66" s="1045">
        <v>49</v>
      </c>
      <c r="C66" s="989"/>
      <c r="D66" s="1113"/>
      <c r="E66" s="989"/>
      <c r="F66" s="989"/>
      <c r="G66" s="989"/>
      <c r="H66" s="1037"/>
      <c r="I66" s="1151">
        <f>INDEX(TEMPLATE_NUMBER_POINT_FHD,B66,MATCH(TEMPLATE_SPHERE,TEMPLATE_SPHERE_LIST_FOR_NOTE,0))</f>
        <v>0</v>
      </c>
      <c r="J66" s="1151">
        <f>INDEX(TEMPLATE_DATA_POINT_FHD,B66,MATCH(TEMPLATE_SPHERE,TEMPLATE_SPHERE_LIST_FOR_NOTE,0))</f>
        <v>0</v>
      </c>
      <c r="K66" s="1151">
        <f>INDEX(TEMPLATE_NOTE_POINT_FHD,B66,MATCH(TEMPLATE_SPHERE,TEMPLATE_SPHERE_LIST_FOR_NOTE,0))</f>
        <v>0</v>
      </c>
      <c r="L66" s="990" t="str">
        <f>IF(I66=0,"",I66)</f>
        <v/>
      </c>
      <c r="M66" s="990" t="str">
        <f>IF(J66=0,"",J66)</f>
        <v/>
      </c>
      <c r="N66" s="990" t="str">
        <f>IF(K66=0,"",K66)</f>
        <v/>
      </c>
      <c r="O66" s="1103"/>
      <c r="P66" s="1103" t="s">
        <v>2368</v>
      </c>
      <c r="Q66" s="1103"/>
      <c r="R66" s="1103"/>
      <c r="S66" s="1103"/>
      <c r="T66" s="989"/>
      <c r="U66" s="989" t="s">
        <v>2450</v>
      </c>
      <c r="V66" s="989"/>
      <c r="W66" s="989"/>
      <c r="X66" s="989"/>
      <c r="Y66" s="1146"/>
      <c r="Z66" s="992"/>
      <c r="AA66" s="995"/>
      <c r="AB66" s="992"/>
      <c r="AC66" s="992"/>
      <c r="AD66" s="992"/>
    </row>
    <row customHeight="1" ht="27">
      <c r="A67" s="991"/>
      <c r="B67" s="1045">
        <v>50</v>
      </c>
      <c r="C67" s="989"/>
      <c r="D67" s="1113"/>
      <c r="E67" s="989"/>
      <c r="F67" s="989"/>
      <c r="G67" s="989"/>
      <c r="H67" s="1037"/>
      <c r="I67" s="1151">
        <f>INDEX(TEMPLATE_NUMBER_POINT_FHD,B67,MATCH(TEMPLATE_SPHERE,TEMPLATE_SPHERE_LIST_FOR_NOTE,0))</f>
        <v>0</v>
      </c>
      <c r="J67" s="1151">
        <f>INDEX(TEMPLATE_DATA_POINT_FHD,B67,MATCH(TEMPLATE_SPHERE,TEMPLATE_SPHERE_LIST_FOR_NOTE,0))</f>
        <v>0</v>
      </c>
      <c r="K67" s="1151">
        <f>INDEX(TEMPLATE_NOTE_POINT_FHD,B67,MATCH(TEMPLATE_SPHERE,TEMPLATE_SPHERE_LIST_FOR_NOTE,0))</f>
        <v>0</v>
      </c>
      <c r="L67" s="990" t="str">
        <f>IF(I67=0,"",I67)</f>
        <v/>
      </c>
      <c r="M67" s="990" t="str">
        <f>IF(J67=0,"",J67)</f>
        <v/>
      </c>
      <c r="N67" s="990" t="str">
        <f>IF(K67=0,"",K67)</f>
        <v/>
      </c>
      <c r="O67" s="1103"/>
      <c r="P67" s="1103" t="s">
        <v>2451</v>
      </c>
      <c r="Q67" s="1103"/>
      <c r="R67" s="1103"/>
      <c r="S67" s="1103"/>
      <c r="T67" s="989"/>
      <c r="U67" s="989" t="s">
        <v>2452</v>
      </c>
      <c r="V67" s="989"/>
      <c r="W67" s="989"/>
      <c r="X67" s="989"/>
      <c r="Y67" s="1146"/>
      <c r="Z67" s="992"/>
      <c r="AA67" s="995"/>
      <c r="AB67" s="992"/>
      <c r="AC67" s="992"/>
      <c r="AD67" s="992"/>
    </row>
    <row customHeight="1" ht="27">
      <c r="A68" s="991"/>
      <c r="B68" s="1045">
        <v>51</v>
      </c>
      <c r="C68" s="989"/>
      <c r="D68" s="1113"/>
      <c r="E68" s="989"/>
      <c r="F68" s="989"/>
      <c r="G68" s="989"/>
      <c r="H68" s="1037"/>
      <c r="I68" s="1151">
        <f>INDEX(TEMPLATE_NUMBER_POINT_FHD,B68,MATCH(TEMPLATE_SPHERE,TEMPLATE_SPHERE_LIST_FOR_NOTE,0))</f>
        <v>0</v>
      </c>
      <c r="J68" s="1151">
        <f>INDEX(TEMPLATE_DATA_POINT_FHD,B68,MATCH(TEMPLATE_SPHERE,TEMPLATE_SPHERE_LIST_FOR_NOTE,0))</f>
        <v>0</v>
      </c>
      <c r="K68" s="1151">
        <f>INDEX(TEMPLATE_NOTE_POINT_FHD,B68,MATCH(TEMPLATE_SPHERE,TEMPLATE_SPHERE_LIST_FOR_NOTE,0))</f>
        <v>0</v>
      </c>
      <c r="L68" s="990" t="str">
        <f>IF(I68=0,"",I68)</f>
        <v/>
      </c>
      <c r="M68" s="990" t="str">
        <f>IF(J68=0,"",J68)</f>
        <v/>
      </c>
      <c r="N68" s="990" t="str">
        <f>IF(K68=0,"",K68)</f>
        <v/>
      </c>
      <c r="O68" s="1103"/>
      <c r="P68" s="1103" t="s">
        <v>2453</v>
      </c>
      <c r="Q68" s="1103"/>
      <c r="R68" s="1103"/>
      <c r="S68" s="1103"/>
      <c r="T68" s="989"/>
      <c r="U68" s="989" t="s">
        <v>2454</v>
      </c>
      <c r="V68" s="989"/>
      <c r="W68" s="989"/>
      <c r="X68" s="989"/>
      <c r="Y68" s="1146"/>
      <c r="Z68" s="992"/>
      <c r="AA68" s="995"/>
      <c r="AB68" s="992"/>
      <c r="AC68" s="992"/>
      <c r="AD68" s="992"/>
    </row>
    <row customHeight="1" ht="9">
      <c r="A69" s="991"/>
      <c r="B69" s="1045">
        <v>52</v>
      </c>
      <c r="C69" s="989"/>
      <c r="D69" s="1113" t="s">
        <v>2455</v>
      </c>
      <c r="E69" s="989"/>
      <c r="F69" s="989"/>
      <c r="G69" s="989"/>
      <c r="H69" s="1037"/>
      <c r="I69" s="1151">
        <f>INDEX(TEMPLATE_NUMBER_POINT_FHD,B69,MATCH(TEMPLATE_SPHERE,TEMPLATE_SPHERE_LIST_FOR_NOTE,0))</f>
        <v>0</v>
      </c>
      <c r="J69" s="1151">
        <f>INDEX(TEMPLATE_DATA_POINT_FHD,B69,MATCH(TEMPLATE_SPHERE,TEMPLATE_SPHERE_LIST_FOR_NOTE,0))</f>
        <v>0</v>
      </c>
      <c r="K69" s="1151">
        <f>INDEX(TEMPLATE_NOTE_POINT_FHD,B69,MATCH(TEMPLATE_SPHERE,TEMPLATE_SPHERE_LIST_FOR_NOTE,0))</f>
        <v>0</v>
      </c>
      <c r="L69" s="990" t="str">
        <f>IF(I69=0,"",I69)</f>
        <v/>
      </c>
      <c r="M69" s="990" t="str">
        <f>IF(J69=0,"",J69)</f>
        <v/>
      </c>
      <c r="N69" s="990" t="str">
        <f>IF(K69=0,"",K69)</f>
        <v/>
      </c>
      <c r="O69" s="1103"/>
      <c r="P69" s="1103" t="s">
        <v>174</v>
      </c>
      <c r="Q69" s="1103"/>
      <c r="R69" s="1103"/>
      <c r="S69" s="1103"/>
      <c r="T69" s="989"/>
      <c r="U69" s="989" t="s">
        <v>2456</v>
      </c>
      <c r="V69" s="989"/>
      <c r="W69" s="989"/>
      <c r="X69" s="989"/>
      <c r="Y69" s="1146"/>
      <c r="Z69" s="992"/>
      <c r="AA69" s="995"/>
      <c r="AB69" s="992"/>
      <c r="AC69" s="992"/>
      <c r="AD69" s="992"/>
    </row>
    <row customHeight="1" ht="27">
      <c r="A70" s="991"/>
      <c r="B70" s="1045">
        <v>53</v>
      </c>
      <c r="C70" s="989"/>
      <c r="D70" s="1113"/>
      <c r="E70" s="989" t="s">
        <v>2440</v>
      </c>
      <c r="F70" s="989"/>
      <c r="G70" s="989"/>
      <c r="H70" s="1037"/>
      <c r="I70" s="1151">
        <f>INDEX(TEMPLATE_NUMBER_POINT_FHD,B70,MATCH(TEMPLATE_SPHERE,TEMPLATE_SPHERE_LIST_FOR_NOTE,0))</f>
        <v>0</v>
      </c>
      <c r="J70" s="1151">
        <f>INDEX(TEMPLATE_DATA_POINT_FHD,B70,MATCH(TEMPLATE_SPHERE,TEMPLATE_SPHERE_LIST_FOR_NOTE,0))</f>
        <v>0</v>
      </c>
      <c r="K70" s="1151">
        <f>INDEX(TEMPLATE_NOTE_POINT_FHD,B70,MATCH(TEMPLATE_SPHERE,TEMPLATE_SPHERE_LIST_FOR_NOTE,0))</f>
        <v>0</v>
      </c>
      <c r="L70" s="990" t="str">
        <f>IF(I70=0,"",I70)</f>
        <v/>
      </c>
      <c r="M70" s="990" t="str">
        <f>IF(J70=0,"",J70)</f>
        <v/>
      </c>
      <c r="N70" s="990" t="str">
        <f>IF(K70=0,"",K70)</f>
        <v/>
      </c>
      <c r="O70" s="1103"/>
      <c r="P70" s="1103"/>
      <c r="Q70" s="1103" t="s">
        <v>94</v>
      </c>
      <c r="R70" s="1103"/>
      <c r="S70" s="1103"/>
      <c r="T70" s="989"/>
      <c r="U70" s="989"/>
      <c r="V70" s="989" t="s">
        <v>2457</v>
      </c>
      <c r="W70" s="989"/>
      <c r="X70" s="989"/>
      <c r="Y70" s="1146"/>
      <c r="Z70" s="992"/>
      <c r="AA70" s="995"/>
      <c r="AB70" s="992"/>
      <c r="AC70" s="992"/>
      <c r="AD70" s="992"/>
    </row>
    <row customHeight="1" ht="36">
      <c r="A71" s="991"/>
      <c r="B71" s="1045">
        <v>54</v>
      </c>
      <c r="C71" s="989"/>
      <c r="D71" s="1113"/>
      <c r="E71" s="989" t="s">
        <v>2442</v>
      </c>
      <c r="F71" s="989"/>
      <c r="G71" s="989"/>
      <c r="H71" s="1037"/>
      <c r="I71" s="1151">
        <f>INDEX(TEMPLATE_NUMBER_POINT_FHD,B71,MATCH(TEMPLATE_SPHERE,TEMPLATE_SPHERE_LIST_FOR_NOTE,0))</f>
        <v>0</v>
      </c>
      <c r="J71" s="1151">
        <f>INDEX(TEMPLATE_DATA_POINT_FHD,B71,MATCH(TEMPLATE_SPHERE,TEMPLATE_SPHERE_LIST_FOR_NOTE,0))</f>
        <v>0</v>
      </c>
      <c r="K71" s="1151">
        <f>INDEX(TEMPLATE_NOTE_POINT_FHD,B71,MATCH(TEMPLATE_SPHERE,TEMPLATE_SPHERE_LIST_FOR_NOTE,0))</f>
        <v>0</v>
      </c>
      <c r="L71" s="990" t="str">
        <f>IF(I71=0,"",I71)</f>
        <v/>
      </c>
      <c r="M71" s="990" t="str">
        <f>IF(J71=0,"",J71)</f>
        <v/>
      </c>
      <c r="N71" s="990" t="str">
        <f>IF(K71=0,"",K71)</f>
        <v/>
      </c>
      <c r="O71" s="1103"/>
      <c r="P71" s="1103"/>
      <c r="Q71" s="1103" t="s">
        <v>123</v>
      </c>
      <c r="R71" s="1103"/>
      <c r="S71" s="1103"/>
      <c r="T71" s="989"/>
      <c r="U71" s="989"/>
      <c r="V71" s="989" t="s">
        <v>2458</v>
      </c>
      <c r="W71" s="989"/>
      <c r="X71" s="989"/>
      <c r="Y71" s="1146"/>
      <c r="Z71" s="992"/>
      <c r="AA71" s="995"/>
      <c r="AB71" s="992"/>
      <c r="AC71" s="992"/>
      <c r="AD71" s="992"/>
    </row>
    <row customHeight="1" ht="27">
      <c r="A72" s="991"/>
      <c r="B72" s="1045">
        <v>55</v>
      </c>
      <c r="C72" s="989"/>
      <c r="D72" s="1113"/>
      <c r="E72" s="989" t="s">
        <v>2444</v>
      </c>
      <c r="F72" s="989"/>
      <c r="G72" s="989"/>
      <c r="H72" s="1037"/>
      <c r="I72" s="1151">
        <f>INDEX(TEMPLATE_NUMBER_POINT_FHD,B72,MATCH(TEMPLATE_SPHERE,TEMPLATE_SPHERE_LIST_FOR_NOTE,0))</f>
        <v>0</v>
      </c>
      <c r="J72" s="1151">
        <f>INDEX(TEMPLATE_DATA_POINT_FHD,B72,MATCH(TEMPLATE_SPHERE,TEMPLATE_SPHERE_LIST_FOR_NOTE,0))</f>
        <v>0</v>
      </c>
      <c r="K72" s="1151">
        <f>INDEX(TEMPLATE_NOTE_POINT_FHD,B72,MATCH(TEMPLATE_SPHERE,TEMPLATE_SPHERE_LIST_FOR_NOTE,0))</f>
        <v>0</v>
      </c>
      <c r="L72" s="990" t="str">
        <f>IF(I72=0,"",I72)</f>
        <v/>
      </c>
      <c r="M72" s="990" t="str">
        <f>IF(J72=0,"",J72)</f>
        <v/>
      </c>
      <c r="N72" s="990" t="str">
        <f>IF(K72=0,"",K72)</f>
        <v/>
      </c>
      <c r="O72" s="1103"/>
      <c r="P72" s="1103"/>
      <c r="Q72" s="1103" t="s">
        <v>172</v>
      </c>
      <c r="R72" s="1103"/>
      <c r="S72" s="1103"/>
      <c r="T72" s="989"/>
      <c r="U72" s="989"/>
      <c r="V72" s="989" t="s">
        <v>2459</v>
      </c>
      <c r="W72" s="989"/>
      <c r="X72" s="989"/>
      <c r="Y72" s="1146"/>
      <c r="Z72" s="992"/>
      <c r="AA72" s="995"/>
      <c r="AB72" s="992"/>
      <c r="AC72" s="992"/>
      <c r="AD72" s="992"/>
    </row>
    <row customHeight="1" ht="36">
      <c r="A73" s="991"/>
      <c r="B73" s="1045">
        <v>56</v>
      </c>
      <c r="C73" s="989"/>
      <c r="D73" s="1113"/>
      <c r="E73" s="989" t="s">
        <v>2446</v>
      </c>
      <c r="F73" s="989"/>
      <c r="G73" s="989"/>
      <c r="H73" s="1037"/>
      <c r="I73" s="1151">
        <f>INDEX(TEMPLATE_NUMBER_POINT_FHD,B73,MATCH(TEMPLATE_SPHERE,TEMPLATE_SPHERE_LIST_FOR_NOTE,0))</f>
        <v>0</v>
      </c>
      <c r="J73" s="1151">
        <f>INDEX(TEMPLATE_DATA_POINT_FHD,B73,MATCH(TEMPLATE_SPHERE,TEMPLATE_SPHERE_LIST_FOR_NOTE,0))</f>
        <v>0</v>
      </c>
      <c r="K73" s="1151">
        <f>INDEX(TEMPLATE_NOTE_POINT_FHD,B73,MATCH(TEMPLATE_SPHERE,TEMPLATE_SPHERE_LIST_FOR_NOTE,0))</f>
        <v>0</v>
      </c>
      <c r="L73" s="990" t="str">
        <f>IF(I73=0,"",I73)</f>
        <v/>
      </c>
      <c r="M73" s="990" t="str">
        <f>IF(J73=0,"",J73)</f>
        <v/>
      </c>
      <c r="N73" s="990" t="str">
        <f>IF(K73=0,"",K73)</f>
        <v/>
      </c>
      <c r="O73" s="1103"/>
      <c r="P73" s="1103"/>
      <c r="Q73" s="1103" t="s">
        <v>173</v>
      </c>
      <c r="R73" s="1103"/>
      <c r="S73" s="1103"/>
      <c r="T73" s="989"/>
      <c r="U73" s="989"/>
      <c r="V73" s="989" t="s">
        <v>2460</v>
      </c>
      <c r="W73" s="989"/>
      <c r="X73" s="989"/>
      <c r="Y73" s="1146"/>
      <c r="Z73" s="992"/>
      <c r="AA73" s="995"/>
      <c r="AB73" s="992"/>
      <c r="AC73" s="992"/>
      <c r="AD73" s="992"/>
    </row>
    <row customHeight="1" ht="18">
      <c r="A74" s="991"/>
      <c r="B74" s="1045">
        <v>57</v>
      </c>
      <c r="C74" s="989"/>
      <c r="D74" s="1113"/>
      <c r="E74" s="989" t="s">
        <v>2455</v>
      </c>
      <c r="F74" s="989"/>
      <c r="G74" s="989"/>
      <c r="H74" s="1037"/>
      <c r="I74" s="1151">
        <f>INDEX(TEMPLATE_NUMBER_POINT_FHD,B74,MATCH(TEMPLATE_SPHERE,TEMPLATE_SPHERE_LIST_FOR_NOTE,0))</f>
        <v>0</v>
      </c>
      <c r="J74" s="1151">
        <f>INDEX(TEMPLATE_DATA_POINT_FHD,B74,MATCH(TEMPLATE_SPHERE,TEMPLATE_SPHERE_LIST_FOR_NOTE,0))</f>
        <v>0</v>
      </c>
      <c r="K74" s="1151">
        <f>INDEX(TEMPLATE_NOTE_POINT_FHD,B74,MATCH(TEMPLATE_SPHERE,TEMPLATE_SPHERE_LIST_FOR_NOTE,0))</f>
        <v>0</v>
      </c>
      <c r="L74" s="990" t="str">
        <f>IF(I74=0,"",I74)</f>
        <v/>
      </c>
      <c r="M74" s="990" t="str">
        <f>IF(J74=0,"",J74)</f>
        <v/>
      </c>
      <c r="N74" s="990" t="str">
        <f>IF(K74=0,"",K74)</f>
        <v/>
      </c>
      <c r="O74" s="1103"/>
      <c r="P74" s="1103"/>
      <c r="Q74" s="1103" t="s">
        <v>174</v>
      </c>
      <c r="R74" s="1103"/>
      <c r="S74" s="1103"/>
      <c r="T74" s="989"/>
      <c r="U74" s="989"/>
      <c r="V74" s="989" t="s">
        <v>2461</v>
      </c>
      <c r="W74" s="989"/>
      <c r="X74" s="989"/>
      <c r="Y74" s="1146"/>
      <c r="Z74" s="992"/>
      <c r="AA74" s="995"/>
      <c r="AB74" s="992"/>
      <c r="AC74" s="992"/>
      <c r="AD74" s="992"/>
    </row>
    <row customHeight="1" ht="18">
      <c r="A75" s="991"/>
      <c r="B75" s="1045">
        <v>58</v>
      </c>
      <c r="C75" s="989"/>
      <c r="D75" s="1113"/>
      <c r="E75" s="989"/>
      <c r="F75" s="989" t="s">
        <v>2440</v>
      </c>
      <c r="G75" s="989"/>
      <c r="H75" s="1037"/>
      <c r="I75" s="1151">
        <f>INDEX(TEMPLATE_NUMBER_POINT_FHD,B75,MATCH(TEMPLATE_SPHERE,TEMPLATE_SPHERE_LIST_FOR_NOTE,0))</f>
        <v>0</v>
      </c>
      <c r="J75" s="1151">
        <f>INDEX(TEMPLATE_DATA_POINT_FHD,B75,MATCH(TEMPLATE_SPHERE,TEMPLATE_SPHERE_LIST_FOR_NOTE,0))</f>
        <v>0</v>
      </c>
      <c r="K75" s="1151">
        <f>INDEX(TEMPLATE_NOTE_POINT_FHD,B75,MATCH(TEMPLATE_SPHERE,TEMPLATE_SPHERE_LIST_FOR_NOTE,0))</f>
        <v>0</v>
      </c>
      <c r="L75" s="990" t="str">
        <f>IF(I75=0,"",I75)</f>
        <v/>
      </c>
      <c r="M75" s="990" t="str">
        <f>IF(J75=0,"",J75)</f>
        <v/>
      </c>
      <c r="N75" s="990" t="str">
        <f>IF(K75=0,"",K75)</f>
        <v/>
      </c>
      <c r="O75" s="1103"/>
      <c r="P75" s="1103"/>
      <c r="Q75" s="1103"/>
      <c r="R75" s="1103" t="s">
        <v>94</v>
      </c>
      <c r="S75" s="1103"/>
      <c r="T75" s="989"/>
      <c r="U75" s="989"/>
      <c r="V75" s="989"/>
      <c r="W75" s="989" t="s">
        <v>2462</v>
      </c>
      <c r="X75" s="989"/>
      <c r="Y75" s="1146"/>
      <c r="Z75" s="992"/>
      <c r="AA75" s="995"/>
      <c r="AB75" s="992"/>
      <c r="AC75" s="992"/>
      <c r="AD75" s="992"/>
    </row>
    <row customHeight="1" ht="36">
      <c r="A76" s="991"/>
      <c r="B76" s="1045">
        <v>59</v>
      </c>
      <c r="C76" s="989"/>
      <c r="D76" s="1113"/>
      <c r="E76" s="989"/>
      <c r="F76" s="989" t="s">
        <v>2442</v>
      </c>
      <c r="G76" s="989"/>
      <c r="H76" s="1037"/>
      <c r="I76" s="1151">
        <f>INDEX(TEMPLATE_NUMBER_POINT_FHD,B76,MATCH(TEMPLATE_SPHERE,TEMPLATE_SPHERE_LIST_FOR_NOTE,0))</f>
        <v>0</v>
      </c>
      <c r="J76" s="1151">
        <f>INDEX(TEMPLATE_DATA_POINT_FHD,B76,MATCH(TEMPLATE_SPHERE,TEMPLATE_SPHERE_LIST_FOR_NOTE,0))</f>
        <v>0</v>
      </c>
      <c r="K76" s="1151">
        <f>INDEX(TEMPLATE_NOTE_POINT_FHD,B76,MATCH(TEMPLATE_SPHERE,TEMPLATE_SPHERE_LIST_FOR_NOTE,0))</f>
        <v>0</v>
      </c>
      <c r="L76" s="990" t="str">
        <f>IF(I76=0,"",I76)</f>
        <v/>
      </c>
      <c r="M76" s="990" t="str">
        <f>IF(J76=0,"",J76)</f>
        <v/>
      </c>
      <c r="N76" s="990" t="str">
        <f>IF(K76=0,"",K76)</f>
        <v/>
      </c>
      <c r="O76" s="1103"/>
      <c r="P76" s="1103"/>
      <c r="Q76" s="1103"/>
      <c r="R76" s="1103" t="s">
        <v>123</v>
      </c>
      <c r="S76" s="1103"/>
      <c r="T76" s="989"/>
      <c r="U76" s="989"/>
      <c r="V76" s="989"/>
      <c r="W76" s="989" t="s">
        <v>2463</v>
      </c>
      <c r="X76" s="989"/>
      <c r="Y76" s="1146"/>
      <c r="Z76" s="992"/>
      <c r="AA76" s="995"/>
      <c r="AB76" s="992"/>
      <c r="AC76" s="992"/>
      <c r="AD76" s="992"/>
    </row>
    <row customHeight="1" ht="18">
      <c r="A77" s="991"/>
      <c r="B77" s="1045">
        <v>60</v>
      </c>
      <c r="C77" s="989"/>
      <c r="D77" s="1113"/>
      <c r="E77" s="989"/>
      <c r="F77" s="989" t="s">
        <v>2444</v>
      </c>
      <c r="G77" s="989"/>
      <c r="H77" s="1037"/>
      <c r="I77" s="1151">
        <f>INDEX(TEMPLATE_NUMBER_POINT_FHD,B77,MATCH(TEMPLATE_SPHERE,TEMPLATE_SPHERE_LIST_FOR_NOTE,0))</f>
        <v>0</v>
      </c>
      <c r="J77" s="1151">
        <f>INDEX(TEMPLATE_DATA_POINT_FHD,B77,MATCH(TEMPLATE_SPHERE,TEMPLATE_SPHERE_LIST_FOR_NOTE,0))</f>
        <v>0</v>
      </c>
      <c r="K77" s="1151">
        <f>INDEX(TEMPLATE_NOTE_POINT_FHD,B77,MATCH(TEMPLATE_SPHERE,TEMPLATE_SPHERE_LIST_FOR_NOTE,0))</f>
        <v>0</v>
      </c>
      <c r="L77" s="990" t="str">
        <f>IF(I77=0,"",I77)</f>
        <v/>
      </c>
      <c r="M77" s="990" t="str">
        <f>IF(J77=0,"",J77)</f>
        <v/>
      </c>
      <c r="N77" s="990" t="str">
        <f>IF(K77=0,"",K77)</f>
        <v/>
      </c>
      <c r="O77" s="1103"/>
      <c r="P77" s="1103"/>
      <c r="Q77" s="1103"/>
      <c r="R77" s="1103" t="s">
        <v>172</v>
      </c>
      <c r="S77" s="1103"/>
      <c r="T77" s="989"/>
      <c r="U77" s="989"/>
      <c r="V77" s="989"/>
      <c r="W77" s="989" t="s">
        <v>2464</v>
      </c>
      <c r="X77" s="989"/>
      <c r="Y77" s="1146"/>
      <c r="Z77" s="992"/>
      <c r="AA77" s="995"/>
      <c r="AB77" s="992"/>
      <c r="AC77" s="992"/>
      <c r="AD77" s="992"/>
    </row>
    <row customHeight="1" ht="72">
      <c r="A78" s="991"/>
      <c r="B78" s="1045">
        <v>61</v>
      </c>
      <c r="C78" s="989" t="s">
        <v>2440</v>
      </c>
      <c r="D78" s="1113"/>
      <c r="E78" s="989"/>
      <c r="F78" s="989"/>
      <c r="G78" s="989"/>
      <c r="H78" s="1037"/>
      <c r="I78" s="1151" t="str">
        <f>INDEX(TEMPLATE_NUMBER_POINT_FHD,B78,MATCH(TEMPLATE_SPHERE,TEMPLATE_SPHERE_LIST_FOR_NOTE,0))</f>
        <v>7</v>
      </c>
      <c r="J78" s="1151"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151"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990" t="str">
        <f>IF(I78=0,"",I78)</f>
        <v>7</v>
      </c>
      <c r="M78" s="990"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990"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103" t="s">
        <v>94</v>
      </c>
      <c r="P78" s="1103"/>
      <c r="Q78" s="1103"/>
      <c r="R78" s="1103"/>
      <c r="S78" s="1103"/>
      <c r="T78" s="989" t="s">
        <v>678</v>
      </c>
      <c r="U78" s="989"/>
      <c r="V78" s="989"/>
      <c r="W78" s="989"/>
      <c r="X78" s="989"/>
      <c r="Y78" s="1146"/>
      <c r="Z78" s="992" t="s">
        <v>2465</v>
      </c>
      <c r="AA78" s="995"/>
      <c r="AB78" s="992"/>
      <c r="AC78" s="992"/>
      <c r="AD78" s="992"/>
    </row>
    <row customHeight="1" ht="36">
      <c r="A79" s="991"/>
      <c r="B79" s="1045">
        <v>62</v>
      </c>
      <c r="C79" s="989" t="s">
        <v>2442</v>
      </c>
      <c r="D79" s="1113"/>
      <c r="E79" s="989"/>
      <c r="F79" s="989"/>
      <c r="G79" s="989"/>
      <c r="H79" s="1037"/>
      <c r="I79" s="1151" t="str">
        <f>INDEX(TEMPLATE_NUMBER_POINT_FHD,B79,MATCH(TEMPLATE_SPHERE,TEMPLATE_SPHERE_LIST_FOR_NOTE,0))</f>
        <v>8</v>
      </c>
      <c r="J79" s="1151"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151"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990" t="str">
        <f>IF(I79=0,"",I79)</f>
        <v>8</v>
      </c>
      <c r="M79" s="990" t="str">
        <f>IF(J79=0,"",J79)</f>
        <v>Тепловая нагрузка по договорам, заключенным в рамках осуществления регулируемых видов деятельности</v>
      </c>
      <c r="N79" s="990"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103" t="s">
        <v>123</v>
      </c>
      <c r="P79" s="1103"/>
      <c r="Q79" s="1103"/>
      <c r="R79" s="1103"/>
      <c r="S79" s="1103"/>
      <c r="T79" s="989" t="s">
        <v>2466</v>
      </c>
      <c r="U79" s="989"/>
      <c r="V79" s="989"/>
      <c r="W79" s="989"/>
      <c r="X79" s="989"/>
      <c r="Y79" s="1146"/>
      <c r="Z79" s="992" t="s">
        <v>2467</v>
      </c>
      <c r="AA79" s="995"/>
      <c r="AB79" s="992"/>
      <c r="AC79" s="992"/>
      <c r="AD79" s="992"/>
    </row>
    <row customHeight="1" ht="45">
      <c r="A80" s="991"/>
      <c r="B80" s="1045">
        <v>63</v>
      </c>
      <c r="C80" s="989" t="s">
        <v>2444</v>
      </c>
      <c r="D80" s="1113"/>
      <c r="E80" s="989"/>
      <c r="F80" s="989"/>
      <c r="G80" s="989"/>
      <c r="H80" s="1037"/>
      <c r="I80" s="1151" t="str">
        <f>INDEX(TEMPLATE_NUMBER_POINT_FHD,B80,MATCH(TEMPLATE_SPHERE,TEMPLATE_SPHERE_LIST_FOR_NOTE,0))</f>
        <v>9</v>
      </c>
      <c r="J80" s="1151"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151"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990" t="str">
        <f>IF(I80=0,"",I80)</f>
        <v>9</v>
      </c>
      <c r="M80" s="990" t="str">
        <f>IF(J80=0,"",J80)</f>
        <v>Объем вырабатываемой регулируемой организацией тепловой энергии в рамках осуществления регулируемых видов деятельности</v>
      </c>
      <c r="N80" s="990"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103" t="s">
        <v>172</v>
      </c>
      <c r="P80" s="1103"/>
      <c r="Q80" s="1103"/>
      <c r="R80" s="1103"/>
      <c r="S80" s="1103"/>
      <c r="T80" s="989" t="s">
        <v>2468</v>
      </c>
      <c r="U80" s="989"/>
      <c r="V80" s="989"/>
      <c r="W80" s="989"/>
      <c r="X80" s="989"/>
      <c r="Y80" s="1146"/>
      <c r="Z80" s="992" t="s">
        <v>2469</v>
      </c>
      <c r="AA80" s="995"/>
      <c r="AB80" s="992"/>
      <c r="AC80" s="992"/>
      <c r="AD80" s="992"/>
    </row>
    <row customHeight="1" ht="36">
      <c r="A81" s="991"/>
      <c r="B81" s="1045">
        <v>64</v>
      </c>
      <c r="C81" s="989" t="s">
        <v>2446</v>
      </c>
      <c r="D81" s="1113"/>
      <c r="E81" s="989"/>
      <c r="F81" s="989"/>
      <c r="G81" s="989"/>
      <c r="H81" s="1037"/>
      <c r="I81" s="1151" t="str">
        <f>INDEX(TEMPLATE_NUMBER_POINT_FHD,B81,MATCH(TEMPLATE_SPHERE,TEMPLATE_SPHERE_LIST_FOR_NOTE,0))</f>
        <v>9.1</v>
      </c>
      <c r="J81" s="1151"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151" t="str">
        <f>INDEX(TEMPLATE_NOTE_POINT_FHD,B81,MATCH(TEMPLATE_SPHERE,TEMPLATE_SPHERE_LIST_FOR_NOTE,0))</f>
        <v>Информация указывается только едиными теплоснабжающими организациями.</v>
      </c>
      <c r="L81" s="990" t="str">
        <f>IF(I81=0,"",I81)</f>
        <v>9.1</v>
      </c>
      <c r="M81" s="990" t="str">
        <f>IF(J81=0,"",J81)</f>
        <v>Объем приобретаемой регулируемой организацией тепловой энергии в рамках осуществления регулируемых видов деятельности</v>
      </c>
      <c r="N81" s="990" t="str">
        <f>IF(K81=0,"",K81)</f>
        <v>Информация указывается только едиными теплоснабжающими организациями.</v>
      </c>
      <c r="O81" s="1103" t="s">
        <v>2355</v>
      </c>
      <c r="P81" s="1103"/>
      <c r="Q81" s="1103"/>
      <c r="R81" s="1103"/>
      <c r="S81" s="1103"/>
      <c r="T81" s="989" t="s">
        <v>2470</v>
      </c>
      <c r="U81" s="989"/>
      <c r="V81" s="989"/>
      <c r="W81" s="989"/>
      <c r="X81" s="989"/>
      <c r="Y81" s="1146"/>
      <c r="Z81" s="992" t="s">
        <v>2471</v>
      </c>
      <c r="AA81" s="995"/>
      <c r="AB81" s="992"/>
      <c r="AC81" s="992"/>
      <c r="AD81" s="992"/>
    </row>
    <row customHeight="1" ht="90">
      <c r="A82" s="991"/>
      <c r="B82" s="1045">
        <v>65</v>
      </c>
      <c r="C82" s="989" t="s">
        <v>2455</v>
      </c>
      <c r="D82" s="1113"/>
      <c r="E82" s="989"/>
      <c r="F82" s="989"/>
      <c r="G82" s="989"/>
      <c r="H82" s="1037"/>
      <c r="I82" s="1151" t="str">
        <f>INDEX(TEMPLATE_NUMBER_POINT_FHD,B82,MATCH(TEMPLATE_SPHERE,TEMPLATE_SPHERE_LIST_FOR_NOTE,0))</f>
        <v>10</v>
      </c>
      <c r="J82" s="1151"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151"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990" t="str">
        <f>IF(I82=0,"",I82)</f>
        <v>10</v>
      </c>
      <c r="M82" s="990"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990"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103" t="s">
        <v>173</v>
      </c>
      <c r="P82" s="1103"/>
      <c r="Q82" s="1103"/>
      <c r="R82" s="1103"/>
      <c r="S82" s="1103"/>
      <c r="T82" s="989" t="s">
        <v>2472</v>
      </c>
      <c r="U82" s="989"/>
      <c r="V82" s="989"/>
      <c r="W82" s="989"/>
      <c r="X82" s="989"/>
      <c r="Y82" s="1146"/>
      <c r="Z82" s="992" t="s">
        <v>2473</v>
      </c>
      <c r="AA82" s="995"/>
      <c r="AB82" s="992"/>
      <c r="AC82" s="992"/>
      <c r="AD82" s="992"/>
    </row>
    <row customHeight="1" ht="9">
      <c r="A83" s="991"/>
      <c r="B83" s="1045">
        <v>66</v>
      </c>
      <c r="C83" s="989"/>
      <c r="D83" s="1113"/>
      <c r="E83" s="989"/>
      <c r="F83" s="989"/>
      <c r="G83" s="989"/>
      <c r="H83" s="1037"/>
      <c r="I83" s="1151" t="str">
        <f>INDEX(TEMPLATE_NUMBER_POINT_FHD,B83,MATCH(TEMPLATE_SPHERE,TEMPLATE_SPHERE_LIST_FOR_NOTE,0))</f>
        <v>10.1</v>
      </c>
      <c r="J83" s="1151" t="str">
        <f>INDEX(TEMPLATE_DATA_POINT_FHD,B83,MATCH(TEMPLATE_SPHERE,TEMPLATE_SPHERE_LIST_FOR_NOTE,0))</f>
        <v>По приборам учёта </v>
      </c>
      <c r="K83" s="1151">
        <f>INDEX(TEMPLATE_NOTE_POINT_FHD,B83,MATCH(TEMPLATE_SPHERE,TEMPLATE_SPHERE_LIST_FOR_NOTE,0))</f>
        <v>0</v>
      </c>
      <c r="L83" s="990" t="str">
        <f>IF(I83=0,"",I83)</f>
        <v>10.1</v>
      </c>
      <c r="M83" s="990" t="str">
        <f>IF(J83=0,"",J83)</f>
        <v>По приборам учёта </v>
      </c>
      <c r="N83" s="990" t="str">
        <f>IF(K83=0,"",K83)</f>
        <v/>
      </c>
      <c r="O83" s="1103" t="s">
        <v>2364</v>
      </c>
      <c r="P83" s="1103"/>
      <c r="Q83" s="1103"/>
      <c r="R83" s="1103"/>
      <c r="S83" s="1103"/>
      <c r="T83" s="989" t="s">
        <v>2474</v>
      </c>
      <c r="U83" s="989"/>
      <c r="V83" s="989"/>
      <c r="W83" s="989"/>
      <c r="X83" s="989"/>
      <c r="Y83" s="1146"/>
      <c r="Z83" s="992"/>
      <c r="AA83" s="995"/>
      <c r="AB83" s="992"/>
      <c r="AC83" s="992"/>
      <c r="AD83" s="992"/>
    </row>
    <row customHeight="1" ht="54">
      <c r="A84" s="991"/>
      <c r="B84" s="1045">
        <v>67</v>
      </c>
      <c r="C84" s="989"/>
      <c r="D84" s="1113"/>
      <c r="E84" s="989"/>
      <c r="F84" s="989"/>
      <c r="G84" s="989"/>
      <c r="H84" s="1037"/>
      <c r="I84" s="1151" t="str">
        <f>INDEX(TEMPLATE_NUMBER_POINT_FHD,B84,MATCH(TEMPLATE_SPHERE,TEMPLATE_SPHERE_LIST_FOR_NOTE,0))</f>
        <v>10.1.1</v>
      </c>
      <c r="J84" s="1151"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151">
        <f>INDEX(TEMPLATE_NOTE_POINT_FHD,B84,MATCH(TEMPLATE_SPHERE,TEMPLATE_SPHERE_LIST_FOR_NOTE,0))</f>
        <v>0</v>
      </c>
      <c r="L84" s="990" t="str">
        <f>IF(I84=0,"",I84)</f>
        <v>10.1.1</v>
      </c>
      <c r="M84" s="990"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990" t="str">
        <f>IF(K84=0,"",K84)</f>
        <v/>
      </c>
      <c r="O84" s="1103" t="s">
        <v>2475</v>
      </c>
      <c r="P84" s="1103"/>
      <c r="Q84" s="1103"/>
      <c r="R84" s="1103"/>
      <c r="S84" s="1103"/>
      <c r="T84" s="989" t="s">
        <v>2476</v>
      </c>
      <c r="U84" s="989"/>
      <c r="V84" s="989"/>
      <c r="W84" s="989"/>
      <c r="X84" s="989"/>
      <c r="Y84" s="1146"/>
      <c r="Z84" s="992"/>
      <c r="AA84" s="995"/>
      <c r="AB84" s="992"/>
      <c r="AC84" s="992"/>
      <c r="AD84" s="992"/>
    </row>
    <row customHeight="1" ht="9">
      <c r="A85" s="991"/>
      <c r="B85" s="1045">
        <v>68</v>
      </c>
      <c r="C85" s="989"/>
      <c r="D85" s="1113"/>
      <c r="E85" s="989"/>
      <c r="F85" s="989"/>
      <c r="G85" s="989"/>
      <c r="H85" s="1037"/>
      <c r="I85" s="1151" t="str">
        <f>INDEX(TEMPLATE_NUMBER_POINT_FHD,B85,MATCH(TEMPLATE_SPHERE,TEMPLATE_SPHERE_LIST_FOR_NOTE,0))</f>
        <v>10.2</v>
      </c>
      <c r="J85" s="1151" t="str">
        <f>INDEX(TEMPLATE_DATA_POINT_FHD,B85,MATCH(TEMPLATE_SPHERE,TEMPLATE_SPHERE_LIST_FOR_NOTE,0))</f>
        <v>Расчётным путём</v>
      </c>
      <c r="K85" s="1151">
        <f>INDEX(TEMPLATE_NOTE_POINT_FHD,B85,MATCH(TEMPLATE_SPHERE,TEMPLATE_SPHERE_LIST_FOR_NOTE,0))</f>
        <v>0</v>
      </c>
      <c r="L85" s="990" t="str">
        <f>IF(I85=0,"",I85)</f>
        <v>10.2</v>
      </c>
      <c r="M85" s="990" t="str">
        <f>IF(J85=0,"",J85)</f>
        <v>Расчётным путём</v>
      </c>
      <c r="N85" s="990" t="str">
        <f>IF(K85=0,"",K85)</f>
        <v/>
      </c>
      <c r="O85" s="1103" t="s">
        <v>2368</v>
      </c>
      <c r="P85" s="1103"/>
      <c r="Q85" s="1103"/>
      <c r="R85" s="1103"/>
      <c r="S85" s="1103"/>
      <c r="T85" s="989" t="s">
        <v>2477</v>
      </c>
      <c r="U85" s="989"/>
      <c r="V85" s="989"/>
      <c r="W85" s="989"/>
      <c r="X85" s="989"/>
      <c r="Y85" s="1146"/>
      <c r="Z85" s="992"/>
      <c r="AA85" s="995"/>
      <c r="AB85" s="992"/>
      <c r="AC85" s="992"/>
      <c r="AD85" s="992"/>
    </row>
    <row customHeight="1" ht="27">
      <c r="A86" s="991"/>
      <c r="B86" s="1045">
        <v>69</v>
      </c>
      <c r="C86" s="989"/>
      <c r="D86" s="1113"/>
      <c r="E86" s="989"/>
      <c r="F86" s="989"/>
      <c r="G86" s="989"/>
      <c r="H86" s="1037"/>
      <c r="I86" s="1151" t="str">
        <f>INDEX(TEMPLATE_NUMBER_POINT_FHD,B86,MATCH(TEMPLATE_SPHERE,TEMPLATE_SPHERE_LIST_FOR_NOTE,0))</f>
        <v>10.3</v>
      </c>
      <c r="J86" s="1151" t="str">
        <f>INDEX(TEMPLATE_DATA_POINT_FHD,B86,MATCH(TEMPLATE_SPHERE,TEMPLATE_SPHERE_LIST_FOR_NOTE,0))</f>
        <v>По нормативам потребления коммунальных услуг и нормативам потребления коммунальных ресурсов</v>
      </c>
      <c r="K86" s="1151">
        <f>INDEX(TEMPLATE_NOTE_POINT_FHD,B86,MATCH(TEMPLATE_SPHERE,TEMPLATE_SPHERE_LIST_FOR_NOTE,0))</f>
        <v>0</v>
      </c>
      <c r="L86" s="990" t="str">
        <f>IF(I86=0,"",I86)</f>
        <v>10.3</v>
      </c>
      <c r="M86" s="990" t="str">
        <f>IF(J86=0,"",J86)</f>
        <v>По нормативам потребления коммунальных услуг и нормативам потребления коммунальных ресурсов</v>
      </c>
      <c r="N86" s="990" t="str">
        <f>IF(K86=0,"",K86)</f>
        <v/>
      </c>
      <c r="O86" s="1103" t="s">
        <v>2478</v>
      </c>
      <c r="P86" s="1103"/>
      <c r="Q86" s="1103"/>
      <c r="R86" s="1103"/>
      <c r="S86" s="1103"/>
      <c r="T86" s="989" t="s">
        <v>2479</v>
      </c>
      <c r="U86" s="989"/>
      <c r="V86" s="989"/>
      <c r="W86" s="989"/>
      <c r="X86" s="989"/>
      <c r="Y86" s="1146"/>
      <c r="Z86" s="992"/>
      <c r="AA86" s="995"/>
      <c r="AB86" s="992"/>
      <c r="AC86" s="992"/>
      <c r="AD86" s="992"/>
    </row>
    <row customHeight="1" ht="36">
      <c r="A87" s="991"/>
      <c r="B87" s="1045">
        <v>70</v>
      </c>
      <c r="C87" s="989" t="s">
        <v>2480</v>
      </c>
      <c r="D87" s="1113"/>
      <c r="E87" s="989"/>
      <c r="F87" s="989"/>
      <c r="G87" s="989"/>
      <c r="H87" s="1037"/>
      <c r="I87" s="1151" t="str">
        <f>INDEX(TEMPLATE_NUMBER_POINT_FHD,B87,MATCH(TEMPLATE_SPHERE,TEMPLATE_SPHERE_LIST_FOR_NOTE,0))</f>
        <v>11</v>
      </c>
      <c r="J87" s="1151"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151">
        <f>INDEX(TEMPLATE_NOTE_POINT_FHD,B87,MATCH(TEMPLATE_SPHERE,TEMPLATE_SPHERE_LIST_FOR_NOTE,0))</f>
        <v>0</v>
      </c>
      <c r="L87" s="990" t="str">
        <f>IF(I87=0,"",I87)</f>
        <v>11</v>
      </c>
      <c r="M87" s="990" t="str">
        <f>IF(J87=0,"",J87)</f>
        <v>Нормативы технологических потерь при передаче тепловой энергии, теплоносителя по тепловым сетям, утвержденные уполномоченным органом</v>
      </c>
      <c r="N87" s="990" t="str">
        <f>IF(K87=0,"",K87)</f>
        <v/>
      </c>
      <c r="O87" s="1103" t="s">
        <v>174</v>
      </c>
      <c r="P87" s="1103"/>
      <c r="Q87" s="1103"/>
      <c r="R87" s="1103"/>
      <c r="S87" s="1103"/>
      <c r="T87" s="989" t="s">
        <v>2481</v>
      </c>
      <c r="U87" s="989"/>
      <c r="V87" s="989"/>
      <c r="W87" s="989"/>
      <c r="X87" s="989"/>
      <c r="Y87" s="1146"/>
      <c r="Z87" s="992"/>
      <c r="AA87" s="995"/>
      <c r="AB87" s="992"/>
      <c r="AC87" s="992"/>
      <c r="AD87" s="992"/>
    </row>
    <row customHeight="1" ht="18">
      <c r="A88" s="991"/>
      <c r="B88" s="1045">
        <v>71</v>
      </c>
      <c r="C88" s="989" t="s">
        <v>2482</v>
      </c>
      <c r="D88" s="1113"/>
      <c r="E88" s="989"/>
      <c r="F88" s="989"/>
      <c r="G88" s="989"/>
      <c r="H88" s="1037"/>
      <c r="I88" s="1151" t="str">
        <f>INDEX(TEMPLATE_NUMBER_POINT_FHD,B88,MATCH(TEMPLATE_SPHERE,TEMPLATE_SPHERE_LIST_FOR_NOTE,0))</f>
        <v>12</v>
      </c>
      <c r="J88" s="1151" t="str">
        <f>INDEX(TEMPLATE_DATA_POINT_FHD,B88,MATCH(TEMPLATE_SPHERE,TEMPLATE_SPHERE_LIST_FOR_NOTE,0))</f>
        <v>Фактический объем потерь при передаче тепловой энергии</v>
      </c>
      <c r="K88" s="1151">
        <f>INDEX(TEMPLATE_NOTE_POINT_FHD,B88,MATCH(TEMPLATE_SPHERE,TEMPLATE_SPHERE_LIST_FOR_NOTE,0))</f>
        <v>0</v>
      </c>
      <c r="L88" s="990" t="str">
        <f>IF(I88=0,"",I88)</f>
        <v>12</v>
      </c>
      <c r="M88" s="990" t="str">
        <f>IF(J88=0,"",J88)</f>
        <v>Фактический объем потерь при передаче тепловой энергии</v>
      </c>
      <c r="N88" s="990" t="str">
        <f>IF(K88=0,"",K88)</f>
        <v/>
      </c>
      <c r="O88" s="1103" t="s">
        <v>175</v>
      </c>
      <c r="P88" s="1103"/>
      <c r="Q88" s="1103"/>
      <c r="R88" s="1103"/>
      <c r="S88" s="1103"/>
      <c r="T88" s="989" t="s">
        <v>710</v>
      </c>
      <c r="U88" s="989"/>
      <c r="V88" s="989"/>
      <c r="W88" s="989"/>
      <c r="X88" s="989"/>
      <c r="Y88" s="1146"/>
      <c r="Z88" s="992"/>
      <c r="AA88" s="995"/>
      <c r="AB88" s="992"/>
      <c r="AC88" s="992"/>
      <c r="AD88" s="992"/>
    </row>
    <row customHeight="1" ht="18">
      <c r="A89" s="991"/>
      <c r="B89" s="1045">
        <v>72</v>
      </c>
      <c r="C89" s="989" t="s">
        <v>2483</v>
      </c>
      <c r="D89" s="1113" t="s">
        <v>2480</v>
      </c>
      <c r="E89" s="989" t="s">
        <v>2480</v>
      </c>
      <c r="F89" s="989" t="s">
        <v>2446</v>
      </c>
      <c r="G89" s="989"/>
      <c r="H89" s="1037"/>
      <c r="I89" s="1151" t="str">
        <f>INDEX(TEMPLATE_NUMBER_POINT_FHD,B89,MATCH(TEMPLATE_SPHERE,TEMPLATE_SPHERE_LIST_FOR_NOTE,0))</f>
        <v>13</v>
      </c>
      <c r="J89" s="1151" t="str">
        <f>INDEX(TEMPLATE_DATA_POINT_FHD,B89,MATCH(TEMPLATE_SPHERE,TEMPLATE_SPHERE_LIST_FOR_NOTE,0))</f>
        <v>Среднесписочная численность основного производственного персонала</v>
      </c>
      <c r="K89" s="1151">
        <f>INDEX(TEMPLATE_NOTE_POINT_FHD,B89,MATCH(TEMPLATE_SPHERE,TEMPLATE_SPHERE_LIST_FOR_NOTE,0))</f>
        <v>0</v>
      </c>
      <c r="L89" s="990" t="str">
        <f>IF(I89=0,"",I89)</f>
        <v>13</v>
      </c>
      <c r="M89" s="990" t="str">
        <f>IF(J89=0,"",J89)</f>
        <v>Среднесписочная численность основного производственного персонала</v>
      </c>
      <c r="N89" s="990" t="str">
        <f>IF(K89=0,"",K89)</f>
        <v/>
      </c>
      <c r="O89" s="1103" t="s">
        <v>176</v>
      </c>
      <c r="P89" s="1103" t="s">
        <v>175</v>
      </c>
      <c r="Q89" s="1103" t="s">
        <v>175</v>
      </c>
      <c r="R89" s="1103" t="s">
        <v>173</v>
      </c>
      <c r="S89" s="1103"/>
      <c r="T89" s="989" t="s">
        <v>718</v>
      </c>
      <c r="U89" s="989" t="s">
        <v>718</v>
      </c>
      <c r="V89" s="989" t="s">
        <v>718</v>
      </c>
      <c r="W89" s="989" t="s">
        <v>718</v>
      </c>
      <c r="X89" s="989"/>
      <c r="Y89" s="1146"/>
      <c r="Z89" s="992"/>
      <c r="AA89" s="995"/>
      <c r="AB89" s="992"/>
      <c r="AC89" s="992"/>
      <c r="AD89" s="992"/>
    </row>
    <row customHeight="1" ht="27">
      <c r="A90" s="991"/>
      <c r="B90" s="1045">
        <v>73</v>
      </c>
      <c r="C90" s="989" t="s">
        <v>2484</v>
      </c>
      <c r="D90" s="1113"/>
      <c r="E90" s="989"/>
      <c r="F90" s="989"/>
      <c r="G90" s="989"/>
      <c r="H90" s="1037"/>
      <c r="I90" s="1151" t="str">
        <f>INDEX(TEMPLATE_NUMBER_POINT_FHD,B90,MATCH(TEMPLATE_SPHERE,TEMPLATE_SPHERE_LIST_FOR_NOTE,0))</f>
        <v>14</v>
      </c>
      <c r="J90" s="1151" t="str">
        <f>INDEX(TEMPLATE_DATA_POINT_FHD,B90,MATCH(TEMPLATE_SPHERE,TEMPLATE_SPHERE_LIST_FOR_NOTE,0))</f>
        <v>Среднесписочная численность административно-управленческого персонала</v>
      </c>
      <c r="K90" s="1151">
        <f>INDEX(TEMPLATE_NOTE_POINT_FHD,B90,MATCH(TEMPLATE_SPHERE,TEMPLATE_SPHERE_LIST_FOR_NOTE,0))</f>
        <v>0</v>
      </c>
      <c r="L90" s="990" t="str">
        <f>IF(I90=0,"",I90)</f>
        <v>14</v>
      </c>
      <c r="M90" s="990" t="str">
        <f>IF(J90=0,"",J90)</f>
        <v>Среднесписочная численность административно-управленческого персонала</v>
      </c>
      <c r="N90" s="990" t="str">
        <f>IF(K90=0,"",K90)</f>
        <v/>
      </c>
      <c r="O90" s="1103" t="s">
        <v>177</v>
      </c>
      <c r="P90" s="1103"/>
      <c r="Q90" s="1103"/>
      <c r="R90" s="1103"/>
      <c r="S90" s="1103"/>
      <c r="T90" s="989" t="s">
        <v>720</v>
      </c>
      <c r="U90" s="989"/>
      <c r="V90" s="989"/>
      <c r="W90" s="989"/>
      <c r="X90" s="989"/>
      <c r="Y90" s="1146"/>
      <c r="Z90" s="992"/>
      <c r="AA90" s="995"/>
      <c r="AB90" s="992"/>
      <c r="AC90" s="992"/>
      <c r="AD90" s="992"/>
    </row>
    <row customHeight="1" ht="18">
      <c r="A91" s="991"/>
      <c r="B91" s="1045">
        <v>74</v>
      </c>
      <c r="C91" s="989"/>
      <c r="D91" s="1113" t="s">
        <v>2482</v>
      </c>
      <c r="E91" s="989" t="s">
        <v>2482</v>
      </c>
      <c r="F91" s="989"/>
      <c r="G91" s="989"/>
      <c r="H91" s="1037"/>
      <c r="I91" s="1151">
        <f>INDEX(TEMPLATE_NUMBER_POINT_FHD,B91,MATCH(TEMPLATE_SPHERE,TEMPLATE_SPHERE_LIST_FOR_NOTE,0))</f>
        <v>0</v>
      </c>
      <c r="J91" s="1151">
        <f>INDEX(TEMPLATE_DATA_POINT_FHD,B91,MATCH(TEMPLATE_SPHERE,TEMPLATE_SPHERE_LIST_FOR_NOTE,0))</f>
        <v>0</v>
      </c>
      <c r="K91" s="1151">
        <f>INDEX(TEMPLATE_NOTE_POINT_FHD,B91,MATCH(TEMPLATE_SPHERE,TEMPLATE_SPHERE_LIST_FOR_NOTE,0))</f>
        <v>0</v>
      </c>
      <c r="L91" s="990" t="str">
        <f>IF(I91=0,"",I91)</f>
        <v/>
      </c>
      <c r="M91" s="990" t="str">
        <f>IF(J91=0,"",J91)</f>
        <v/>
      </c>
      <c r="N91" s="990" t="str">
        <f>IF(K91=0,"",K91)</f>
        <v/>
      </c>
      <c r="O91" s="1103"/>
      <c r="P91" s="1103" t="s">
        <v>176</v>
      </c>
      <c r="Q91" s="1103" t="s">
        <v>176</v>
      </c>
      <c r="R91" s="1103"/>
      <c r="S91" s="1103"/>
      <c r="T91" s="989"/>
      <c r="U91" s="989" t="s">
        <v>2485</v>
      </c>
      <c r="V91" s="989" t="s">
        <v>2485</v>
      </c>
      <c r="W91" s="989"/>
      <c r="X91" s="989"/>
      <c r="Y91" s="1146"/>
      <c r="Z91" s="992"/>
      <c r="AA91" s="995"/>
      <c r="AB91" s="992"/>
      <c r="AC91" s="992"/>
      <c r="AD91" s="992"/>
    </row>
    <row customHeight="1" ht="27">
      <c r="A92" s="991"/>
      <c r="B92" s="1045">
        <v>75</v>
      </c>
      <c r="C92" s="989"/>
      <c r="D92" s="1113" t="s">
        <v>2483</v>
      </c>
      <c r="E92" s="989"/>
      <c r="F92" s="989"/>
      <c r="G92" s="989"/>
      <c r="H92" s="1037"/>
      <c r="I92" s="1151">
        <f>INDEX(TEMPLATE_NUMBER_POINT_FHD,B92,MATCH(TEMPLATE_SPHERE,TEMPLATE_SPHERE_LIST_FOR_NOTE,0))</f>
        <v>0</v>
      </c>
      <c r="J92" s="1151">
        <f>INDEX(TEMPLATE_DATA_POINT_FHD,B92,MATCH(TEMPLATE_SPHERE,TEMPLATE_SPHERE_LIST_FOR_NOTE,0))</f>
        <v>0</v>
      </c>
      <c r="K92" s="1151">
        <f>INDEX(TEMPLATE_NOTE_POINT_FHD,B92,MATCH(TEMPLATE_SPHERE,TEMPLATE_SPHERE_LIST_FOR_NOTE,0))</f>
        <v>0</v>
      </c>
      <c r="L92" s="990" t="str">
        <f>IF(I92=0,"",I92)</f>
        <v/>
      </c>
      <c r="M92" s="990" t="str">
        <f>IF(J92=0,"",J92)</f>
        <v/>
      </c>
      <c r="N92" s="990" t="str">
        <f>IF(K92=0,"",K92)</f>
        <v/>
      </c>
      <c r="O92" s="1103"/>
      <c r="P92" s="1103" t="s">
        <v>177</v>
      </c>
      <c r="Q92" s="1103"/>
      <c r="R92" s="1103"/>
      <c r="S92" s="1103"/>
      <c r="T92" s="989"/>
      <c r="U92" s="989" t="s">
        <v>2486</v>
      </c>
      <c r="V92" s="989"/>
      <c r="W92" s="989"/>
      <c r="X92" s="989"/>
      <c r="Y92" s="1146"/>
      <c r="Z92" s="992"/>
      <c r="AA92" s="995" t="s">
        <v>2487</v>
      </c>
      <c r="AB92" s="992"/>
      <c r="AC92" s="992"/>
      <c r="AD92" s="992"/>
    </row>
    <row customHeight="1" ht="27">
      <c r="A93" s="991"/>
      <c r="B93" s="1045">
        <v>76</v>
      </c>
      <c r="C93" s="989"/>
      <c r="D93" s="1113"/>
      <c r="E93" s="989"/>
      <c r="F93" s="989"/>
      <c r="G93" s="989"/>
      <c r="H93" s="1037"/>
      <c r="I93" s="1151">
        <f>INDEX(TEMPLATE_NUMBER_POINT_FHD,B93,MATCH(TEMPLATE_SPHERE,TEMPLATE_SPHERE_LIST_FOR_NOTE,0))</f>
        <v>0</v>
      </c>
      <c r="J93" s="1151">
        <f>INDEX(TEMPLATE_DATA_POINT_FHD,B93,MATCH(TEMPLATE_SPHERE,TEMPLATE_SPHERE_LIST_FOR_NOTE,0))</f>
        <v>0</v>
      </c>
      <c r="K93" s="1151">
        <f>INDEX(TEMPLATE_NOTE_POINT_FHD,B93,MATCH(TEMPLATE_SPHERE,TEMPLATE_SPHERE_LIST_FOR_NOTE,0))</f>
        <v>0</v>
      </c>
      <c r="L93" s="990" t="str">
        <f>IF(I93=0,"",I93)</f>
        <v/>
      </c>
      <c r="M93" s="990" t="str">
        <f>IF(J93=0,"",J93)</f>
        <v/>
      </c>
      <c r="N93" s="990" t="str">
        <f>IF(K93=0,"",K93)</f>
        <v/>
      </c>
      <c r="O93" s="1103"/>
      <c r="P93" s="1103" t="s">
        <v>2395</v>
      </c>
      <c r="Q93" s="1103"/>
      <c r="R93" s="1103"/>
      <c r="S93" s="1103"/>
      <c r="T93" s="989"/>
      <c r="U93" s="989" t="s">
        <v>2488</v>
      </c>
      <c r="V93" s="989"/>
      <c r="W93" s="989"/>
      <c r="X93" s="989"/>
      <c r="Y93" s="1146"/>
      <c r="Z93" s="992"/>
      <c r="AA93" s="995" t="s">
        <v>2489</v>
      </c>
      <c r="AB93" s="992"/>
      <c r="AC93" s="992"/>
      <c r="AD93" s="992"/>
    </row>
    <row customHeight="1" ht="45">
      <c r="A94" s="991"/>
      <c r="B94" s="1045">
        <v>77</v>
      </c>
      <c r="C94" s="989"/>
      <c r="D94" s="1113" t="s">
        <v>2484</v>
      </c>
      <c r="E94" s="989"/>
      <c r="F94" s="989"/>
      <c r="G94" s="989"/>
      <c r="H94" s="1037"/>
      <c r="I94" s="1151">
        <f>INDEX(TEMPLATE_NUMBER_POINT_FHD,B94,MATCH(TEMPLATE_SPHERE,TEMPLATE_SPHERE_LIST_FOR_NOTE,0))</f>
        <v>0</v>
      </c>
      <c r="J94" s="1151">
        <f>INDEX(TEMPLATE_DATA_POINT_FHD,B94,MATCH(TEMPLATE_SPHERE,TEMPLATE_SPHERE_LIST_FOR_NOTE,0))</f>
        <v>0</v>
      </c>
      <c r="K94" s="1151">
        <f>INDEX(TEMPLATE_NOTE_POINT_FHD,B94,MATCH(TEMPLATE_SPHERE,TEMPLATE_SPHERE_LIST_FOR_NOTE,0))</f>
        <v>0</v>
      </c>
      <c r="L94" s="990" t="str">
        <f>IF(I94=0,"",I94)</f>
        <v/>
      </c>
      <c r="M94" s="990" t="str">
        <f>IF(J94=0,"",J94)</f>
        <v/>
      </c>
      <c r="N94" s="990" t="str">
        <f>IF(K94=0,"",K94)</f>
        <v/>
      </c>
      <c r="O94" s="1103"/>
      <c r="P94" s="1103" t="s">
        <v>1190</v>
      </c>
      <c r="Q94" s="1103"/>
      <c r="R94" s="1103"/>
      <c r="S94" s="1103"/>
      <c r="T94" s="989"/>
      <c r="U94" s="989" t="s">
        <v>2490</v>
      </c>
      <c r="V94" s="989"/>
      <c r="W94" s="989"/>
      <c r="X94" s="989"/>
      <c r="Y94" s="1146"/>
      <c r="Z94" s="992"/>
      <c r="AA94" s="995" t="s">
        <v>2491</v>
      </c>
      <c r="AB94" s="992"/>
      <c r="AC94" s="992"/>
      <c r="AD94" s="992"/>
    </row>
    <row customHeight="1" ht="99">
      <c r="A95" s="991"/>
      <c r="B95" s="1045">
        <v>78</v>
      </c>
      <c r="C95" s="989" t="s">
        <v>2492</v>
      </c>
      <c r="D95" s="1113"/>
      <c r="E95" s="989"/>
      <c r="F95" s="989"/>
      <c r="G95" s="989"/>
      <c r="H95" s="1037"/>
      <c r="I95" s="1151" t="str">
        <f>INDEX(TEMPLATE_NUMBER_POINT_FHD,B95,MATCH(TEMPLATE_SPHERE,TEMPLATE_SPHERE_LIST_FOR_NOTE,0))</f>
        <v>15</v>
      </c>
      <c r="J95" s="1151"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151">
        <f>INDEX(TEMPLATE_NOTE_POINT_FHD,B95,MATCH(TEMPLATE_SPHERE,TEMPLATE_SPHERE_LIST_FOR_NOTE,0))</f>
        <v>0</v>
      </c>
      <c r="L95" s="990" t="str">
        <f>IF(I95=0,"",I95)</f>
        <v>15</v>
      </c>
      <c r="M95" s="990"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990" t="str">
        <f>IF(K95=0,"",K95)</f>
        <v/>
      </c>
      <c r="O95" s="1103" t="s">
        <v>1190</v>
      </c>
      <c r="P95" s="1103"/>
      <c r="Q95" s="1103"/>
      <c r="R95" s="1103"/>
      <c r="S95" s="1103"/>
      <c r="T95" s="989" t="s">
        <v>2493</v>
      </c>
      <c r="U95" s="989"/>
      <c r="V95" s="989"/>
      <c r="W95" s="989"/>
      <c r="X95" s="989"/>
      <c r="Y95" s="1146"/>
      <c r="Z95" s="992"/>
      <c r="AA95" s="995"/>
      <c r="AB95" s="992"/>
      <c r="AC95" s="992"/>
      <c r="AD95" s="992"/>
    </row>
    <row customHeight="1" ht="99">
      <c r="A96" s="991"/>
      <c r="B96" s="1045">
        <v>79</v>
      </c>
      <c r="C96" s="989" t="s">
        <v>1498</v>
      </c>
      <c r="D96" s="1113"/>
      <c r="E96" s="989"/>
      <c r="F96" s="989"/>
      <c r="G96" s="989"/>
      <c r="H96" s="1037"/>
      <c r="I96" s="1151" t="str">
        <f>INDEX(TEMPLATE_NUMBER_POINT_FHD,B96,MATCH(TEMPLATE_SPHERE,TEMPLATE_SPHERE_LIST_FOR_NOTE,0))</f>
        <v>16</v>
      </c>
      <c r="J96" s="1151"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151"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990" t="str">
        <f>IF(I96=0,"",I96)</f>
        <v>16</v>
      </c>
      <c r="M96" s="990"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990"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103" t="s">
        <v>1196</v>
      </c>
      <c r="P96" s="1103"/>
      <c r="Q96" s="1103"/>
      <c r="R96" s="1103"/>
      <c r="S96" s="1103"/>
      <c r="T96" s="989" t="s">
        <v>2494</v>
      </c>
      <c r="U96" s="989"/>
      <c r="V96" s="989"/>
      <c r="W96" s="989"/>
      <c r="X96" s="989"/>
      <c r="Y96" s="1146"/>
      <c r="Z96" s="992" t="s">
        <v>2495</v>
      </c>
      <c r="AA96" s="995"/>
      <c r="AB96" s="992"/>
      <c r="AC96" s="992"/>
      <c r="AD96" s="992"/>
    </row>
    <row customHeight="1" ht="63">
      <c r="A97" s="991"/>
      <c r="B97" s="1045">
        <v>80</v>
      </c>
      <c r="C97" s="989" t="s">
        <v>2496</v>
      </c>
      <c r="D97" s="1113"/>
      <c r="E97" s="989"/>
      <c r="F97" s="989"/>
      <c r="G97" s="989"/>
      <c r="H97" s="1037"/>
      <c r="I97" s="1151" t="str">
        <f>INDEX(TEMPLATE_NUMBER_POINT_FHD,B97,MATCH(TEMPLATE_SPHERE,TEMPLATE_SPHERE_LIST_FOR_NOTE,0))</f>
        <v>17</v>
      </c>
      <c r="J97" s="1151"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151"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990" t="str">
        <f>IF(I97=0,"",I97)</f>
        <v>17</v>
      </c>
      <c r="M97" s="990"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990" t="str">
        <f>IF(K97=0,"",K97)</f>
        <v>Регулируемыми организациями указывается информация с по договорам, заключенным в рамках осуществления регулируемой деятельности.</v>
      </c>
      <c r="O97" s="1103" t="s">
        <v>1199</v>
      </c>
      <c r="P97" s="1103"/>
      <c r="Q97" s="1103"/>
      <c r="R97" s="1103"/>
      <c r="S97" s="1103"/>
      <c r="T97" s="989" t="s">
        <v>2497</v>
      </c>
      <c r="U97" s="989"/>
      <c r="V97" s="989"/>
      <c r="W97" s="989"/>
      <c r="X97" s="989"/>
      <c r="Y97" s="1146"/>
      <c r="Z97" s="992" t="s">
        <v>2498</v>
      </c>
      <c r="AA97" s="995"/>
      <c r="AB97" s="992"/>
      <c r="AC97" s="992"/>
      <c r="AD97" s="992"/>
    </row>
    <row customHeight="1" ht="63">
      <c r="A98" s="991"/>
      <c r="B98" s="1045">
        <v>81</v>
      </c>
      <c r="C98" s="989" t="s">
        <v>2499</v>
      </c>
      <c r="D98" s="1113"/>
      <c r="E98" s="989"/>
      <c r="F98" s="989"/>
      <c r="G98" s="989"/>
      <c r="H98" s="1037"/>
      <c r="I98" s="1151" t="str">
        <f>INDEX(TEMPLATE_NUMBER_POINT_FHD,B98,MATCH(TEMPLATE_SPHERE,TEMPLATE_SPHERE_LIST_FOR_NOTE,0))</f>
        <v>18</v>
      </c>
      <c r="J98" s="1151"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151"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990" t="str">
        <f>IF(I98=0,"",I98)</f>
        <v>18</v>
      </c>
      <c r="M98" s="990"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990" t="str">
        <f>IF(K98=0,"",K98)</f>
        <v>Регулируемыми организациями указывается информация с по договорам, заключенным в рамках осуществления регулируемой деятельности.</v>
      </c>
      <c r="O98" s="1103" t="s">
        <v>1141</v>
      </c>
      <c r="P98" s="1103"/>
      <c r="Q98" s="1103"/>
      <c r="R98" s="1103"/>
      <c r="S98" s="1103"/>
      <c r="T98" s="989" t="s">
        <v>2500</v>
      </c>
      <c r="U98" s="989"/>
      <c r="V98" s="989"/>
      <c r="W98" s="989"/>
      <c r="X98" s="989"/>
      <c r="Y98" s="1146"/>
      <c r="Z98" s="992" t="s">
        <v>2498</v>
      </c>
      <c r="AA98" s="995"/>
      <c r="AB98" s="992"/>
      <c r="AC98" s="992"/>
      <c r="AD98" s="992"/>
    </row>
    <row customHeight="1" ht="90">
      <c r="A99" s="991"/>
      <c r="B99" s="1045">
        <v>82</v>
      </c>
      <c r="C99" s="989" t="s">
        <v>2501</v>
      </c>
      <c r="D99" s="1113"/>
      <c r="E99" s="989"/>
      <c r="F99" s="989"/>
      <c r="G99" s="989"/>
      <c r="H99" s="1037"/>
      <c r="I99" s="1151" t="str">
        <f>INDEX(TEMPLATE_NUMBER_POINT_FHD,B99,MATCH(TEMPLATE_SPHERE,TEMPLATE_SPHERE_LIST_FOR_NOTE,0))</f>
        <v>19</v>
      </c>
      <c r="J99" s="1151"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151" t="str">
        <f>INDEX(TEMPLATE_NOTE_POINT_FHD,B99,MATCH(TEMPLATE_SPHERE,TEMPLATE_SPHERE_LIST_FOR_NOTE,0))</f>
        <v>Указывается ссылка на документ, предварительно загруженный в хранилище файлов ФГИС ЕИАС.</v>
      </c>
      <c r="L99" s="990" t="str">
        <f>IF(I99=0,"",I99)</f>
        <v>19</v>
      </c>
      <c r="M99" s="990"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990" t="str">
        <f>IF(K99=0,"",K99)</f>
        <v>Указывается ссылка на документ, предварительно загруженный в хранилище файлов ФГИС ЕИАС.</v>
      </c>
      <c r="O99" s="1103" t="s">
        <v>1204</v>
      </c>
      <c r="P99" s="1103"/>
      <c r="Q99" s="1103"/>
      <c r="R99" s="1103"/>
      <c r="S99" s="1103"/>
      <c r="T99" s="989" t="s">
        <v>2502</v>
      </c>
      <c r="U99" s="989"/>
      <c r="V99" s="989"/>
      <c r="W99" s="989"/>
      <c r="X99" s="989"/>
      <c r="Y99" s="1146"/>
      <c r="Z99" s="992" t="s">
        <v>675</v>
      </c>
      <c r="AA99" s="995"/>
      <c r="AB99" s="992"/>
      <c r="AC99" s="992"/>
      <c r="AD99" s="992"/>
    </row>
    <row customHeight="1" ht="27">
      <c r="A100" s="991"/>
      <c r="B100" s="1045">
        <v>83</v>
      </c>
      <c r="C100" s="989"/>
      <c r="D100" s="1113"/>
      <c r="E100" s="989"/>
      <c r="F100" s="989"/>
      <c r="G100" s="989"/>
      <c r="H100" s="1037"/>
      <c r="I100" s="1151" t="str">
        <f>INDEX(TEMPLATE_NUMBER_POINT_FHD,B100,MATCH(TEMPLATE_SPHERE,TEMPLATE_SPHERE_LIST_FOR_NOTE,0))</f>
        <v>19.1</v>
      </c>
      <c r="J100" s="1151" t="str">
        <f>INDEX(TEMPLATE_DATA_POINT_FHD,B100,MATCH(TEMPLATE_SPHERE,TEMPLATE_SPHERE_LIST_FOR_NOTE,0))</f>
        <v>Информация о показателях физического износа объектов теплоснабжения</v>
      </c>
      <c r="K100" s="1151" t="str">
        <f>INDEX(TEMPLATE_NOTE_POINT_FHD,B100,MATCH(TEMPLATE_SPHERE,TEMPLATE_SPHERE_LIST_FOR_NOTE,0))</f>
        <v>Указывается ссылка на документ, предварительно загруженный в хранилище файлов ФГИС ЕИАС.</v>
      </c>
      <c r="L100" s="990" t="str">
        <f>IF(I100=0,"",I100)</f>
        <v>19.1</v>
      </c>
      <c r="M100" s="990" t="str">
        <f>IF(J100=0,"",J100)</f>
        <v>Информация о показателях физического износа объектов теплоснабжения</v>
      </c>
      <c r="N100" s="990" t="str">
        <f>IF(K100=0,"",K100)</f>
        <v>Указывается ссылка на документ, предварительно загруженный в хранилище файлов ФГИС ЕИАС.</v>
      </c>
      <c r="O100" s="1103" t="s">
        <v>2503</v>
      </c>
      <c r="P100" s="1103"/>
      <c r="Q100" s="1103"/>
      <c r="R100" s="1103"/>
      <c r="S100" s="1103"/>
      <c r="T100" s="989" t="s">
        <v>2504</v>
      </c>
      <c r="U100" s="989"/>
      <c r="V100" s="989"/>
      <c r="W100" s="989"/>
      <c r="X100" s="989"/>
      <c r="Y100" s="1146"/>
      <c r="Z100" s="992" t="s">
        <v>675</v>
      </c>
      <c r="AA100" s="995"/>
      <c r="AB100" s="992"/>
      <c r="AC100" s="992"/>
      <c r="AD100" s="992"/>
    </row>
    <row customHeight="1" ht="27">
      <c r="A101" s="991"/>
      <c r="B101" s="1045">
        <v>84</v>
      </c>
      <c r="C101" s="989"/>
      <c r="D101" s="1113"/>
      <c r="E101" s="989"/>
      <c r="F101" s="989"/>
      <c r="G101" s="989"/>
      <c r="H101" s="1037"/>
      <c r="I101" s="1151" t="str">
        <f>INDEX(TEMPLATE_NUMBER_POINT_FHD,B101,MATCH(TEMPLATE_SPHERE,TEMPLATE_SPHERE_LIST_FOR_NOTE,0))</f>
        <v>19.2</v>
      </c>
      <c r="J101" s="1151" t="str">
        <f>INDEX(TEMPLATE_DATA_POINT_FHD,B101,MATCH(TEMPLATE_SPHERE,TEMPLATE_SPHERE_LIST_FOR_NOTE,0))</f>
        <v>Информация о показателях энергетической эффективности объектов теплоснабжения</v>
      </c>
      <c r="K101" s="1151" t="str">
        <f>INDEX(TEMPLATE_NOTE_POINT_FHD,B101,MATCH(TEMPLATE_SPHERE,TEMPLATE_SPHERE_LIST_FOR_NOTE,0))</f>
        <v>Указывается ссылка на документ, предварительно загруженный в хранилище файлов ФГИС ЕИАС.</v>
      </c>
      <c r="L101" s="990" t="str">
        <f>IF(I101=0,"",I101)</f>
        <v>19.2</v>
      </c>
      <c r="M101" s="990" t="str">
        <f>IF(J101=0,"",J101)</f>
        <v>Информация о показателях энергетической эффективности объектов теплоснабжения</v>
      </c>
      <c r="N101" s="990" t="str">
        <f>IF(K101=0,"",K101)</f>
        <v>Указывается ссылка на документ, предварительно загруженный в хранилище файлов ФГИС ЕИАС.</v>
      </c>
      <c r="O101" s="1103" t="s">
        <v>2505</v>
      </c>
      <c r="P101" s="1103"/>
      <c r="Q101" s="1103"/>
      <c r="R101" s="1103"/>
      <c r="S101" s="1103"/>
      <c r="T101" s="989" t="s">
        <v>2506</v>
      </c>
      <c r="U101" s="989"/>
      <c r="V101" s="989"/>
      <c r="W101" s="989"/>
      <c r="X101" s="989"/>
      <c r="Y101" s="1146"/>
      <c r="Z101" s="992" t="s">
        <v>675</v>
      </c>
      <c r="AA101" s="995"/>
      <c r="AB101" s="992"/>
      <c r="AC101" s="992"/>
      <c r="AD101" s="992"/>
    </row>
    <row customHeight="1" ht="9">
      <c r="A102" s="991"/>
      <c r="B102" s="991"/>
      <c r="C102" s="989"/>
      <c r="D102" s="989"/>
      <c r="E102" s="989"/>
      <c r="F102" s="989"/>
      <c r="G102" s="989"/>
      <c r="H102" s="1037"/>
      <c r="I102" s="1037"/>
      <c r="J102" s="1037"/>
      <c r="K102" s="1037"/>
      <c r="L102" s="1037"/>
      <c r="M102" s="989"/>
      <c r="N102" s="1036"/>
      <c r="O102" s="1103"/>
      <c r="P102" s="1103"/>
      <c r="Q102" s="1103"/>
      <c r="R102" s="1103"/>
      <c r="S102" s="989"/>
      <c r="T102" s="989"/>
      <c r="U102" s="989"/>
      <c r="V102" s="989"/>
      <c r="W102" s="989"/>
      <c r="X102" s="989"/>
      <c r="Y102" s="1146"/>
      <c r="Z102" s="992"/>
      <c r="AA102" s="995"/>
      <c r="AB102" s="992"/>
      <c r="AC102" s="992"/>
      <c r="AD102" s="992"/>
    </row>
    <row customHeight="1" ht="9">
      <c r="A103" s="991"/>
      <c r="B103" s="991"/>
      <c r="C103" s="989"/>
      <c r="D103" s="989"/>
      <c r="E103" s="989"/>
      <c r="F103" s="989"/>
      <c r="G103" s="989"/>
      <c r="H103" s="1037"/>
      <c r="I103" s="1037"/>
      <c r="J103" s="1037"/>
      <c r="K103" s="1037"/>
      <c r="L103" s="1037"/>
      <c r="M103" s="989"/>
      <c r="N103" s="1036"/>
      <c r="O103" s="1103"/>
      <c r="P103" s="1103"/>
      <c r="Q103" s="1103"/>
      <c r="R103" s="1103"/>
      <c r="S103" s="989"/>
      <c r="T103" s="989"/>
      <c r="U103" s="989"/>
      <c r="V103" s="989"/>
      <c r="W103" s="989"/>
      <c r="X103" s="989"/>
      <c r="Y103" s="1146"/>
      <c r="Z103" s="992"/>
      <c r="AA103" s="995"/>
      <c r="AB103" s="992"/>
      <c r="AC103" s="992"/>
      <c r="AD103" s="992"/>
    </row>
    <row customHeight="1" ht="9">
      <c r="A104" s="991"/>
      <c r="B104" s="991"/>
      <c r="C104" s="989"/>
      <c r="D104" s="989"/>
      <c r="E104" s="989"/>
      <c r="F104" s="989"/>
      <c r="G104" s="989"/>
      <c r="H104" s="1037"/>
      <c r="I104" s="1037"/>
      <c r="J104" s="1037"/>
      <c r="K104" s="1037"/>
      <c r="L104" s="1037"/>
      <c r="M104" s="989"/>
      <c r="N104" s="1036"/>
      <c r="O104" s="1103"/>
      <c r="P104" s="1103"/>
      <c r="Q104" s="1103"/>
      <c r="R104" s="1103"/>
      <c r="S104" s="989"/>
      <c r="T104" s="989"/>
      <c r="U104" s="989"/>
      <c r="V104" s="989"/>
      <c r="W104" s="989"/>
      <c r="X104" s="989"/>
      <c r="Y104" s="1146"/>
      <c r="Z104" s="992"/>
      <c r="AA104" s="995"/>
      <c r="AB104" s="992"/>
      <c r="AC104" s="992"/>
      <c r="AD104" s="992"/>
    </row>
    <row customHeight="1" ht="9">
      <c r="A105" s="991"/>
      <c r="B105" s="991"/>
      <c r="C105" s="989"/>
      <c r="D105" s="989"/>
      <c r="E105" s="989"/>
      <c r="F105" s="989"/>
      <c r="G105" s="989"/>
      <c r="H105" s="1037"/>
      <c r="I105" s="1037"/>
      <c r="J105" s="1037"/>
      <c r="K105" s="1037"/>
      <c r="L105" s="1037"/>
      <c r="M105" s="989"/>
      <c r="N105" s="1036"/>
      <c r="O105" s="1103"/>
      <c r="P105" s="1103"/>
      <c r="Q105" s="1103"/>
      <c r="R105" s="1103"/>
      <c r="S105" s="989"/>
      <c r="T105" s="989"/>
      <c r="U105" s="989"/>
      <c r="V105" s="989"/>
      <c r="W105" s="989"/>
      <c r="X105" s="989"/>
      <c r="Y105" s="1146"/>
      <c r="Z105" s="992"/>
      <c r="AA105" s="995"/>
      <c r="AB105" s="992"/>
      <c r="AC105" s="992"/>
      <c r="AD105" s="992"/>
    </row>
    <row customHeight="1" ht="9">
      <c r="A106" s="991"/>
      <c r="B106" s="991"/>
      <c r="C106" s="989"/>
      <c r="D106" s="989"/>
      <c r="E106" s="989"/>
      <c r="F106" s="989"/>
      <c r="G106" s="989"/>
      <c r="H106" s="1037"/>
      <c r="I106" s="1037"/>
      <c r="J106" s="1037"/>
      <c r="K106" s="1037"/>
      <c r="L106" s="1037"/>
      <c r="M106" s="989"/>
      <c r="N106" s="1036"/>
      <c r="O106" s="1103"/>
      <c r="P106" s="1103"/>
      <c r="Q106" s="1103"/>
      <c r="R106" s="1103"/>
      <c r="S106" s="989"/>
      <c r="T106" s="989"/>
      <c r="U106" s="989"/>
      <c r="V106" s="989"/>
      <c r="W106" s="989"/>
      <c r="X106" s="989"/>
      <c r="Y106" s="1146"/>
      <c r="Z106" s="992"/>
      <c r="AA106" s="995"/>
      <c r="AB106" s="992"/>
      <c r="AC106" s="992"/>
      <c r="AD106" s="992"/>
    </row>
    <row customHeight="1" ht="9">
      <c r="A107" s="991"/>
      <c r="B107" s="991"/>
      <c r="C107" s="989"/>
      <c r="D107" s="989"/>
      <c r="E107" s="989"/>
      <c r="F107" s="989"/>
      <c r="G107" s="989"/>
      <c r="H107" s="1037"/>
      <c r="I107" s="1037"/>
      <c r="J107" s="1037"/>
      <c r="K107" s="1037"/>
      <c r="L107" s="1037"/>
      <c r="M107" s="989"/>
      <c r="N107" s="1036"/>
      <c r="O107" s="1103"/>
      <c r="P107" s="1103"/>
      <c r="Q107" s="1103"/>
      <c r="R107" s="1103"/>
      <c r="S107" s="989"/>
      <c r="T107" s="989"/>
      <c r="U107" s="989"/>
      <c r="V107" s="989"/>
      <c r="W107" s="989"/>
      <c r="X107" s="989"/>
      <c r="Y107" s="1146"/>
      <c r="Z107" s="992"/>
      <c r="AA107" s="995"/>
      <c r="AB107" s="992"/>
      <c r="AC107" s="992"/>
      <c r="AD107" s="992"/>
    </row>
    <row customHeight="1" ht="9">
      <c r="A108" s="991"/>
      <c r="B108" s="991"/>
      <c r="C108" s="989"/>
      <c r="D108" s="989"/>
      <c r="E108" s="989"/>
      <c r="F108" s="989"/>
      <c r="G108" s="989"/>
      <c r="H108" s="1037"/>
      <c r="I108" s="1037"/>
      <c r="J108" s="1037"/>
      <c r="K108" s="1037"/>
      <c r="L108" s="1037"/>
      <c r="M108" s="989"/>
      <c r="N108" s="1036"/>
      <c r="O108" s="1103"/>
      <c r="P108" s="1103"/>
      <c r="Q108" s="1103"/>
      <c r="R108" s="1103"/>
      <c r="S108" s="989"/>
      <c r="T108" s="989"/>
      <c r="U108" s="989"/>
      <c r="V108" s="989"/>
      <c r="W108" s="989"/>
      <c r="X108" s="989"/>
      <c r="Y108" s="1146"/>
      <c r="Z108" s="992"/>
      <c r="AA108" s="995"/>
      <c r="AB108" s="992"/>
      <c r="AC108" s="992"/>
      <c r="AD108" s="992"/>
    </row>
    <row customHeight="1" ht="9">
      <c r="A109" s="991"/>
      <c r="B109" s="991"/>
      <c r="C109" s="989"/>
      <c r="D109" s="989"/>
      <c r="E109" s="989"/>
      <c r="F109" s="989"/>
      <c r="G109" s="989"/>
      <c r="H109" s="1037"/>
      <c r="I109" s="1037"/>
      <c r="J109" s="1037"/>
      <c r="K109" s="1037"/>
      <c r="L109" s="1037"/>
      <c r="M109" s="989"/>
      <c r="N109" s="1036"/>
      <c r="O109" s="1103"/>
      <c r="P109" s="1103"/>
      <c r="Q109" s="1103"/>
      <c r="R109" s="1103"/>
      <c r="S109" s="989"/>
      <c r="T109" s="989"/>
      <c r="U109" s="989"/>
      <c r="V109" s="989"/>
      <c r="W109" s="989"/>
      <c r="X109" s="989"/>
      <c r="Y109" s="1146"/>
      <c r="Z109" s="992"/>
      <c r="AA109" s="995"/>
      <c r="AB109" s="992"/>
      <c r="AC109" s="992"/>
      <c r="AD109" s="992"/>
    </row>
    <row customHeight="1" ht="9">
      <c r="A110" s="991"/>
      <c r="B110" s="991"/>
      <c r="C110" s="989"/>
      <c r="D110" s="989"/>
      <c r="E110" s="989"/>
      <c r="F110" s="989"/>
      <c r="G110" s="989"/>
      <c r="H110" s="1037"/>
      <c r="I110" s="1037"/>
      <c r="J110" s="1037"/>
      <c r="K110" s="1037"/>
      <c r="L110" s="1037"/>
      <c r="M110" s="989"/>
      <c r="N110" s="1036"/>
      <c r="O110" s="1103"/>
      <c r="P110" s="1103"/>
      <c r="Q110" s="1103"/>
      <c r="R110" s="1103"/>
      <c r="S110" s="989"/>
      <c r="T110" s="989"/>
      <c r="U110" s="989"/>
      <c r="V110" s="989"/>
      <c r="W110" s="989"/>
      <c r="X110" s="989"/>
      <c r="Y110" s="1146"/>
      <c r="Z110" s="992"/>
      <c r="AA110" s="995"/>
      <c r="AB110" s="992"/>
      <c r="AC110" s="992"/>
      <c r="AD110" s="992"/>
    </row>
    <row customHeight="1" ht="9">
      <c r="A111" s="991"/>
      <c r="B111" s="991"/>
      <c r="C111" s="989"/>
      <c r="D111" s="989"/>
      <c r="E111" s="989"/>
      <c r="F111" s="989"/>
      <c r="G111" s="989"/>
      <c r="H111" s="1037"/>
      <c r="I111" s="1037"/>
      <c r="J111" s="1037"/>
      <c r="K111" s="1037"/>
      <c r="L111" s="1037"/>
      <c r="M111" s="989"/>
      <c r="N111" s="1036"/>
      <c r="O111" s="1103"/>
      <c r="P111" s="1103"/>
      <c r="Q111" s="1103"/>
      <c r="R111" s="1103"/>
      <c r="S111" s="989"/>
      <c r="T111" s="989"/>
      <c r="U111" s="989"/>
      <c r="V111" s="989"/>
      <c r="W111" s="989"/>
      <c r="X111" s="989"/>
      <c r="Y111" s="1146"/>
      <c r="Z111" s="992"/>
      <c r="AA111" s="995"/>
      <c r="AB111" s="992"/>
      <c r="AC111" s="992"/>
      <c r="AD111" s="992"/>
    </row>
    <row customHeight="1" ht="9">
      <c r="A112" s="991"/>
      <c r="B112" s="991"/>
      <c r="C112" s="989"/>
      <c r="D112" s="989"/>
      <c r="E112" s="989"/>
      <c r="F112" s="989"/>
      <c r="G112" s="989"/>
      <c r="H112" s="1037"/>
      <c r="I112" s="1037"/>
      <c r="J112" s="1037"/>
      <c r="K112" s="1037"/>
      <c r="L112" s="1037"/>
      <c r="M112" s="989"/>
      <c r="N112" s="1036"/>
      <c r="O112" s="1103"/>
      <c r="P112" s="1103"/>
      <c r="Q112" s="1103"/>
      <c r="R112" s="1103"/>
      <c r="S112" s="989"/>
      <c r="T112" s="989"/>
      <c r="U112" s="989"/>
      <c r="V112" s="989"/>
      <c r="W112" s="989"/>
      <c r="X112" s="989"/>
      <c r="Y112" s="1146"/>
      <c r="Z112" s="992"/>
      <c r="AA112" s="995"/>
      <c r="AB112" s="992"/>
      <c r="AC112" s="992"/>
      <c r="AD112" s="992"/>
    </row>
    <row customHeight="1" ht="9">
      <c r="A113" s="991"/>
      <c r="B113" s="991"/>
      <c r="C113" s="989"/>
      <c r="D113" s="989"/>
      <c r="E113" s="989"/>
      <c r="F113" s="989"/>
      <c r="G113" s="989"/>
      <c r="H113" s="1037"/>
      <c r="I113" s="1037"/>
      <c r="J113" s="1037"/>
      <c r="K113" s="1037"/>
      <c r="L113" s="1037"/>
      <c r="M113" s="989"/>
      <c r="N113" s="1036"/>
      <c r="O113" s="1103"/>
      <c r="P113" s="1103"/>
      <c r="Q113" s="1103"/>
      <c r="R113" s="1103"/>
      <c r="S113" s="989"/>
      <c r="T113" s="989"/>
      <c r="U113" s="989"/>
      <c r="V113" s="989"/>
      <c r="W113" s="989"/>
      <c r="X113" s="989"/>
      <c r="Y113" s="1146"/>
      <c r="Z113" s="992"/>
      <c r="AA113" s="995"/>
      <c r="AB113" s="992"/>
      <c r="AC113" s="992"/>
      <c r="AD113" s="992"/>
    </row>
    <row customHeight="1" ht="9">
      <c r="A114" s="991"/>
      <c r="B114" s="991"/>
      <c r="C114" s="989"/>
      <c r="D114" s="989"/>
      <c r="E114" s="989"/>
      <c r="F114" s="989"/>
      <c r="G114" s="989"/>
      <c r="H114" s="1037"/>
      <c r="I114" s="1037"/>
      <c r="J114" s="1037"/>
      <c r="K114" s="1037"/>
      <c r="L114" s="1037"/>
      <c r="M114" s="989"/>
      <c r="N114" s="1036"/>
      <c r="O114" s="1103"/>
      <c r="P114" s="1103"/>
      <c r="Q114" s="1103"/>
      <c r="R114" s="1103"/>
      <c r="S114" s="989"/>
      <c r="T114" s="989"/>
      <c r="U114" s="989"/>
      <c r="V114" s="989"/>
      <c r="W114" s="989"/>
      <c r="X114" s="989"/>
      <c r="Y114" s="1146"/>
      <c r="Z114" s="992"/>
      <c r="AA114" s="995"/>
      <c r="AB114" s="992"/>
      <c r="AC114" s="992"/>
      <c r="AD114" s="992"/>
    </row>
    <row customHeight="1" ht="9">
      <c r="A115" s="991"/>
      <c r="B115" s="991"/>
      <c r="C115" s="989"/>
      <c r="D115" s="989"/>
      <c r="E115" s="989"/>
      <c r="F115" s="989"/>
      <c r="G115" s="989"/>
      <c r="H115" s="1037"/>
      <c r="I115" s="1037"/>
      <c r="J115" s="1037"/>
      <c r="K115" s="1037"/>
      <c r="L115" s="1037"/>
      <c r="M115" s="989"/>
      <c r="N115" s="1036"/>
      <c r="O115" s="1103"/>
      <c r="P115" s="1103"/>
      <c r="Q115" s="1103"/>
      <c r="R115" s="1103"/>
      <c r="S115" s="989"/>
      <c r="T115" s="989"/>
      <c r="U115" s="989"/>
      <c r="V115" s="989"/>
      <c r="W115" s="989"/>
      <c r="X115" s="989"/>
      <c r="Y115" s="1146"/>
      <c r="Z115" s="992"/>
      <c r="AA115" s="995"/>
      <c r="AB115" s="992"/>
      <c r="AC115" s="992"/>
      <c r="AD115" s="992"/>
    </row>
    <row customHeight="1" ht="9">
      <c r="A116" s="991"/>
      <c r="B116" s="991"/>
      <c r="C116" s="989"/>
      <c r="D116" s="989"/>
      <c r="E116" s="989"/>
      <c r="F116" s="989"/>
      <c r="G116" s="989"/>
      <c r="H116" s="1037"/>
      <c r="I116" s="1037"/>
      <c r="J116" s="1037"/>
      <c r="K116" s="1037"/>
      <c r="L116" s="1037"/>
      <c r="M116" s="989"/>
      <c r="N116" s="1036"/>
      <c r="O116" s="1103"/>
      <c r="P116" s="1103"/>
      <c r="Q116" s="1103"/>
      <c r="R116" s="1103"/>
      <c r="S116" s="989"/>
      <c r="T116" s="989"/>
      <c r="U116" s="989"/>
      <c r="V116" s="989"/>
      <c r="W116" s="989"/>
      <c r="X116" s="989"/>
      <c r="Y116" s="1146"/>
      <c r="Z116" s="992"/>
      <c r="AA116" s="995"/>
      <c r="AB116" s="992"/>
      <c r="AC116" s="992"/>
      <c r="AD116" s="992"/>
    </row>
    <row customHeight="1" ht="9">
      <c r="A117" s="991"/>
      <c r="B117" s="991"/>
      <c r="C117" s="989"/>
      <c r="D117" s="989"/>
      <c r="E117" s="989"/>
      <c r="F117" s="989"/>
      <c r="G117" s="989"/>
      <c r="H117" s="1037"/>
      <c r="I117" s="1037"/>
      <c r="J117" s="1037"/>
      <c r="K117" s="1037"/>
      <c r="L117" s="1037"/>
      <c r="M117" s="989"/>
      <c r="N117" s="1036"/>
      <c r="O117" s="1103"/>
      <c r="P117" s="1103"/>
      <c r="Q117" s="1103"/>
      <c r="R117" s="1103"/>
      <c r="S117" s="989"/>
      <c r="T117" s="989"/>
      <c r="U117" s="989"/>
      <c r="V117" s="989"/>
      <c r="W117" s="989"/>
      <c r="X117" s="989"/>
      <c r="Y117" s="1146"/>
      <c r="Z117" s="992"/>
      <c r="AA117" s="995"/>
      <c r="AB117" s="992"/>
      <c r="AC117" s="992"/>
      <c r="AD117" s="992"/>
    </row>
    <row customHeight="1" ht="9">
      <c r="A118" s="991"/>
      <c r="B118" s="991"/>
      <c r="C118" s="989"/>
      <c r="D118" s="989"/>
      <c r="E118" s="989"/>
      <c r="F118" s="989"/>
      <c r="G118" s="989"/>
      <c r="H118" s="1037"/>
      <c r="I118" s="1037"/>
      <c r="J118" s="1037"/>
      <c r="K118" s="1037"/>
      <c r="L118" s="1037"/>
      <c r="M118" s="989"/>
      <c r="N118" s="1036"/>
      <c r="O118" s="1103"/>
      <c r="P118" s="1103"/>
      <c r="Q118" s="1103"/>
      <c r="R118" s="1103"/>
      <c r="S118" s="989"/>
      <c r="T118" s="989"/>
      <c r="U118" s="989"/>
      <c r="V118" s="989"/>
      <c r="W118" s="989"/>
      <c r="X118" s="989"/>
      <c r="Y118" s="1146"/>
      <c r="Z118" s="992"/>
      <c r="AA118" s="995"/>
      <c r="AB118" s="992"/>
      <c r="AC118" s="992"/>
      <c r="AD118" s="992"/>
    </row>
    <row customHeight="1" ht="9">
      <c r="A119" s="991"/>
      <c r="B119" s="991"/>
      <c r="C119" s="989"/>
      <c r="D119" s="989"/>
      <c r="E119" s="989"/>
      <c r="F119" s="989"/>
      <c r="G119" s="989"/>
      <c r="H119" s="1037"/>
      <c r="I119" s="1037"/>
      <c r="J119" s="1037"/>
      <c r="K119" s="1037"/>
      <c r="L119" s="1037"/>
      <c r="M119" s="989"/>
      <c r="N119" s="1036"/>
      <c r="O119" s="1103"/>
      <c r="P119" s="1103"/>
      <c r="Q119" s="1103"/>
      <c r="R119" s="1103"/>
      <c r="S119" s="989"/>
      <c r="T119" s="989"/>
      <c r="U119" s="989"/>
      <c r="V119" s="989"/>
      <c r="W119" s="989"/>
      <c r="X119" s="989"/>
      <c r="Y119" s="1146"/>
      <c r="Z119" s="992"/>
      <c r="AA119" s="995"/>
      <c r="AB119" s="992"/>
      <c r="AC119" s="992"/>
      <c r="AD119" s="992"/>
    </row>
    <row customHeight="1" ht="9">
      <c r="A120" s="991"/>
      <c r="B120" s="991"/>
      <c r="C120" s="989"/>
      <c r="D120" s="989"/>
      <c r="E120" s="989"/>
      <c r="F120" s="989"/>
      <c r="G120" s="989"/>
      <c r="H120" s="1037"/>
      <c r="I120" s="1037"/>
      <c r="J120" s="1037"/>
      <c r="K120" s="1037"/>
      <c r="L120" s="1037"/>
      <c r="M120" s="989"/>
      <c r="N120" s="1036"/>
      <c r="O120" s="1103"/>
      <c r="P120" s="1103"/>
      <c r="Q120" s="1103"/>
      <c r="R120" s="1103"/>
      <c r="S120" s="989"/>
      <c r="T120" s="989"/>
      <c r="U120" s="989"/>
      <c r="V120" s="989"/>
      <c r="W120" s="989"/>
      <c r="X120" s="989"/>
      <c r="Y120" s="1146"/>
      <c r="Z120" s="992"/>
      <c r="AA120" s="995"/>
      <c r="AB120" s="992"/>
      <c r="AC120" s="992"/>
      <c r="AD120" s="992"/>
    </row>
    <row customHeight="1" ht="9">
      <c r="A121" s="991"/>
      <c r="B121" s="991"/>
      <c r="C121" s="989"/>
      <c r="D121" s="989"/>
      <c r="E121" s="989"/>
      <c r="F121" s="989"/>
      <c r="G121" s="989"/>
      <c r="H121" s="1037"/>
      <c r="I121" s="1037"/>
      <c r="J121" s="1037"/>
      <c r="K121" s="1037"/>
      <c r="L121" s="1037"/>
      <c r="M121" s="989"/>
      <c r="N121" s="1036"/>
      <c r="O121" s="1103"/>
      <c r="P121" s="1103"/>
      <c r="Q121" s="1103"/>
      <c r="R121" s="1103"/>
      <c r="S121" s="989"/>
      <c r="T121" s="989"/>
      <c r="U121" s="989"/>
      <c r="V121" s="989"/>
      <c r="W121" s="989"/>
      <c r="X121" s="989"/>
      <c r="Y121" s="1146"/>
      <c r="Z121" s="992"/>
      <c r="AA121" s="995"/>
      <c r="AB121" s="992"/>
      <c r="AC121" s="992"/>
      <c r="AD121" s="992"/>
    </row>
    <row customHeight="1" ht="9">
      <c r="A122" s="991"/>
      <c r="B122" s="991"/>
      <c r="C122" s="989"/>
      <c r="D122" s="989"/>
      <c r="E122" s="989"/>
      <c r="F122" s="989"/>
      <c r="G122" s="989"/>
      <c r="H122" s="1037"/>
      <c r="I122" s="1037"/>
      <c r="J122" s="1037"/>
      <c r="K122" s="1037"/>
      <c r="L122" s="1037"/>
      <c r="M122" s="989"/>
      <c r="N122" s="1036"/>
      <c r="O122" s="1103"/>
      <c r="P122" s="1103"/>
      <c r="Q122" s="1103"/>
      <c r="R122" s="1103"/>
      <c r="S122" s="989"/>
      <c r="T122" s="989"/>
      <c r="U122" s="989"/>
      <c r="V122" s="989"/>
      <c r="W122" s="989"/>
      <c r="X122" s="989"/>
      <c r="Y122" s="1146"/>
      <c r="Z122" s="992"/>
      <c r="AA122" s="995"/>
      <c r="AB122" s="992"/>
      <c r="AC122" s="992"/>
      <c r="AD122" s="992"/>
    </row>
    <row customHeight="1" ht="9">
      <c r="A123" s="991"/>
      <c r="B123" s="991"/>
      <c r="C123" s="989"/>
      <c r="D123" s="989"/>
      <c r="E123" s="989"/>
      <c r="F123" s="989"/>
      <c r="G123" s="989"/>
      <c r="H123" s="1037"/>
      <c r="I123" s="1037"/>
      <c r="J123" s="1037"/>
      <c r="K123" s="1037"/>
      <c r="L123" s="1037"/>
      <c r="M123" s="989"/>
      <c r="N123" s="1036"/>
      <c r="O123" s="1103"/>
      <c r="P123" s="1103"/>
      <c r="Q123" s="1103"/>
      <c r="R123" s="1103"/>
      <c r="S123" s="989"/>
      <c r="T123" s="989"/>
      <c r="U123" s="989"/>
      <c r="V123" s="989"/>
      <c r="W123" s="989"/>
      <c r="X123" s="989"/>
      <c r="Y123" s="1146"/>
      <c r="Z123" s="992"/>
      <c r="AA123" s="995"/>
      <c r="AB123" s="992"/>
      <c r="AC123" s="992"/>
      <c r="AD123" s="992"/>
    </row>
    <row customHeight="1" ht="9">
      <c r="A124" s="991"/>
      <c r="B124" s="991"/>
      <c r="C124" s="989"/>
      <c r="D124" s="989"/>
      <c r="E124" s="989"/>
      <c r="F124" s="989"/>
      <c r="G124" s="989"/>
      <c r="H124" s="1037"/>
      <c r="I124" s="1037"/>
      <c r="J124" s="1037"/>
      <c r="K124" s="1037"/>
      <c r="L124" s="1037"/>
      <c r="M124" s="989"/>
      <c r="N124" s="1036"/>
      <c r="O124" s="1103"/>
      <c r="P124" s="1103"/>
      <c r="Q124" s="1103"/>
      <c r="R124" s="1103"/>
      <c r="S124" s="989"/>
      <c r="T124" s="989"/>
      <c r="U124" s="989"/>
      <c r="V124" s="989"/>
      <c r="W124" s="989"/>
      <c r="X124" s="989"/>
      <c r="Y124" s="1146"/>
      <c r="Z124" s="992"/>
      <c r="AA124" s="995"/>
      <c r="AB124" s="992"/>
      <c r="AC124" s="992"/>
      <c r="AD124" s="992"/>
    </row>
    <row customHeight="1" ht="9">
      <c r="A125" s="991"/>
      <c r="B125" s="991"/>
      <c r="C125" s="989"/>
      <c r="D125" s="989"/>
      <c r="E125" s="989"/>
      <c r="F125" s="989"/>
      <c r="G125" s="989"/>
      <c r="H125" s="1037"/>
      <c r="I125" s="1037"/>
      <c r="J125" s="1037"/>
      <c r="K125" s="1037"/>
      <c r="L125" s="1037"/>
      <c r="M125" s="989"/>
      <c r="N125" s="1036"/>
      <c r="O125" s="1103"/>
      <c r="P125" s="1103"/>
      <c r="Q125" s="1103"/>
      <c r="R125" s="1103"/>
      <c r="S125" s="989"/>
      <c r="T125" s="989"/>
      <c r="U125" s="989"/>
      <c r="V125" s="989"/>
      <c r="W125" s="989"/>
      <c r="X125" s="989"/>
      <c r="Y125" s="1146"/>
      <c r="Z125" s="992"/>
      <c r="AA125" s="995"/>
      <c r="AB125" s="992"/>
      <c r="AC125" s="992"/>
      <c r="AD125" s="992"/>
    </row>
    <row customHeight="1" ht="9">
      <c r="A126" s="991"/>
      <c r="B126" s="991"/>
      <c r="C126" s="989"/>
      <c r="D126" s="989"/>
      <c r="E126" s="989"/>
      <c r="F126" s="989"/>
      <c r="G126" s="989"/>
      <c r="H126" s="1037"/>
      <c r="I126" s="1037"/>
      <c r="J126" s="1037"/>
      <c r="K126" s="1037"/>
      <c r="L126" s="1037"/>
      <c r="M126" s="989"/>
      <c r="N126" s="1036"/>
      <c r="O126" s="1103"/>
      <c r="P126" s="1103"/>
      <c r="Q126" s="1103"/>
      <c r="R126" s="1103"/>
      <c r="S126" s="989"/>
      <c r="T126" s="989"/>
      <c r="U126" s="989"/>
      <c r="V126" s="989"/>
      <c r="W126" s="989"/>
      <c r="X126" s="989"/>
      <c r="Y126" s="1146"/>
      <c r="Z126" s="992"/>
      <c r="AA126" s="995"/>
      <c r="AB126" s="992"/>
      <c r="AC126" s="992"/>
      <c r="AD126" s="992"/>
    </row>
    <row customHeight="1" ht="9">
      <c r="A127" s="991"/>
      <c r="B127" s="991"/>
      <c r="C127" s="989"/>
      <c r="D127" s="989"/>
      <c r="E127" s="989"/>
      <c r="F127" s="989"/>
      <c r="G127" s="989"/>
      <c r="H127" s="1037"/>
      <c r="I127" s="1037"/>
      <c r="J127" s="1037"/>
      <c r="K127" s="1037"/>
      <c r="L127" s="1037"/>
      <c r="M127" s="989"/>
      <c r="N127" s="1036"/>
      <c r="O127" s="1103"/>
      <c r="P127" s="1103"/>
      <c r="Q127" s="1103"/>
      <c r="R127" s="1103"/>
      <c r="S127" s="989"/>
      <c r="T127" s="989"/>
      <c r="U127" s="989"/>
      <c r="V127" s="989"/>
      <c r="W127" s="989"/>
      <c r="X127" s="989"/>
      <c r="Y127" s="1146"/>
      <c r="Z127" s="992"/>
      <c r="AA127" s="995"/>
      <c r="AB127" s="992"/>
      <c r="AC127" s="992"/>
      <c r="AD127" s="992"/>
    </row>
    <row customHeight="1" ht="9">
      <c r="A128" s="991"/>
      <c r="B128" s="991"/>
      <c r="C128" s="989"/>
      <c r="D128" s="989"/>
      <c r="E128" s="989"/>
      <c r="F128" s="989"/>
      <c r="G128" s="989"/>
      <c r="H128" s="1037"/>
      <c r="I128" s="1037"/>
      <c r="J128" s="1037"/>
      <c r="K128" s="1037"/>
      <c r="L128" s="1037"/>
      <c r="M128" s="989"/>
      <c r="N128" s="1036"/>
      <c r="O128" s="1103"/>
      <c r="P128" s="1103"/>
      <c r="Q128" s="1103"/>
      <c r="R128" s="1103"/>
      <c r="S128" s="989"/>
      <c r="T128" s="989"/>
      <c r="U128" s="989"/>
      <c r="V128" s="989"/>
      <c r="W128" s="989"/>
      <c r="X128" s="989"/>
      <c r="Y128" s="1146"/>
      <c r="Z128" s="992"/>
      <c r="AA128" s="995"/>
      <c r="AB128" s="992"/>
      <c r="AC128" s="992"/>
      <c r="AD128" s="992"/>
    </row>
    <row customHeight="1" ht="9">
      <c r="A129" s="991"/>
      <c r="B129" s="991"/>
      <c r="C129" s="989"/>
      <c r="D129" s="989"/>
      <c r="E129" s="989"/>
      <c r="F129" s="989"/>
      <c r="G129" s="989"/>
      <c r="H129" s="1037"/>
      <c r="I129" s="1037"/>
      <c r="J129" s="1037"/>
      <c r="K129" s="1037"/>
      <c r="L129" s="1037"/>
      <c r="M129" s="989"/>
      <c r="N129" s="1036"/>
      <c r="O129" s="1103"/>
      <c r="P129" s="1103"/>
      <c r="Q129" s="1103"/>
      <c r="R129" s="1103"/>
      <c r="S129" s="989"/>
      <c r="T129" s="989"/>
      <c r="U129" s="989"/>
      <c r="V129" s="989"/>
      <c r="W129" s="989"/>
      <c r="X129" s="989"/>
      <c r="Y129" s="1146"/>
      <c r="Z129" s="992"/>
      <c r="AA129" s="995"/>
      <c r="AB129" s="992"/>
      <c r="AC129" s="992"/>
      <c r="AD129" s="992"/>
    </row>
    <row customHeight="1" ht="9">
      <c r="A130" s="991"/>
      <c r="B130" s="991"/>
      <c r="C130" s="989"/>
      <c r="D130" s="989"/>
      <c r="E130" s="989"/>
      <c r="F130" s="989"/>
      <c r="G130" s="989"/>
      <c r="H130" s="1037"/>
      <c r="I130" s="1037"/>
      <c r="J130" s="1037"/>
      <c r="K130" s="1037"/>
      <c r="L130" s="1037"/>
      <c r="M130" s="989"/>
      <c r="N130" s="1036"/>
      <c r="O130" s="1105"/>
      <c r="P130" s="1105"/>
      <c r="Q130" s="1105"/>
      <c r="R130" s="1105"/>
      <c r="S130" s="989"/>
      <c r="T130" s="989"/>
      <c r="U130" s="989"/>
      <c r="V130" s="989"/>
      <c r="W130" s="989"/>
      <c r="X130" s="989"/>
      <c r="Y130" s="1146"/>
      <c r="Z130" s="992"/>
      <c r="AA130" s="995"/>
      <c r="AB130" s="992"/>
      <c r="AC130" s="992"/>
      <c r="AD130" s="992"/>
    </row>
    <row customHeight="1" ht="9">
      <c r="A131" s="991"/>
      <c r="B131" s="991"/>
      <c r="C131" s="989"/>
      <c r="D131" s="989"/>
      <c r="E131" s="989"/>
      <c r="F131" s="989"/>
      <c r="G131" s="989"/>
      <c r="H131" s="1037"/>
      <c r="I131" s="1037"/>
      <c r="J131" s="1037"/>
      <c r="K131" s="1037"/>
      <c r="L131" s="1037"/>
      <c r="M131" s="989"/>
      <c r="N131" s="1036"/>
      <c r="O131" s="1106"/>
      <c r="P131" s="1106"/>
      <c r="Q131" s="1106"/>
      <c r="R131" s="1106"/>
      <c r="S131" s="989"/>
      <c r="T131" s="989"/>
      <c r="U131" s="989"/>
      <c r="V131" s="989"/>
      <c r="W131" s="989"/>
      <c r="X131" s="989"/>
      <c r="Y131" s="1146"/>
      <c r="Z131" s="992"/>
      <c r="AA131" s="995"/>
      <c r="AB131" s="992"/>
      <c r="AC131" s="992"/>
      <c r="AD131" s="992"/>
    </row>
    <row customHeight="1" ht="9">
      <c r="A132" s="991"/>
      <c r="B132" s="991"/>
      <c r="C132" s="989"/>
      <c r="D132" s="989"/>
      <c r="E132" s="989"/>
      <c r="F132" s="989"/>
      <c r="G132" s="989"/>
      <c r="H132" s="1037"/>
      <c r="I132" s="1037"/>
      <c r="J132" s="1037"/>
      <c r="K132" s="1037"/>
      <c r="L132" s="1037"/>
      <c r="M132" s="989"/>
      <c r="N132" s="1036"/>
      <c r="O132" s="1105"/>
      <c r="P132" s="1105"/>
      <c r="Q132" s="1105"/>
      <c r="R132" s="1105"/>
      <c r="S132" s="989"/>
      <c r="T132" s="989"/>
      <c r="U132" s="989"/>
      <c r="V132" s="989"/>
      <c r="W132" s="989"/>
      <c r="X132" s="989"/>
      <c r="Y132" s="1146"/>
      <c r="Z132" s="992"/>
      <c r="AA132" s="995"/>
      <c r="AB132" s="992"/>
      <c r="AC132" s="992"/>
      <c r="AD132" s="992"/>
    </row>
    <row customHeight="1" ht="9">
      <c r="A133" s="991"/>
      <c r="B133" s="991"/>
      <c r="C133" s="989"/>
      <c r="D133" s="989"/>
      <c r="E133" s="989"/>
      <c r="F133" s="989"/>
      <c r="G133" s="989"/>
      <c r="H133" s="1037"/>
      <c r="I133" s="1037"/>
      <c r="J133" s="1037"/>
      <c r="K133" s="1037"/>
      <c r="L133" s="1037"/>
      <c r="M133" s="989"/>
      <c r="N133" s="1036"/>
      <c r="O133" s="1106"/>
      <c r="P133" s="1106"/>
      <c r="Q133" s="1106"/>
      <c r="R133" s="1106"/>
      <c r="S133" s="989"/>
      <c r="T133" s="989"/>
      <c r="U133" s="989"/>
      <c r="V133" s="989"/>
      <c r="W133" s="989"/>
      <c r="X133" s="989"/>
      <c r="Y133" s="1146"/>
      <c r="Z133" s="992"/>
      <c r="AA133" s="995"/>
      <c r="AB133" s="992"/>
      <c r="AC133" s="992"/>
      <c r="AD133" s="992"/>
    </row>
    <row customHeight="1" ht="9">
      <c r="A134" s="991"/>
      <c r="B134" s="991"/>
      <c r="C134" s="989"/>
      <c r="D134" s="989"/>
      <c r="E134" s="989"/>
      <c r="F134" s="989"/>
      <c r="G134" s="989"/>
      <c r="H134" s="1037"/>
      <c r="I134" s="1037"/>
      <c r="J134" s="1037"/>
      <c r="K134" s="1037"/>
      <c r="L134" s="1037"/>
      <c r="M134" s="989"/>
      <c r="N134" s="1036"/>
      <c r="O134" s="1103"/>
      <c r="P134" s="1103"/>
      <c r="Q134" s="1103"/>
      <c r="R134" s="1103"/>
      <c r="S134" s="989"/>
      <c r="T134" s="989"/>
      <c r="U134" s="989"/>
      <c r="V134" s="989"/>
      <c r="W134" s="989"/>
      <c r="X134" s="989"/>
      <c r="Y134" s="1146"/>
      <c r="Z134" s="992"/>
      <c r="AA134" s="995"/>
      <c r="AB134" s="992"/>
      <c r="AC134" s="992"/>
      <c r="AD134" s="992"/>
    </row>
    <row customHeight="1" ht="9">
      <c r="A135" s="991"/>
      <c r="B135" s="991"/>
      <c r="C135" s="989"/>
      <c r="D135" s="989"/>
      <c r="E135" s="989"/>
      <c r="F135" s="989"/>
      <c r="G135" s="989"/>
      <c r="H135" s="1037"/>
      <c r="I135" s="1037"/>
      <c r="J135" s="1037"/>
      <c r="K135" s="1037"/>
      <c r="L135" s="1037"/>
      <c r="M135" s="989"/>
      <c r="N135" s="1036"/>
      <c r="O135" s="1103"/>
      <c r="P135" s="1103"/>
      <c r="Q135" s="1103"/>
      <c r="R135" s="1103"/>
      <c r="S135" s="989"/>
      <c r="T135" s="989"/>
      <c r="U135" s="989"/>
      <c r="V135" s="989"/>
      <c r="W135" s="989"/>
      <c r="X135" s="989"/>
      <c r="Y135" s="1146"/>
      <c r="Z135" s="992"/>
      <c r="AA135" s="995"/>
      <c r="AB135" s="992"/>
      <c r="AC135" s="992"/>
      <c r="AD135" s="992"/>
    </row>
    <row customHeight="1" ht="9">
      <c r="A136" s="991"/>
      <c r="B136" s="991"/>
      <c r="C136" s="989"/>
      <c r="D136" s="989"/>
      <c r="E136" s="989"/>
      <c r="F136" s="989"/>
      <c r="G136" s="989"/>
      <c r="H136" s="1037"/>
      <c r="I136" s="1037"/>
      <c r="J136" s="1037"/>
      <c r="K136" s="1037"/>
      <c r="L136" s="1037"/>
      <c r="M136" s="989"/>
      <c r="N136" s="1036"/>
      <c r="O136" s="1103"/>
      <c r="P136" s="1103"/>
      <c r="Q136" s="1103"/>
      <c r="R136" s="1103"/>
      <c r="S136" s="989"/>
      <c r="T136" s="989"/>
      <c r="U136" s="989"/>
      <c r="V136" s="989"/>
      <c r="W136" s="989"/>
      <c r="X136" s="989"/>
      <c r="Y136" s="1146"/>
      <c r="Z136" s="992"/>
      <c r="AA136" s="995"/>
      <c r="AB136" s="992"/>
      <c r="AC136" s="992"/>
      <c r="AD136" s="992"/>
    </row>
    <row customHeight="1" ht="9">
      <c r="A137" s="991"/>
      <c r="B137" s="991"/>
      <c r="C137" s="989"/>
      <c r="D137" s="989"/>
      <c r="E137" s="989"/>
      <c r="F137" s="989"/>
      <c r="G137" s="989"/>
      <c r="H137" s="1037"/>
      <c r="I137" s="1037"/>
      <c r="J137" s="1037"/>
      <c r="K137" s="1037"/>
      <c r="L137" s="1037"/>
      <c r="M137" s="989"/>
      <c r="N137" s="1036"/>
      <c r="O137" s="1107"/>
      <c r="P137" s="1107"/>
      <c r="Q137" s="1107"/>
      <c r="R137" s="1107"/>
      <c r="S137" s="989"/>
      <c r="T137" s="989"/>
      <c r="U137" s="989"/>
      <c r="V137" s="989"/>
      <c r="W137" s="989"/>
      <c r="X137" s="989"/>
      <c r="Y137" s="1146"/>
      <c r="Z137" s="992"/>
      <c r="AA137" s="995"/>
      <c r="AB137" s="992"/>
      <c r="AC137" s="992"/>
      <c r="AD137" s="992"/>
    </row>
    <row customHeight="1" ht="9">
      <c r="A138" s="991"/>
      <c r="B138" s="991"/>
      <c r="C138" s="989"/>
      <c r="D138" s="989"/>
      <c r="E138" s="989"/>
      <c r="F138" s="989"/>
      <c r="G138" s="989"/>
      <c r="H138" s="1037"/>
      <c r="I138" s="1037"/>
      <c r="J138" s="1037"/>
      <c r="K138" s="1037"/>
      <c r="L138" s="1037"/>
      <c r="M138" s="989"/>
      <c r="N138" s="1036"/>
      <c r="O138" s="1104"/>
      <c r="P138" s="1104"/>
      <c r="Q138" s="1104"/>
      <c r="R138" s="1104"/>
      <c r="S138" s="989"/>
      <c r="T138" s="989"/>
      <c r="U138" s="989"/>
      <c r="V138" s="989"/>
      <c r="W138" s="989"/>
      <c r="X138" s="989"/>
      <c r="Y138" s="1146"/>
      <c r="Z138" s="992"/>
      <c r="AA138" s="995"/>
      <c r="AB138" s="992"/>
      <c r="AC138" s="992"/>
      <c r="AD138" s="992"/>
    </row>
    <row customHeight="1" ht="9">
      <c r="A139" s="991"/>
      <c r="B139" s="991"/>
      <c r="C139" s="989"/>
      <c r="D139" s="989"/>
      <c r="E139" s="989"/>
      <c r="F139" s="989"/>
      <c r="G139" s="989"/>
      <c r="H139" s="1037"/>
      <c r="I139" s="1037"/>
      <c r="J139" s="1037"/>
      <c r="K139" s="1037"/>
      <c r="L139" s="1037"/>
      <c r="M139" s="989"/>
      <c r="N139" s="1036"/>
      <c r="O139" s="989"/>
      <c r="P139" s="989"/>
      <c r="Q139" s="989"/>
      <c r="R139" s="989"/>
      <c r="S139" s="989"/>
      <c r="T139" s="989"/>
      <c r="U139" s="989"/>
      <c r="V139" s="989"/>
      <c r="W139" s="989"/>
      <c r="X139" s="989"/>
      <c r="Y139" s="1146"/>
      <c r="Z139" s="992"/>
      <c r="AA139" s="995"/>
      <c r="AB139" s="992"/>
      <c r="AC139" s="992"/>
      <c r="AD139" s="992"/>
    </row>
    <row customHeight="1" ht="9">
      <c r="A140" s="991"/>
      <c r="B140" s="991"/>
      <c r="C140" s="989"/>
      <c r="D140" s="989"/>
      <c r="E140" s="989"/>
      <c r="F140" s="989"/>
      <c r="G140" s="989"/>
      <c r="H140" s="1037"/>
      <c r="I140" s="1037"/>
      <c r="J140" s="1037"/>
      <c r="K140" s="1037"/>
      <c r="L140" s="1037"/>
      <c r="M140" s="989"/>
      <c r="N140" s="1036"/>
      <c r="O140" s="989"/>
      <c r="P140" s="989"/>
      <c r="Q140" s="989"/>
      <c r="R140" s="989"/>
      <c r="S140" s="989"/>
      <c r="T140" s="989"/>
      <c r="U140" s="989"/>
      <c r="V140" s="989"/>
      <c r="W140" s="989"/>
      <c r="X140" s="989"/>
      <c r="Y140" s="1146"/>
      <c r="Z140" s="992"/>
      <c r="AA140" s="995"/>
      <c r="AB140" s="992"/>
      <c r="AC140" s="992"/>
      <c r="AD140" s="992"/>
    </row>
    <row customHeight="1" ht="9">
      <c r="A141" s="991"/>
      <c r="B141" s="991"/>
      <c r="C141" s="989"/>
      <c r="D141" s="989"/>
      <c r="E141" s="989"/>
      <c r="F141" s="989"/>
      <c r="G141" s="989"/>
      <c r="H141" s="1037"/>
      <c r="I141" s="1037"/>
      <c r="J141" s="1037"/>
      <c r="K141" s="1037"/>
      <c r="L141" s="1037"/>
      <c r="M141" s="989"/>
      <c r="N141" s="1036"/>
      <c r="O141" s="989"/>
      <c r="P141" s="989"/>
      <c r="Q141" s="989"/>
      <c r="R141" s="989"/>
      <c r="S141" s="989"/>
      <c r="T141" s="989"/>
      <c r="U141" s="989"/>
      <c r="V141" s="989"/>
      <c r="W141" s="989"/>
      <c r="X141" s="989"/>
      <c r="Y141" s="1146"/>
      <c r="Z141" s="992"/>
      <c r="AA141" s="995"/>
      <c r="AB141" s="992"/>
      <c r="AC141" s="992"/>
      <c r="AD141" s="992"/>
    </row>
    <row customHeight="1" ht="9">
      <c r="A142" s="991"/>
      <c r="B142" s="991"/>
      <c r="C142" s="989"/>
      <c r="D142" s="989"/>
      <c r="E142" s="989"/>
      <c r="F142" s="989"/>
      <c r="G142" s="989"/>
      <c r="H142" s="1037"/>
      <c r="I142" s="1037"/>
      <c r="J142" s="1037"/>
      <c r="K142" s="1037"/>
      <c r="L142" s="1037"/>
      <c r="M142" s="989"/>
      <c r="N142" s="1036"/>
      <c r="O142" s="989"/>
      <c r="P142" s="989"/>
      <c r="Q142" s="989"/>
      <c r="R142" s="989"/>
      <c r="S142" s="989"/>
      <c r="T142" s="989"/>
      <c r="U142" s="989"/>
      <c r="V142" s="989"/>
      <c r="W142" s="989"/>
      <c r="X142" s="989"/>
      <c r="Y142" s="1146"/>
      <c r="Z142" s="992"/>
      <c r="AA142" s="995"/>
      <c r="AB142" s="992"/>
      <c r="AC142" s="992"/>
      <c r="AD142" s="992"/>
    </row>
    <row customHeight="1" ht="9">
      <c r="A143" s="991"/>
      <c r="B143" s="991"/>
      <c r="C143" s="989"/>
      <c r="D143" s="989"/>
      <c r="E143" s="989"/>
      <c r="F143" s="989"/>
      <c r="G143" s="989"/>
      <c r="H143" s="1037"/>
      <c r="I143" s="1037"/>
      <c r="J143" s="1037"/>
      <c r="K143" s="1037"/>
      <c r="L143" s="1037"/>
      <c r="M143" s="989"/>
      <c r="N143" s="1036"/>
      <c r="O143" s="989"/>
      <c r="P143" s="989"/>
      <c r="Q143" s="989"/>
      <c r="R143" s="989"/>
      <c r="S143" s="989"/>
      <c r="T143" s="989"/>
      <c r="U143" s="989"/>
      <c r="V143" s="989"/>
      <c r="W143" s="989"/>
      <c r="X143" s="989"/>
      <c r="Y143" s="1146"/>
      <c r="Z143" s="992"/>
      <c r="AA143" s="995"/>
      <c r="AB143" s="992"/>
      <c r="AC143" s="992"/>
      <c r="AD143" s="992"/>
    </row>
    <row customHeight="1" ht="9">
      <c r="A144" s="991"/>
      <c r="B144" s="991"/>
      <c r="C144" s="989"/>
      <c r="D144" s="989"/>
      <c r="E144" s="989"/>
      <c r="F144" s="989"/>
      <c r="G144" s="989"/>
      <c r="H144" s="1037"/>
      <c r="I144" s="1037"/>
      <c r="J144" s="1037"/>
      <c r="K144" s="1037"/>
      <c r="L144" s="1037"/>
      <c r="M144" s="989"/>
      <c r="N144" s="1036"/>
      <c r="O144" s="989"/>
      <c r="P144" s="989"/>
      <c r="Q144" s="989"/>
      <c r="R144" s="989"/>
      <c r="S144" s="989"/>
      <c r="T144" s="989"/>
      <c r="U144" s="989"/>
      <c r="V144" s="989"/>
      <c r="W144" s="989"/>
      <c r="X144" s="989"/>
      <c r="Y144" s="1146"/>
      <c r="Z144" s="992"/>
      <c r="AA144" s="995"/>
      <c r="AB144" s="992"/>
      <c r="AC144" s="992"/>
      <c r="AD144" s="992"/>
    </row>
    <row customHeight="1" ht="9">
      <c r="A145" s="991"/>
      <c r="B145" s="991"/>
      <c r="C145" s="989"/>
      <c r="D145" s="989"/>
      <c r="E145" s="989"/>
      <c r="F145" s="989"/>
      <c r="G145" s="989"/>
      <c r="H145" s="1037"/>
      <c r="I145" s="1037"/>
      <c r="J145" s="1037"/>
      <c r="K145" s="1037"/>
      <c r="L145" s="1037"/>
      <c r="M145" s="989"/>
      <c r="N145" s="1036"/>
      <c r="O145" s="989"/>
      <c r="P145" s="989"/>
      <c r="Q145" s="989"/>
      <c r="R145" s="989"/>
      <c r="S145" s="989"/>
      <c r="T145" s="989"/>
      <c r="U145" s="989"/>
      <c r="V145" s="989"/>
      <c r="W145" s="989"/>
      <c r="X145" s="989"/>
      <c r="Y145" s="1146"/>
      <c r="Z145" s="992"/>
      <c r="AA145" s="995"/>
      <c r="AB145" s="992"/>
      <c r="AC145" s="992"/>
      <c r="AD145" s="992"/>
    </row>
    <row customHeight="1" ht="9">
      <c r="A146" s="991"/>
      <c r="B146" s="991"/>
      <c r="C146" s="989"/>
      <c r="D146" s="989"/>
      <c r="E146" s="989"/>
      <c r="F146" s="989"/>
      <c r="G146" s="989"/>
      <c r="H146" s="1037"/>
      <c r="I146" s="1037"/>
      <c r="J146" s="1037"/>
      <c r="K146" s="1037"/>
      <c r="L146" s="1037"/>
      <c r="M146" s="989"/>
      <c r="N146" s="1036"/>
      <c r="O146" s="989"/>
      <c r="P146" s="989"/>
      <c r="Q146" s="989"/>
      <c r="R146" s="989"/>
      <c r="S146" s="989"/>
      <c r="T146" s="989"/>
      <c r="U146" s="989"/>
      <c r="V146" s="989"/>
      <c r="W146" s="989"/>
      <c r="X146" s="989"/>
      <c r="Y146" s="1146"/>
      <c r="Z146" s="992"/>
      <c r="AA146" s="995"/>
      <c r="AB146" s="992"/>
      <c r="AC146" s="992"/>
      <c r="AD146" s="992"/>
    </row>
    <row customHeight="1" ht="9">
      <c r="A147" s="991"/>
      <c r="B147" s="991"/>
      <c r="C147" s="991"/>
      <c r="D147" s="991"/>
      <c r="E147" s="991"/>
      <c r="F147" s="991"/>
      <c r="G147" s="991"/>
      <c r="H147" s="991"/>
      <c r="I147" s="991"/>
      <c r="J147" s="991"/>
      <c r="K147" s="991"/>
      <c r="L147" s="991"/>
      <c r="M147" s="991"/>
      <c r="N147" s="991"/>
      <c r="O147" s="991"/>
      <c r="P147" s="991"/>
      <c r="Q147" s="991"/>
      <c r="R147" s="991"/>
      <c r="S147" s="991"/>
      <c r="T147" s="991"/>
      <c r="U147" s="991"/>
      <c r="V147" s="991"/>
      <c r="W147" s="991"/>
      <c r="X147" s="991"/>
      <c r="Y147" s="991"/>
      <c r="Z147" s="991"/>
      <c r="AA147" s="991"/>
      <c r="AB147" s="991"/>
      <c r="AC147" s="991"/>
      <c r="AD147" s="991"/>
    </row>
    <row customHeight="1" ht="90">
      <c r="A148" s="991" t="s">
        <v>1964</v>
      </c>
      <c r="B148" s="991"/>
      <c r="C148" s="989" t="s">
        <v>2507</v>
      </c>
      <c r="D148" s="989" t="s">
        <v>1220</v>
      </c>
      <c r="E148" s="989" t="s">
        <v>1265</v>
      </c>
      <c r="F148" s="989" t="s">
        <v>1118</v>
      </c>
      <c r="G148" s="989"/>
      <c r="H148" s="989"/>
      <c r="I148" s="1109"/>
      <c r="J148" s="1109"/>
      <c r="K148" s="1109"/>
      <c r="L148" s="1109"/>
      <c r="M148" s="103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994"/>
      <c r="O148" s="989"/>
      <c r="P148" s="990"/>
      <c r="Q148" s="990"/>
      <c r="R148" s="990"/>
      <c r="S148" s="989"/>
      <c r="T148" s="989" t="s">
        <v>2508</v>
      </c>
      <c r="U148" s="99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990"/>
      <c r="W148" s="990"/>
      <c r="X148" s="989" t="s">
        <v>2509</v>
      </c>
      <c r="Y148" s="1146"/>
      <c r="Z148" s="992"/>
      <c r="AA148" s="995"/>
      <c r="AB148" s="992"/>
      <c r="AC148" s="992"/>
      <c r="AD148" s="992"/>
    </row>
    <row customHeight="1" ht="9">
      <c r="A149" s="991"/>
      <c r="B149" s="991"/>
      <c r="C149" s="991"/>
      <c r="D149" s="991"/>
      <c r="E149" s="991"/>
      <c r="F149" s="991"/>
      <c r="G149" s="991"/>
      <c r="H149" s="991"/>
      <c r="I149" s="991"/>
      <c r="J149" s="991"/>
      <c r="K149" s="991"/>
      <c r="L149" s="991"/>
      <c r="M149" s="991"/>
      <c r="N149" s="991"/>
      <c r="O149" s="991"/>
      <c r="P149" s="991"/>
      <c r="Q149" s="991"/>
      <c r="R149" s="991"/>
      <c r="S149" s="991"/>
      <c r="T149" s="991"/>
      <c r="U149" s="991"/>
      <c r="V149" s="991"/>
      <c r="W149" s="991"/>
      <c r="X149" s="991"/>
      <c r="Y149" s="991"/>
      <c r="Z149" s="991"/>
      <c r="AA149" s="991"/>
      <c r="AB149" s="991"/>
      <c r="AC149" s="991"/>
      <c r="AD149" s="991"/>
    </row>
    <row customHeight="1" ht="9">
      <c r="A150" s="991" t="s">
        <v>1967</v>
      </c>
      <c r="B150" s="991"/>
      <c r="C150" s="989"/>
      <c r="D150" s="989"/>
      <c r="E150" s="989"/>
      <c r="F150" s="989"/>
      <c r="G150" s="989"/>
      <c r="H150" s="989"/>
      <c r="I150" s="989"/>
      <c r="J150" s="989"/>
      <c r="K150" s="989"/>
      <c r="L150" s="989"/>
      <c r="M150" s="989"/>
      <c r="N150" s="989"/>
      <c r="O150" s="989"/>
      <c r="P150" s="989"/>
      <c r="Q150" s="989"/>
      <c r="R150" s="989"/>
      <c r="S150" s="989"/>
      <c r="T150" s="989"/>
      <c r="U150" s="989"/>
      <c r="V150" s="989"/>
      <c r="W150" s="989"/>
      <c r="X150" s="989"/>
      <c r="Y150" s="1146"/>
      <c r="Z150" s="992"/>
      <c r="AA150" s="995"/>
      <c r="AB150" s="992"/>
      <c r="AC150" s="992"/>
      <c r="AD150" s="992"/>
    </row>
    <row customHeight="1" ht="9">
      <c r="A151" s="991"/>
      <c r="B151" s="991"/>
      <c r="C151" s="991"/>
      <c r="D151" s="991"/>
      <c r="E151" s="991"/>
      <c r="F151" s="991"/>
      <c r="G151" s="991"/>
      <c r="H151" s="991"/>
      <c r="I151" s="991"/>
      <c r="J151" s="991"/>
      <c r="K151" s="991"/>
      <c r="L151" s="991"/>
      <c r="M151" s="991"/>
      <c r="N151" s="991"/>
      <c r="O151" s="991"/>
      <c r="P151" s="991"/>
      <c r="Q151" s="991"/>
      <c r="R151" s="991"/>
      <c r="S151" s="991"/>
      <c r="T151" s="991"/>
      <c r="U151" s="991"/>
      <c r="V151" s="991"/>
      <c r="W151" s="991"/>
      <c r="X151" s="991"/>
      <c r="Y151" s="991"/>
      <c r="Z151" s="991"/>
      <c r="AA151" s="991"/>
      <c r="AB151" s="991"/>
      <c r="AC151" s="991"/>
      <c r="AD151" s="991"/>
    </row>
    <row customHeight="1" ht="9">
      <c r="A152" s="991" t="s">
        <v>1969</v>
      </c>
      <c r="B152" s="991"/>
      <c r="C152" s="989"/>
      <c r="D152" s="989"/>
      <c r="E152" s="989"/>
      <c r="F152" s="989"/>
      <c r="G152" s="989"/>
      <c r="H152" s="989"/>
      <c r="I152" s="989"/>
      <c r="J152" s="989"/>
      <c r="K152" s="989"/>
      <c r="L152" s="989"/>
      <c r="M152" s="989"/>
      <c r="N152" s="989"/>
      <c r="O152" s="989"/>
      <c r="P152" s="989"/>
      <c r="Q152" s="989"/>
      <c r="R152" s="989"/>
      <c r="S152" s="989"/>
      <c r="T152" s="989"/>
      <c r="U152" s="989"/>
      <c r="V152" s="989"/>
      <c r="W152" s="989"/>
      <c r="X152" s="989"/>
      <c r="Y152" s="1146"/>
      <c r="Z152" s="992"/>
      <c r="AA152" s="995"/>
      <c r="AB152" s="992"/>
      <c r="AC152" s="992"/>
      <c r="AD152" s="992"/>
    </row>
    <row customHeight="1" ht="9">
      <c r="A153" s="991"/>
      <c r="B153" s="991"/>
      <c r="C153" s="991"/>
      <c r="D153" s="991"/>
      <c r="E153" s="991"/>
      <c r="F153" s="991"/>
      <c r="G153" s="991"/>
      <c r="H153" s="991"/>
      <c r="I153" s="991"/>
      <c r="J153" s="991"/>
      <c r="K153" s="991"/>
      <c r="L153" s="991"/>
      <c r="M153" s="991"/>
      <c r="N153" s="991"/>
      <c r="O153" s="991"/>
      <c r="P153" s="991"/>
      <c r="Q153" s="991"/>
      <c r="R153" s="991"/>
      <c r="S153" s="991"/>
      <c r="T153" s="991"/>
      <c r="U153" s="991"/>
      <c r="V153" s="991"/>
      <c r="W153" s="991"/>
      <c r="X153" s="991"/>
      <c r="Y153" s="991"/>
      <c r="Z153" s="991"/>
      <c r="AA153" s="991"/>
      <c r="AB153" s="991"/>
      <c r="AC153" s="991"/>
      <c r="AD153" s="991"/>
    </row>
    <row customHeight="1" ht="9">
      <c r="A154" s="991" t="s">
        <v>1973</v>
      </c>
      <c r="B154" s="991"/>
      <c r="C154" s="989"/>
      <c r="D154" s="989"/>
      <c r="E154" s="989"/>
      <c r="F154" s="989"/>
      <c r="G154" s="989"/>
      <c r="H154" s="989"/>
      <c r="I154" s="989"/>
      <c r="J154" s="989"/>
      <c r="K154" s="989"/>
      <c r="L154" s="989"/>
      <c r="M154" s="989"/>
      <c r="N154" s="989"/>
      <c r="O154" s="989"/>
      <c r="P154" s="989"/>
      <c r="Q154" s="989"/>
      <c r="R154" s="989"/>
      <c r="S154" s="989"/>
      <c r="T154" s="989"/>
      <c r="U154" s="989"/>
      <c r="V154" s="989"/>
      <c r="W154" s="989"/>
      <c r="X154" s="989"/>
      <c r="Y154" s="1146"/>
      <c r="Z154" s="992"/>
      <c r="AA154" s="995"/>
      <c r="AB154" s="992"/>
      <c r="AC154" s="992"/>
      <c r="AD154" s="99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373741-8364-29C9-53DD-0.338AD2F7}"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7180" width="10.57421875" hidden="1"/>
    <col min="2" max="2" style="7180" width="11.00390625" hidden="1" customWidth="1"/>
    <col min="3" max="3" style="7180" width="10.57421875" hidden="1"/>
    <col min="4" max="4" style="7180" width="11.8515625" hidden="1" customWidth="1"/>
    <col min="5" max="5" style="7180" width="12.28125" hidden="1" customWidth="1"/>
    <col min="6" max="8" style="6396" width="12.28125" hidden="1" customWidth="1"/>
    <col min="9" max="9" style="7938" width="3.00390625" customWidth="1"/>
    <col min="10" max="11" style="7205" width="3.00390625" customWidth="1"/>
    <col min="12" max="12" style="7910" width="12.00390625" customWidth="1"/>
    <col min="13" max="13" style="7235" width="31.00390625" customWidth="1"/>
    <col min="14" max="14" style="7235" width="1.00390625" customWidth="1"/>
    <col min="15" max="18" style="7235" width="24.00390625" customWidth="1"/>
    <col min="19" max="19" style="7235" width="11.00390625" customWidth="1"/>
    <col min="20" max="20" style="7235" width="3.7109375" customWidth="1"/>
    <col min="21" max="21" style="7235" width="11.00390625" customWidth="1"/>
    <col min="22" max="22" style="7235" width="8.57421875" customWidth="1"/>
    <col min="23" max="23" style="7235" width="4.00390625" customWidth="1"/>
    <col min="24" max="24" style="7235" width="115.00390625" customWidth="1"/>
    <col min="25" max="29" style="6720" width="10.00390625" customWidth="1"/>
    <col min="30" max="30" style="7235" width="10.57421875" hidden="1"/>
  </cols>
  <sheetData>
    <row customHeight="1" ht="22.5" hidden="1">
      <c r="R1" s="473"/>
      <c r="S1" s="473"/>
      <c r="AD1" s="1301" t="s">
        <v>14</v>
      </c>
    </row>
    <row customHeight="1" ht="14.25" hidden="1">
      <c r="V2" s="473"/>
      <c r="AD2" s="1301">
        <v>0</v>
      </c>
    </row>
    <row customHeight="1" ht="14.25" hidden="1">
      <c r="AD3" s="1301">
        <v>0</v>
      </c>
    </row>
    <row customHeight="1" ht="14.699999999999998">
      <c r="J4" s="522"/>
      <c r="K4" s="522"/>
      <c r="L4" s="1421"/>
      <c r="M4" s="509"/>
      <c r="N4" s="509"/>
      <c r="O4" s="655"/>
      <c r="P4" s="655"/>
      <c r="Q4" s="655"/>
      <c r="R4" s="655"/>
      <c r="S4" s="655"/>
      <c r="T4" s="655"/>
      <c r="U4" s="655"/>
      <c r="V4" s="655"/>
      <c r="AD4" s="1301">
        <v>14</v>
      </c>
    </row>
    <row customHeight="1" ht="67.2">
      <c r="J5" s="522"/>
      <c r="K5" s="522"/>
      <c r="L5" s="2762" t="s">
        <v>2510</v>
      </c>
      <c r="M5" s="2762"/>
      <c r="N5" s="2762"/>
      <c r="O5" s="2762"/>
      <c r="P5" s="2762"/>
      <c r="Q5" s="2762"/>
      <c r="R5" s="2762"/>
      <c r="S5" s="2762"/>
      <c r="T5" s="2762"/>
      <c r="U5" s="2762"/>
      <c r="V5" s="1389"/>
      <c r="AD5" s="1301">
        <v>64</v>
      </c>
    </row>
    <row customHeight="1" ht="14.699999999999998">
      <c r="J6" s="522"/>
      <c r="K6" s="522"/>
      <c r="L6" s="2763" t="str">
        <f>IF(org=0,"Не определено",org)</f>
        <v>ПАО "ТГК-14"</v>
      </c>
      <c r="M6" s="2763"/>
      <c r="N6" s="2763"/>
      <c r="O6" s="2763"/>
      <c r="P6" s="2763"/>
      <c r="Q6" s="2763"/>
      <c r="R6" s="2763"/>
      <c r="S6" s="2763"/>
      <c r="T6" s="2763"/>
      <c r="U6" s="2763"/>
      <c r="V6" s="1389"/>
      <c r="AD6" s="1301">
        <v>14</v>
      </c>
    </row>
    <row customHeight="1" ht="14.699999999999998">
      <c r="J7" s="522"/>
      <c r="K7" s="522"/>
      <c r="L7" s="1421"/>
      <c r="M7" s="509"/>
      <c r="N7" s="509"/>
      <c r="O7" s="468"/>
      <c r="P7" s="468"/>
      <c r="Q7" s="468"/>
      <c r="R7" s="468"/>
      <c r="S7" s="468"/>
      <c r="T7" s="468"/>
      <c r="U7" s="468"/>
      <c r="V7" s="468"/>
      <c r="W7" s="655"/>
      <c r="AD7" s="1301">
        <v>14</v>
      </c>
    </row>
    <row s="7809" customFormat="1" customHeight="1" ht="48.29999999999999">
      <c r="A8" s="1514"/>
      <c r="B8" s="1514"/>
      <c r="C8" s="1514"/>
      <c r="D8" s="1514"/>
      <c r="E8" s="1514"/>
      <c r="F8" s="1514"/>
      <c r="G8" s="1514"/>
      <c r="H8" s="1514"/>
      <c r="L8" s="1422"/>
      <c r="M8" s="441" t="s">
        <v>42</v>
      </c>
      <c r="N8" s="450"/>
      <c r="O8" s="2410" t="str">
        <f>IF(TITLE_NAME_OR_PR_CHANGE="",IF(TITLE_NAME_OR_PR="","",TITLE_NAME_OR_PR),TITLE_NAME_OR_PR_CHANGE)</f>
        <v/>
      </c>
      <c r="P8" s="2410"/>
      <c r="Q8" s="2410"/>
      <c r="R8" s="2410"/>
      <c r="S8" s="2410"/>
      <c r="T8" s="2410"/>
      <c r="U8" s="2410"/>
      <c r="V8" s="472"/>
      <c r="W8" s="472"/>
      <c r="X8" s="426"/>
      <c r="Y8" s="514"/>
      <c r="Z8" s="514"/>
      <c r="AA8" s="514"/>
      <c r="AB8" s="514"/>
      <c r="AC8" s="514"/>
      <c r="AD8" s="564">
        <v>46</v>
      </c>
    </row>
    <row s="7809" customFormat="1" customHeight="1" ht="24">
      <c r="A9" s="1514"/>
      <c r="B9" s="1514"/>
      <c r="C9" s="1514"/>
      <c r="D9" s="1514"/>
      <c r="E9" s="1514"/>
      <c r="F9" s="1514"/>
      <c r="G9" s="1514"/>
      <c r="H9" s="1514"/>
      <c r="L9" s="1422"/>
      <c r="M9" s="441" t="s">
        <v>445</v>
      </c>
      <c r="N9" s="450"/>
      <c r="O9" s="2410" t="str">
        <f>IF(TITLE_DATE_CHANGE_PERIOD="",IF(TITLE_DATE_PR="","",TITLE_DATE_PR),TITLE_DATE_CHANGE_PERIOD)</f>
        <v/>
      </c>
      <c r="P9" s="2410"/>
      <c r="Q9" s="2410"/>
      <c r="R9" s="2410"/>
      <c r="S9" s="2410"/>
      <c r="T9" s="2410"/>
      <c r="U9" s="2410"/>
      <c r="V9" s="472"/>
      <c r="W9" s="472"/>
      <c r="X9" s="426"/>
      <c r="Y9" s="514"/>
      <c r="Z9" s="514"/>
      <c r="AA9" s="514"/>
      <c r="AB9" s="514"/>
      <c r="AC9" s="514"/>
      <c r="AD9" s="564">
        <v>23</v>
      </c>
    </row>
    <row s="7809" customFormat="1" customHeight="1" ht="24">
      <c r="A10" s="1514"/>
      <c r="B10" s="1514"/>
      <c r="C10" s="1514"/>
      <c r="D10" s="1514"/>
      <c r="E10" s="1514"/>
      <c r="F10" s="1514"/>
      <c r="G10" s="1514"/>
      <c r="H10" s="1514"/>
      <c r="L10" s="1396"/>
      <c r="M10" s="441" t="s">
        <v>446</v>
      </c>
      <c r="N10" s="450"/>
      <c r="O10" s="2410" t="str">
        <f>IF(TITLE_NUMBER_PR_CHANGE="",IF(TITLE_NUMBER_PR="","",TITLE_NUMBER_PR),TITLE_NUMBER_PR_CHANGE)</f>
        <v/>
      </c>
      <c r="P10" s="2410"/>
      <c r="Q10" s="2410"/>
      <c r="R10" s="2410"/>
      <c r="S10" s="2410"/>
      <c r="T10" s="2410"/>
      <c r="U10" s="2410"/>
      <c r="V10" s="472"/>
      <c r="W10" s="472"/>
      <c r="X10" s="426"/>
      <c r="Y10" s="514"/>
      <c r="Z10" s="514"/>
      <c r="AA10" s="514"/>
      <c r="AB10" s="514"/>
      <c r="AC10" s="514"/>
      <c r="AD10" s="564">
        <v>23</v>
      </c>
    </row>
    <row s="7809" customFormat="1" customHeight="1" ht="24">
      <c r="A11" s="1514"/>
      <c r="B11" s="1514"/>
      <c r="C11" s="1514"/>
      <c r="D11" s="1514"/>
      <c r="E11" s="1514"/>
      <c r="F11" s="1514"/>
      <c r="G11" s="1514"/>
      <c r="H11" s="1514"/>
      <c r="L11" s="1396"/>
      <c r="M11" s="441" t="s">
        <v>43</v>
      </c>
      <c r="N11" s="450"/>
      <c r="O11" s="2410" t="str">
        <f>IF(TITLE_IST_PUB_CHANGE="",IF(TITLE_IST_PUB="","",TITLE_IST_PUB),TITLE_IST_PUB_CHANGE)</f>
        <v/>
      </c>
      <c r="P11" s="2410"/>
      <c r="Q11" s="2410"/>
      <c r="R11" s="2410"/>
      <c r="S11" s="2410"/>
      <c r="T11" s="2410"/>
      <c r="U11" s="2410"/>
      <c r="V11" s="472"/>
      <c r="W11" s="472"/>
      <c r="X11" s="426"/>
      <c r="Y11" s="514"/>
      <c r="Z11" s="514"/>
      <c r="AA11" s="514"/>
      <c r="AB11" s="514"/>
      <c r="AC11" s="514"/>
      <c r="AD11" s="564">
        <v>23</v>
      </c>
    </row>
    <row s="7809" customFormat="1" customHeight="1" ht="11.25" hidden="1">
      <c r="A12" s="1514"/>
      <c r="B12" s="1514"/>
      <c r="C12" s="1514"/>
      <c r="D12" s="1514"/>
      <c r="E12" s="1514"/>
      <c r="F12" s="1514"/>
      <c r="G12" s="1514"/>
      <c r="H12" s="1514"/>
      <c r="L12" s="2764"/>
      <c r="M12" s="2764"/>
      <c r="N12" s="1433"/>
      <c r="O12" s="472"/>
      <c r="P12" s="472"/>
      <c r="Q12" s="472"/>
      <c r="R12" s="472"/>
      <c r="S12" s="472"/>
      <c r="T12" s="472"/>
      <c r="U12" s="472"/>
      <c r="V12" s="424" t="s">
        <v>449</v>
      </c>
      <c r="Y12" s="514"/>
      <c r="Z12" s="514"/>
      <c r="AA12" s="514"/>
      <c r="AB12" s="514"/>
      <c r="AC12" s="514"/>
      <c r="AD12" s="564">
        <v>0</v>
      </c>
    </row>
    <row customHeight="1" ht="14.699999999999998">
      <c r="J13" s="522"/>
      <c r="K13" s="522"/>
      <c r="L13" s="1421"/>
      <c r="M13" s="509"/>
      <c r="N13" s="1390"/>
      <c r="O13" s="2411"/>
      <c r="P13" s="2411"/>
      <c r="Q13" s="2411"/>
      <c r="R13" s="2411"/>
      <c r="S13" s="2411"/>
      <c r="T13" s="2411"/>
      <c r="U13" s="2411"/>
      <c r="V13" s="2411"/>
      <c r="AD13" s="1301">
        <v>14</v>
      </c>
    </row>
    <row customHeight="1" ht="14.699999999999998">
      <c r="J14" s="522"/>
      <c r="K14" s="522"/>
      <c r="L14" s="2286" t="s">
        <v>322</v>
      </c>
      <c r="M14" s="2286"/>
      <c r="N14" s="2286"/>
      <c r="O14" s="2286"/>
      <c r="P14" s="2286"/>
      <c r="Q14" s="2286"/>
      <c r="R14" s="2286"/>
      <c r="S14" s="2286"/>
      <c r="T14" s="2286"/>
      <c r="U14" s="2286"/>
      <c r="V14" s="2286"/>
      <c r="W14" s="2286"/>
      <c r="X14" s="2286" t="s">
        <v>323</v>
      </c>
      <c r="AD14" s="1301">
        <v>14</v>
      </c>
    </row>
    <row customHeight="1" ht="14.699999999999998">
      <c r="J15" s="522"/>
      <c r="K15" s="522"/>
      <c r="L15" s="2432" t="s">
        <v>89</v>
      </c>
      <c r="M15" s="2368" t="s">
        <v>450</v>
      </c>
      <c r="N15" s="447"/>
      <c r="O15" s="2433" t="s">
        <v>2511</v>
      </c>
      <c r="P15" s="2434"/>
      <c r="Q15" s="2434"/>
      <c r="R15" s="2434"/>
      <c r="S15" s="2434"/>
      <c r="T15" s="2434"/>
      <c r="U15" s="2435"/>
      <c r="V15" s="2436" t="s">
        <v>452</v>
      </c>
      <c r="W15" s="2439" t="s">
        <v>1495</v>
      </c>
      <c r="X15" s="2286"/>
      <c r="AD15" s="1301">
        <v>14</v>
      </c>
    </row>
    <row customHeight="1" ht="35.699999999999996">
      <c r="J16" s="522"/>
      <c r="K16" s="522"/>
      <c r="L16" s="2432"/>
      <c r="M16" s="2368"/>
      <c r="N16" s="1177"/>
      <c r="O16" s="2419" t="s">
        <v>455</v>
      </c>
      <c r="P16" s="2419" t="s">
        <v>456</v>
      </c>
      <c r="Q16" s="2421" t="s">
        <v>457</v>
      </c>
      <c r="R16" s="2422"/>
      <c r="S16" s="2421" t="s">
        <v>471</v>
      </c>
      <c r="T16" s="2428"/>
      <c r="U16" s="2422"/>
      <c r="V16" s="2437"/>
      <c r="W16" s="2440"/>
      <c r="X16" s="2286"/>
      <c r="AD16" s="1301">
        <v>34</v>
      </c>
    </row>
    <row customHeight="1" ht="35.699999999999996">
      <c r="A17" s="1516" t="s">
        <v>158</v>
      </c>
      <c r="B17" s="1516" t="s">
        <v>159</v>
      </c>
      <c r="C17" s="1516" t="s">
        <v>160</v>
      </c>
      <c r="D17" s="1516" t="s">
        <v>161</v>
      </c>
      <c r="E17" s="1516"/>
      <c r="J17" s="522"/>
      <c r="K17" s="522"/>
      <c r="L17" s="2432"/>
      <c r="M17" s="2368"/>
      <c r="N17" s="448"/>
      <c r="O17" s="2420"/>
      <c r="P17" s="2420"/>
      <c r="Q17" s="1368" t="s">
        <v>466</v>
      </c>
      <c r="R17" s="1368" t="s">
        <v>467</v>
      </c>
      <c r="S17" s="1438" t="s">
        <v>468</v>
      </c>
      <c r="T17" s="2429" t="s">
        <v>469</v>
      </c>
      <c r="U17" s="2430"/>
      <c r="V17" s="2438"/>
      <c r="W17" s="2441"/>
      <c r="X17" s="2286"/>
      <c r="AD17" s="1301">
        <v>34</v>
      </c>
    </row>
    <row s="6314" customFormat="1" customHeight="1" ht="11.549999999999999">
      <c r="A18" s="1516"/>
      <c r="B18" s="1516"/>
      <c r="C18" s="1516"/>
      <c r="D18" s="1516"/>
      <c r="E18" s="1516"/>
      <c r="F18" s="1508"/>
      <c r="G18" s="1508"/>
      <c r="H18" s="1508"/>
      <c r="I18" s="1392"/>
      <c r="J18" s="1393"/>
      <c r="K18" s="1400">
        <v>1</v>
      </c>
      <c r="L18" s="1423" t="s">
        <v>121</v>
      </c>
      <c r="M18" s="1401" t="s">
        <v>105</v>
      </c>
      <c r="N18" s="1391" t="str">
        <f>OFFSET(N18,0,-1)</f>
        <v>2</v>
      </c>
      <c r="O18" s="1435">
        <f>OFFSET(O18,0,-1)+1</f>
        <v>3</v>
      </c>
      <c r="P18" s="1435"/>
      <c r="Q18" s="1435">
        <f>OFFSET(Q18,0,-1)+1</f>
        <v>1</v>
      </c>
      <c r="R18" s="1435">
        <f>OFFSET(R18,0,-1)+1</f>
        <v>2</v>
      </c>
      <c r="S18" s="1435">
        <f>OFFSET(S18,0,-1)+1</f>
        <v>3</v>
      </c>
      <c r="T18" s="2431">
        <f>OFFSET(T18,0,-1)+1</f>
        <v>4</v>
      </c>
      <c r="U18" s="2431"/>
      <c r="V18" s="1435">
        <f>OFFSET(V18,0,-2)+1</f>
        <v>5</v>
      </c>
      <c r="W18" s="1391">
        <f>OFFSET(W18,0,-1)</f>
        <v>5</v>
      </c>
      <c r="X18" s="1435">
        <f>OFFSET(X18,0,-1)+1</f>
        <v>6</v>
      </c>
      <c r="Y18" s="657"/>
      <c r="Z18" s="657"/>
      <c r="AA18" s="657"/>
      <c r="AB18" s="657"/>
      <c r="AC18" s="657"/>
      <c r="AD18" s="642">
        <v>11</v>
      </c>
    </row>
    <row customHeight="1" ht="21">
      <c r="A19" s="1509" t="s">
        <v>192</v>
      </c>
      <c r="B19" s="1509" t="s">
        <v>193</v>
      </c>
      <c r="C19" s="1509" t="s">
        <v>194</v>
      </c>
      <c r="D19" s="1509" t="s">
        <v>195</v>
      </c>
      <c r="E19" s="1509"/>
      <c r="F19" s="1511"/>
      <c r="G19" s="1511"/>
      <c r="H19" s="1511"/>
      <c r="I19" s="507"/>
      <c r="J19" s="506"/>
      <c r="K19" s="501"/>
      <c r="L19" s="1439">
        <f>INDEX(PT_DIFFERENTIATION_NUM_NTAR,MATCH(A19,PT_DIFFERENTIATION_NTAR_ID,0))</f>
        <v>0</v>
      </c>
      <c r="M19" s="444" t="s">
        <v>147</v>
      </c>
      <c r="N19" s="446"/>
      <c r="O19" s="2765" t="str">
        <f>INDEX(PT_DIFFERENTIATION_NTAR,MATCH(A19,PT_DIFFERENTIATION_NTAR_ID,0))</f>
        <v/>
      </c>
      <c r="P19" s="2765"/>
      <c r="Q19" s="2765"/>
      <c r="R19" s="2765"/>
      <c r="S19" s="2765"/>
      <c r="T19" s="2765"/>
      <c r="U19" s="2765"/>
      <c r="V19" s="2765"/>
      <c r="W19" s="2765"/>
      <c r="X19" s="1404" t="s">
        <v>418</v>
      </c>
      <c r="Z19" s="646"/>
      <c r="AA19" s="646" t="str">
        <f>IF(M19="","",M19)</f>
        <v>Наименование тарифа</v>
      </c>
      <c r="AB19" s="646"/>
      <c r="AC19" s="646"/>
      <c r="AD19" s="1301">
        <v>20</v>
      </c>
    </row>
    <row customHeight="1" ht="21">
      <c r="A20" s="1509" t="s">
        <v>192</v>
      </c>
      <c r="B20" s="1509" t="s">
        <v>193</v>
      </c>
      <c r="C20" s="1509" t="s">
        <v>194</v>
      </c>
      <c r="D20" s="1509" t="s">
        <v>195</v>
      </c>
      <c r="E20" s="1509"/>
      <c r="F20" s="1511"/>
      <c r="G20" s="1511"/>
      <c r="H20" s="1511"/>
      <c r="I20" s="1436"/>
      <c r="J20" s="498"/>
      <c r="K20" s="499"/>
      <c r="L20" s="1439" t="str">
        <f>INDEX(PT_DIFFERENTIATION_NUM_TER,MATCH(B19,PT_DIFFERENTIATION_TER_ID,0))</f>
        <v>.</v>
      </c>
      <c r="M20" s="454" t="s">
        <v>419</v>
      </c>
      <c r="N20" s="446"/>
      <c r="O20" s="2765" t="str">
        <f>INDEX(PT_DIFFERENTIATION_TER,MATCH(B19,PT_DIFFERENTIATION_TER_ID,0))</f>
        <v/>
      </c>
      <c r="P20" s="2765"/>
      <c r="Q20" s="2765"/>
      <c r="R20" s="2765"/>
      <c r="S20" s="2765"/>
      <c r="T20" s="2765"/>
      <c r="U20" s="2765"/>
      <c r="V20" s="2765"/>
      <c r="W20" s="2765"/>
      <c r="X20" s="1404" t="s">
        <v>420</v>
      </c>
      <c r="Z20" s="646"/>
      <c r="AA20" s="646" t="str">
        <f>IF(M20="","",M20)</f>
        <v>Территория действия тарифа</v>
      </c>
      <c r="AB20" s="646"/>
      <c r="AC20" s="646"/>
      <c r="AD20" s="1301">
        <v>20</v>
      </c>
    </row>
    <row customHeight="1" ht="24">
      <c r="A21" s="1509" t="s">
        <v>192</v>
      </c>
      <c r="B21" s="1509" t="s">
        <v>193</v>
      </c>
      <c r="C21" s="1509" t="s">
        <v>194</v>
      </c>
      <c r="D21" s="1509" t="s">
        <v>195</v>
      </c>
      <c r="E21" s="1509"/>
      <c r="F21" s="1511"/>
      <c r="G21" s="1511"/>
      <c r="H21" s="1511"/>
      <c r="I21" s="500"/>
      <c r="J21" s="498"/>
      <c r="K21" s="499"/>
      <c r="L21" s="1439" t="str">
        <f>INDEX(PT_DIFFERENTIATION_NUM_CS,MATCH(C19,PT_DIFFERENTIATION_CS_ID,0))</f>
        <v>..</v>
      </c>
      <c r="M21" s="455" t="s">
        <v>421</v>
      </c>
      <c r="N21" s="446"/>
      <c r="O21" s="2765" t="str">
        <f>INDEX(PT_DIFFERENTIATION_CS,MATCH(C19,PT_DIFFERENTIATION_CS_ID,0))</f>
        <v/>
      </c>
      <c r="P21" s="2765"/>
      <c r="Q21" s="2765"/>
      <c r="R21" s="2765"/>
      <c r="S21" s="2765"/>
      <c r="T21" s="2765"/>
      <c r="U21" s="2765"/>
      <c r="V21" s="2765"/>
      <c r="W21" s="2765"/>
      <c r="X21" s="1404" t="s">
        <v>422</v>
      </c>
      <c r="Z21" s="646"/>
      <c r="AA21" s="646" t="str">
        <f>IF(M21="","",M21)</f>
        <v>Наименование системы теплоснабжения </v>
      </c>
      <c r="AB21" s="646"/>
      <c r="AC21" s="646"/>
      <c r="AD21" s="1301">
        <v>23</v>
      </c>
    </row>
    <row customHeight="1" ht="21">
      <c r="A22" s="1509" t="s">
        <v>192</v>
      </c>
      <c r="B22" s="1509" t="s">
        <v>193</v>
      </c>
      <c r="C22" s="1509" t="s">
        <v>194</v>
      </c>
      <c r="D22" s="1509" t="s">
        <v>195</v>
      </c>
      <c r="E22" s="1509"/>
      <c r="F22" s="1511"/>
      <c r="G22" s="1511"/>
      <c r="H22" s="1511"/>
      <c r="I22" s="500"/>
      <c r="J22" s="498"/>
      <c r="K22" s="499"/>
      <c r="L22" s="1439" t="str">
        <f>INDEX(PT_DIFFERENTIATION_NUM_IST_TE,MATCH(D19,PT_DIFFERENTIATION_IST_TE_ID,0))</f>
        <v>...</v>
      </c>
      <c r="M22" s="456" t="s">
        <v>423</v>
      </c>
      <c r="N22" s="446"/>
      <c r="O22" s="2765" t="str">
        <f>INDEX(PT_DIFFERENTIATION_IST_TE,MATCH(D19,PT_DIFFERENTIATION_IST_TE_ID,0))</f>
        <v/>
      </c>
      <c r="P22" s="2765"/>
      <c r="Q22" s="2765"/>
      <c r="R22" s="2765"/>
      <c r="S22" s="2765"/>
      <c r="T22" s="2765"/>
      <c r="U22" s="2765"/>
      <c r="V22" s="2765"/>
      <c r="W22" s="2765"/>
      <c r="X22" s="1404" t="s">
        <v>424</v>
      </c>
      <c r="Z22" s="646"/>
      <c r="AA22" s="646" t="str">
        <f>IF(M22="","",M22)</f>
        <v>Источник тепловой энергии  </v>
      </c>
      <c r="AB22" s="646"/>
      <c r="AC22" s="646"/>
      <c r="AD22" s="1301">
        <v>20</v>
      </c>
    </row>
    <row customHeight="1" ht="96.75">
      <c r="A23" s="1509" t="s">
        <v>192</v>
      </c>
      <c r="B23" s="1509" t="s">
        <v>193</v>
      </c>
      <c r="C23" s="1509" t="s">
        <v>194</v>
      </c>
      <c r="D23" s="1509" t="s">
        <v>195</v>
      </c>
      <c r="E23" s="1509"/>
      <c r="F23" s="2766" t="str">
        <f>L22&amp;".1"</f>
        <v>....1</v>
      </c>
      <c r="I23" s="2416">
        <v>1</v>
      </c>
      <c r="J23" s="1437"/>
      <c r="K23" s="502"/>
      <c r="L23" s="1439" t="str">
        <f>$F$23</f>
        <v>....1</v>
      </c>
      <c r="M23" s="431" t="s">
        <v>426</v>
      </c>
      <c r="N23" s="446"/>
      <c r="O23" s="2464"/>
      <c r="P23" s="2464"/>
      <c r="Q23" s="2464"/>
      <c r="R23" s="2464"/>
      <c r="S23" s="2464"/>
      <c r="T23" s="2464"/>
      <c r="U23" s="2464"/>
      <c r="V23" s="2464"/>
      <c r="W23" s="2464"/>
      <c r="X23" s="1404" t="s">
        <v>427</v>
      </c>
      <c r="Z23" s="646"/>
      <c r="AA23" s="646" t="str">
        <f>IF(M23="","",M23)</f>
        <v>Схема подключения теплопотребляющей установки к коллектору источника тепловой энергии</v>
      </c>
      <c r="AB23" s="646"/>
      <c r="AC23" s="646"/>
      <c r="AD23" s="1301">
        <v>92</v>
      </c>
    </row>
    <row customHeight="1" ht="86.25">
      <c r="A24" s="1509" t="s">
        <v>192</v>
      </c>
      <c r="B24" s="1509" t="s">
        <v>193</v>
      </c>
      <c r="C24" s="1509" t="s">
        <v>194</v>
      </c>
      <c r="D24" s="1509" t="s">
        <v>195</v>
      </c>
      <c r="E24" s="1509"/>
      <c r="F24" s="2766"/>
      <c r="G24" s="2376" t="str">
        <f>F23&amp;".1"</f>
        <v>....1.1</v>
      </c>
      <c r="I24" s="2416"/>
      <c r="J24" s="2416">
        <v>1</v>
      </c>
      <c r="K24" s="503"/>
      <c r="L24" s="1439" t="str">
        <f>$G$24</f>
        <v>....1.1</v>
      </c>
      <c r="M24" s="432" t="s">
        <v>429</v>
      </c>
      <c r="N24" s="446"/>
      <c r="O24" s="2404"/>
      <c r="P24" s="2405"/>
      <c r="Q24" s="2405"/>
      <c r="R24" s="2405"/>
      <c r="S24" s="2405"/>
      <c r="T24" s="2405"/>
      <c r="U24" s="2405"/>
      <c r="V24" s="2405"/>
      <c r="W24" s="2406"/>
      <c r="X24" s="1404" t="s">
        <v>430</v>
      </c>
      <c r="Z24" s="646"/>
      <c r="AA24" s="646" t="str">
        <f>IF(M24="","",M24)</f>
        <v>Группа потребителей</v>
      </c>
      <c r="AB24" s="646"/>
      <c r="AC24" s="646"/>
      <c r="AD24" s="1301">
        <v>82</v>
      </c>
    </row>
    <row customHeight="1" ht="11.549999999999999">
      <c r="A25" s="1509" t="s">
        <v>192</v>
      </c>
      <c r="B25" s="1509" t="s">
        <v>193</v>
      </c>
      <c r="C25" s="1509" t="s">
        <v>194</v>
      </c>
      <c r="D25" s="1509" t="s">
        <v>195</v>
      </c>
      <c r="E25" s="1509"/>
      <c r="F25" s="2766"/>
      <c r="G25" s="2376"/>
      <c r="H25" s="2376" t="str">
        <f>G24&amp;".1"</f>
        <v>....1.1.1</v>
      </c>
      <c r="I25" s="2416"/>
      <c r="J25" s="2416"/>
      <c r="K25" s="503">
        <v>1</v>
      </c>
      <c r="L25" s="1439" t="str">
        <f>$H$25</f>
        <v>....1.1.1</v>
      </c>
      <c r="M25" s="1493"/>
      <c r="N25" s="446"/>
      <c r="O25" s="897"/>
      <c r="P25" s="471"/>
      <c r="Q25" s="897"/>
      <c r="R25" s="1403"/>
      <c r="S25" s="2761"/>
      <c r="T25" s="2266" t="s">
        <v>63</v>
      </c>
      <c r="U25" s="2761"/>
      <c r="V25" s="2266" t="s">
        <v>19</v>
      </c>
      <c r="W25" s="471"/>
      <c r="X25" s="2412" t="s">
        <v>432</v>
      </c>
      <c r="Y25" s="657">
        <f>STRCHECKDATE(O26:W26)</f>
      </c>
      <c r="Z25" s="646"/>
      <c r="AA25" s="646" t="str">
        <f>IF(M25="","",M25)</f>
        <v/>
      </c>
      <c r="AB25" s="646"/>
      <c r="AC25" s="646"/>
      <c r="AD25" s="1301">
        <v>11</v>
      </c>
    </row>
    <row customHeight="1" ht="11.549999999999999">
      <c r="A26" s="1509" t="s">
        <v>192</v>
      </c>
      <c r="B26" s="1509" t="s">
        <v>193</v>
      </c>
      <c r="C26" s="1509" t="s">
        <v>194</v>
      </c>
      <c r="D26" s="1509" t="s">
        <v>195</v>
      </c>
      <c r="E26" s="1509"/>
      <c r="F26" s="2766"/>
      <c r="G26" s="2376"/>
      <c r="H26" s="2376"/>
      <c r="I26" s="2416"/>
      <c r="J26" s="2416"/>
      <c r="K26" s="503"/>
      <c r="L26" s="1440"/>
      <c r="M26" s="446"/>
      <c r="N26" s="446"/>
      <c r="O26" s="471"/>
      <c r="P26" s="471"/>
      <c r="Q26" s="471"/>
      <c r="R26" s="474" t="str">
        <f>S25&amp;"-"&amp;U25</f>
        <v>-</v>
      </c>
      <c r="S26" s="2425"/>
      <c r="T26" s="2266"/>
      <c r="U26" s="2425"/>
      <c r="V26" s="2266"/>
      <c r="W26" s="471"/>
      <c r="X26" s="2413"/>
      <c r="Z26" s="646"/>
      <c r="AA26" s="646" t="str">
        <f>IF(M26="","",M26)</f>
        <v/>
      </c>
      <c r="AB26" s="646"/>
      <c r="AC26" s="646"/>
      <c r="AD26" s="1301">
        <v>11</v>
      </c>
    </row>
    <row customHeight="1" ht="15.75">
      <c r="A27" s="1509" t="s">
        <v>192</v>
      </c>
      <c r="B27" s="1509" t="s">
        <v>193</v>
      </c>
      <c r="C27" s="1509" t="s">
        <v>194</v>
      </c>
      <c r="D27" s="1509" t="s">
        <v>195</v>
      </c>
      <c r="E27" s="1509"/>
      <c r="F27" s="2766"/>
      <c r="G27" s="2376"/>
      <c r="I27" s="2416"/>
      <c r="J27" s="2416"/>
      <c r="K27" s="502"/>
      <c r="L27" s="1424"/>
      <c r="M27" s="434" t="s">
        <v>433</v>
      </c>
      <c r="N27" s="513"/>
      <c r="O27" s="513"/>
      <c r="P27" s="513"/>
      <c r="Q27" s="513"/>
      <c r="R27" s="513"/>
      <c r="S27" s="513"/>
      <c r="T27" s="513"/>
      <c r="U27" s="513"/>
      <c r="V27" s="513"/>
      <c r="W27" s="470"/>
      <c r="X27" s="2414"/>
      <c r="Z27" s="646"/>
      <c r="AA27" s="646" t="str">
        <f>IF(M27="","",M27)</f>
        <v>Добавить вид теплоносителя (параметры теплоносителя)</v>
      </c>
      <c r="AB27" s="646"/>
      <c r="AC27" s="646"/>
      <c r="AD27" s="1301">
        <v>15</v>
      </c>
    </row>
    <row customHeight="1" ht="15.75">
      <c r="A28" s="1509" t="s">
        <v>192</v>
      </c>
      <c r="B28" s="1509" t="s">
        <v>193</v>
      </c>
      <c r="C28" s="1509" t="s">
        <v>194</v>
      </c>
      <c r="D28" s="1509" t="s">
        <v>195</v>
      </c>
      <c r="E28" s="1509"/>
      <c r="F28" s="2766"/>
      <c r="I28" s="2416"/>
      <c r="J28" s="1437"/>
      <c r="K28" s="502"/>
      <c r="L28" s="1424"/>
      <c r="M28" s="433" t="s">
        <v>434</v>
      </c>
      <c r="N28" s="513"/>
      <c r="O28" s="513"/>
      <c r="P28" s="513"/>
      <c r="Q28" s="513"/>
      <c r="R28" s="513"/>
      <c r="S28" s="513"/>
      <c r="T28" s="513"/>
      <c r="U28" s="513"/>
      <c r="V28" s="512"/>
      <c r="W28" s="513"/>
      <c r="X28" s="449"/>
      <c r="Z28" s="646"/>
      <c r="AA28" s="646" t="str">
        <f>IF(M28="","",M28)</f>
        <v>Добавить группу потребителей</v>
      </c>
      <c r="AB28" s="646"/>
      <c r="AC28" s="646"/>
      <c r="AD28" s="1301">
        <v>15</v>
      </c>
    </row>
    <row customHeight="1" ht="14.699999999999998">
      <c r="A29" s="1509" t="s">
        <v>192</v>
      </c>
      <c r="B29" s="1509" t="s">
        <v>193</v>
      </c>
      <c r="C29" s="1509" t="s">
        <v>194</v>
      </c>
      <c r="D29" s="1509" t="s">
        <v>195</v>
      </c>
      <c r="E29" s="1509"/>
      <c r="F29" s="1511"/>
      <c r="G29" s="1511"/>
      <c r="H29" s="683"/>
      <c r="I29" s="506"/>
      <c r="J29" s="521"/>
      <c r="K29" s="501"/>
      <c r="L29" s="1424"/>
      <c r="M29" s="511" t="s">
        <v>435</v>
      </c>
      <c r="N29" s="513"/>
      <c r="O29" s="513"/>
      <c r="P29" s="513"/>
      <c r="Q29" s="513"/>
      <c r="R29" s="513"/>
      <c r="S29" s="513"/>
      <c r="T29" s="513"/>
      <c r="U29" s="513"/>
      <c r="V29" s="512"/>
      <c r="W29" s="513"/>
      <c r="X29" s="449"/>
      <c r="Z29" s="646"/>
      <c r="AA29" s="646" t="str">
        <f>IF(M29="","",M29)</f>
        <v>Добавить схему подключения</v>
      </c>
      <c r="AB29" s="646"/>
      <c r="AC29" s="646"/>
      <c r="AD29" s="1301">
        <v>14</v>
      </c>
    </row>
    <row customHeight="1" ht="14.699999999999998">
      <c r="A30" s="1509" t="s">
        <v>192</v>
      </c>
      <c r="B30" s="1509" t="s">
        <v>193</v>
      </c>
      <c r="C30" s="1509" t="s">
        <v>194</v>
      </c>
      <c r="D30" s="1509"/>
      <c r="E30" s="1509" t="s">
        <v>624</v>
      </c>
      <c r="F30" s="1511"/>
      <c r="G30" s="1511"/>
      <c r="H30" s="683"/>
      <c r="I30" s="506"/>
      <c r="J30" s="521"/>
      <c r="K30" s="501"/>
      <c r="L30" s="1425"/>
      <c r="M30" s="1414"/>
      <c r="N30" s="1415"/>
      <c r="O30" s="1415"/>
      <c r="P30" s="1415"/>
      <c r="Q30" s="1415"/>
      <c r="R30" s="1415"/>
      <c r="S30" s="1415"/>
      <c r="T30" s="1415"/>
      <c r="U30" s="1415"/>
      <c r="V30" s="1416"/>
      <c r="W30" s="1415"/>
      <c r="X30" s="1417"/>
      <c r="Z30" s="646"/>
      <c r="AA30" s="646" t="str">
        <f>IF(M30="","",M30)</f>
        <v/>
      </c>
      <c r="AB30" s="646"/>
      <c r="AC30" s="646"/>
      <c r="AD30" s="1301">
        <v>14</v>
      </c>
    </row>
    <row customHeight="1" ht="14.699999999999998">
      <c r="A31" s="1509" t="s">
        <v>192</v>
      </c>
      <c r="B31" s="1509" t="s">
        <v>193</v>
      </c>
      <c r="C31" s="1509"/>
      <c r="D31" s="1509"/>
      <c r="E31" s="1509" t="s">
        <v>2512</v>
      </c>
      <c r="F31" s="1663"/>
      <c r="G31" s="1663"/>
      <c r="H31" s="683"/>
      <c r="I31" s="504"/>
      <c r="J31" s="521"/>
      <c r="K31" s="505"/>
      <c r="L31" s="1425"/>
      <c r="M31" s="1418"/>
      <c r="N31" s="1415"/>
      <c r="O31" s="1415"/>
      <c r="P31" s="1415"/>
      <c r="Q31" s="1415"/>
      <c r="R31" s="1415"/>
      <c r="S31" s="1415"/>
      <c r="T31" s="1415"/>
      <c r="U31" s="1415"/>
      <c r="V31" s="1416"/>
      <c r="W31" s="1415"/>
      <c r="X31" s="1417"/>
      <c r="Z31" s="646"/>
      <c r="AA31" s="646" t="str">
        <f>IF(M31="","",M31)</f>
        <v/>
      </c>
      <c r="AB31" s="646"/>
      <c r="AC31" s="646"/>
      <c r="AD31" s="1301">
        <v>14</v>
      </c>
    </row>
    <row customHeight="1" ht="14.699999999999998">
      <c r="A32" s="1509" t="s">
        <v>2513</v>
      </c>
      <c r="B32" s="1509"/>
      <c r="C32" s="1509"/>
      <c r="D32" s="1509"/>
      <c r="E32" s="1509" t="s">
        <v>116</v>
      </c>
      <c r="F32" s="1663"/>
      <c r="G32" s="1663"/>
      <c r="H32" s="683"/>
      <c r="I32" s="506"/>
      <c r="J32" s="521"/>
      <c r="K32" s="501"/>
      <c r="L32" s="1425"/>
      <c r="M32" s="1419"/>
      <c r="N32" s="1415"/>
      <c r="O32" s="1415"/>
      <c r="P32" s="1415"/>
      <c r="Q32" s="1415"/>
      <c r="R32" s="1415"/>
      <c r="S32" s="1415"/>
      <c r="T32" s="1415"/>
      <c r="U32" s="1415"/>
      <c r="V32" s="1416"/>
      <c r="W32" s="1415"/>
      <c r="X32" s="1417"/>
      <c r="Z32" s="646"/>
      <c r="AA32" s="646" t="str">
        <f>IF(M32="","",M32)</f>
        <v/>
      </c>
      <c r="AB32" s="646"/>
      <c r="AC32" s="646"/>
      <c r="AD32" s="1301">
        <v>14</v>
      </c>
    </row>
    <row s="7976" customFormat="1" customHeight="1" ht="11.549999999999999">
      <c r="A33" s="1509"/>
      <c r="B33" s="1509"/>
      <c r="C33" s="1509"/>
      <c r="D33" s="1509"/>
      <c r="E33" s="1509" t="s">
        <v>470</v>
      </c>
      <c r="F33" s="1664"/>
      <c r="G33" s="1665"/>
      <c r="H33" s="683"/>
      <c r="L33" s="1426"/>
      <c r="M33" s="1420"/>
      <c r="N33" s="1415"/>
      <c r="O33" s="1415"/>
      <c r="P33" s="1415"/>
      <c r="Q33" s="1415"/>
      <c r="R33" s="1415"/>
      <c r="S33" s="1415"/>
      <c r="T33" s="1415"/>
      <c r="U33" s="1415"/>
      <c r="V33" s="1416"/>
      <c r="W33" s="1415"/>
      <c r="X33" s="1417"/>
      <c r="Y33" s="525"/>
      <c r="Z33" s="525"/>
      <c r="AA33" s="525"/>
      <c r="AB33" s="525"/>
      <c r="AC33" s="525"/>
      <c r="AD33" s="519">
        <v>11</v>
      </c>
    </row>
    <row customHeight="1" ht="11.549999999999999">
      <c r="F34" s="1306"/>
      <c r="G34" s="1306"/>
      <c r="H34" s="683"/>
      <c r="I34" s="1301"/>
      <c r="J34" s="1301"/>
      <c r="K34" s="1301"/>
      <c r="Y34" s="1301"/>
      <c r="Z34" s="1301"/>
      <c r="AA34" s="1301"/>
      <c r="AB34" s="1301"/>
      <c r="AC34" s="1301"/>
      <c r="AD34" s="1301">
        <v>11</v>
      </c>
    </row>
    <row customHeight="1" ht="28.5">
      <c r="H35" s="683"/>
      <c r="L35" s="1434" t="s">
        <v>865</v>
      </c>
      <c r="M35" s="2444" t="s">
        <v>2514</v>
      </c>
      <c r="N35" s="2444"/>
      <c r="O35" s="2444"/>
      <c r="P35" s="2444"/>
      <c r="Q35" s="2444"/>
      <c r="R35" s="2444"/>
      <c r="S35" s="2444"/>
      <c r="T35" s="2444"/>
      <c r="U35" s="2444"/>
      <c r="V35" s="2444"/>
      <c r="W35" s="2444"/>
      <c r="X35" s="2444"/>
      <c r="AD35" s="1301">
        <v>27</v>
      </c>
    </row>
    <row customHeight="1" ht="109.19999999999999">
      <c r="H36" s="683"/>
      <c r="I36" s="1449"/>
      <c r="M36" s="2444" t="s">
        <v>2515</v>
      </c>
      <c r="N36" s="2444"/>
      <c r="O36" s="2444"/>
      <c r="P36" s="2444"/>
      <c r="Q36" s="2444"/>
      <c r="R36" s="2444"/>
      <c r="S36" s="2444"/>
      <c r="T36" s="2444"/>
      <c r="U36" s="2444"/>
      <c r="V36" s="2444"/>
      <c r="W36" s="2444"/>
      <c r="X36" s="2444"/>
      <c r="AD36" s="1301">
        <v>104</v>
      </c>
    </row>
    <row customHeight="1" ht="14.699999999999998">
      <c r="H37" s="683"/>
      <c r="AD37" s="1301">
        <v>14</v>
      </c>
    </row>
    <row customHeight="1" ht="14.699999999999998">
      <c r="H38" s="683"/>
      <c r="AD38" s="1301">
        <v>14</v>
      </c>
    </row>
    <row customHeight="1" ht="14.699999999999998">
      <c r="H39" s="683"/>
      <c r="AD39" s="1301">
        <v>14</v>
      </c>
    </row>
    <row customHeight="1" ht="14.699999999999998">
      <c r="H40" s="683"/>
      <c r="AD40" s="1301">
        <v>14</v>
      </c>
    </row>
    <row customHeight="1" ht="22.5" hidden="1">
      <c r="A41" s="1306" t="s">
        <v>83</v>
      </c>
      <c r="B41" s="1306">
        <v>0</v>
      </c>
      <c r="C41" s="1306">
        <v>0</v>
      </c>
      <c r="D41" s="1306">
        <v>0</v>
      </c>
      <c r="E41" s="1306">
        <v>0</v>
      </c>
      <c r="F41" s="1508">
        <v>0</v>
      </c>
      <c r="G41" s="1508">
        <v>0</v>
      </c>
      <c r="H41" s="1508">
        <v>0</v>
      </c>
      <c r="I41" s="1432">
        <v>3</v>
      </c>
      <c r="J41" s="490">
        <v>3</v>
      </c>
      <c r="K41" s="490">
        <v>3</v>
      </c>
      <c r="L41" s="727">
        <v>12</v>
      </c>
      <c r="M41" s="1301">
        <v>31</v>
      </c>
      <c r="N41" s="1301">
        <v>1</v>
      </c>
      <c r="O41" s="1301">
        <v>24</v>
      </c>
      <c r="P41" s="1301">
        <v>24</v>
      </c>
      <c r="Q41" s="1301">
        <v>24</v>
      </c>
      <c r="R41" s="1301">
        <v>24</v>
      </c>
      <c r="S41" s="1301">
        <v>11</v>
      </c>
      <c r="T41" s="1301">
        <v>3</v>
      </c>
      <c r="U41" s="1301">
        <v>11</v>
      </c>
      <c r="V41" s="1301">
        <v>8</v>
      </c>
      <c r="W41" s="1301">
        <v>4</v>
      </c>
      <c r="X41" s="1301">
        <v>115</v>
      </c>
      <c r="Y41" s="657">
        <v>10</v>
      </c>
      <c r="Z41" s="657">
        <v>10</v>
      </c>
      <c r="AA41" s="657">
        <v>10</v>
      </c>
      <c r="AB41" s="657">
        <v>10</v>
      </c>
      <c r="AC41" s="657">
        <v>10</v>
      </c>
      <c r="AD41" s="1301">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209752-32AD-A259-6D1F-0.9BBE982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318647-9726-C954-8D4E-0.8C4DCBB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164F91-CB45-8AD7-B2D4-0.46A4C12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9E2614-1927-380D-ADC6-0.B3D68DE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C6E5FB-1C22-EEFE-259F-0.85BA9B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F7A89A-F206-D2AB-FEF9-0.3608A426}"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7509" width="15.00390625" hidden="1" customWidth="1"/>
    <col min="2" max="2" style="5942" width="15.00390625" hidden="1" customWidth="1"/>
    <col min="3" max="3" style="5986" width="3.00390625" customWidth="1"/>
    <col min="4" max="4" style="5987" width="6.00390625" customWidth="1"/>
    <col min="5" max="5" style="5986" width="52.00390625" customWidth="1"/>
    <col min="6" max="6" style="5986" width="48.00390625" customWidth="1"/>
    <col min="7" max="7" style="5986" width="121.00390625" customWidth="1"/>
    <col min="8" max="8" style="5986" width="8.00390625" customWidth="1"/>
    <col min="9" max="9" style="5986" width="64.00390625" customWidth="1"/>
    <col min="10" max="10" style="5986" width="9.140625" hidden="1"/>
  </cols>
  <sheetData>
    <row customHeight="1" ht="11.25" hidden="1">
      <c r="A1" s="1831" t="s">
        <v>321</v>
      </c>
      <c r="J1" s="601" t="s">
        <v>14</v>
      </c>
    </row>
    <row customHeight="1" ht="11.25" hidden="1">
      <c r="J2" s="601">
        <v>0</v>
      </c>
    </row>
    <row s="5904" customFormat="1" customHeight="1" ht="11.549999999999999">
      <c r="A3" s="1831"/>
      <c r="B3" s="647"/>
      <c r="D3" s="624"/>
      <c r="J3" s="623">
        <v>11</v>
      </c>
    </row>
    <row customHeight="1" ht="27.299999999999997">
      <c r="D4" s="231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17"/>
      <c r="F4" s="2318"/>
      <c r="I4" s="861"/>
      <c r="J4" s="601">
        <v>26</v>
      </c>
    </row>
    <row customHeight="1" ht="18">
      <c r="D5" s="2335" t="str">
        <f>IF(org=0,"Не определено",org)</f>
        <v>ПАО "ТГК-14"</v>
      </c>
      <c r="E5" s="2335"/>
      <c r="F5" s="2335"/>
      <c r="I5" s="861"/>
      <c r="J5" s="601">
        <v>17</v>
      </c>
    </row>
    <row s="5904" customFormat="1" customHeight="1" ht="11.549999999999999">
      <c r="A6" s="1831"/>
      <c r="B6" s="647"/>
      <c r="D6" s="860"/>
      <c r="E6" s="860"/>
      <c r="F6" s="898"/>
      <c r="G6" s="860"/>
      <c r="J6" s="623">
        <v>11</v>
      </c>
    </row>
    <row customHeight="1" ht="11.25" hidden="1">
      <c r="A7" s="603"/>
      <c r="B7" s="648"/>
      <c r="C7" s="603"/>
      <c r="D7" s="609"/>
      <c r="E7" s="2366"/>
      <c r="F7" s="2366"/>
      <c r="J7" s="601">
        <v>0</v>
      </c>
    </row>
    <row customHeight="1" ht="11.549999999999999">
      <c r="A8" s="603"/>
      <c r="B8" s="648"/>
      <c r="C8" s="603"/>
      <c r="D8" s="2363" t="s">
        <v>322</v>
      </c>
      <c r="E8" s="2364"/>
      <c r="F8" s="2364"/>
      <c r="G8" s="2367" t="s">
        <v>323</v>
      </c>
      <c r="J8" s="601">
        <v>11</v>
      </c>
    </row>
    <row customHeight="1" ht="11.549999999999999">
      <c r="A9" s="603"/>
      <c r="B9" s="648"/>
      <c r="C9" s="603"/>
      <c r="D9" s="618" t="s">
        <v>89</v>
      </c>
      <c r="E9" s="592" t="s">
        <v>324</v>
      </c>
      <c r="F9" s="592" t="s">
        <v>325</v>
      </c>
      <c r="G9" s="2368"/>
      <c r="J9" s="601">
        <v>11</v>
      </c>
    </row>
    <row customHeight="1" ht="12" hidden="1">
      <c r="A10" s="603"/>
      <c r="B10" s="648"/>
      <c r="C10" s="603"/>
      <c r="D10" s="610"/>
      <c r="E10" s="610"/>
      <c r="F10" s="610"/>
      <c r="G10" s="610"/>
      <c r="J10" s="601">
        <v>0</v>
      </c>
    </row>
    <row customHeight="1" ht="22.5" hidden="1">
      <c r="A11" s="603"/>
      <c r="B11" s="648"/>
      <c r="C11" s="603"/>
      <c r="D11" s="1155" t="s">
        <v>121</v>
      </c>
      <c r="E11" s="1158" t="s">
        <v>326</v>
      </c>
      <c r="F11" s="1157" t="str">
        <f>IF(region_name="","",region_name)</f>
        <v>Забайкальский край</v>
      </c>
      <c r="G11" s="1158" t="s">
        <v>327</v>
      </c>
      <c r="H11" s="621"/>
      <c r="J11" s="601">
        <v>0</v>
      </c>
    </row>
    <row customHeight="1" ht="22.5" hidden="1">
      <c r="A12" s="603"/>
      <c r="B12" s="648"/>
      <c r="C12" s="603"/>
      <c r="D12" s="591" t="s">
        <v>121</v>
      </c>
      <c r="E12" s="59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589" t="s">
        <v>328</v>
      </c>
      <c r="G12" s="620"/>
      <c r="H12" s="621"/>
      <c r="J12" s="601">
        <v>0</v>
      </c>
    </row>
    <row customHeight="1" ht="23.25">
      <c r="A13" s="603"/>
      <c r="B13" s="648"/>
      <c r="C13" s="603"/>
      <c r="D13" s="591" t="s">
        <v>121</v>
      </c>
      <c r="E13" s="588" t="str">
        <f>"Наименование юридического лица"&amp;IF(TEMPLATE_SPHERE="TKO"," (индивидуального предпринимателя)","")</f>
        <v>Наименование юридического лица</v>
      </c>
      <c r="F13" s="587"/>
      <c r="G13" s="59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621"/>
      <c r="J13" s="601">
        <v>22</v>
      </c>
    </row>
    <row customHeight="1" ht="22.5" hidden="1">
      <c r="A14" s="603"/>
      <c r="B14" s="648"/>
      <c r="C14" s="603"/>
      <c r="D14" s="1155" t="s">
        <v>329</v>
      </c>
      <c r="E14" s="1156" t="s">
        <v>330</v>
      </c>
      <c r="F14" s="1157" t="str">
        <f>IF(inn="","",inn)</f>
        <v>7534018889</v>
      </c>
      <c r="G14" s="1158" t="s">
        <v>331</v>
      </c>
      <c r="H14" s="621"/>
      <c r="J14" s="601">
        <v>0</v>
      </c>
    </row>
    <row customHeight="1" ht="22.5" hidden="1">
      <c r="A15" s="603"/>
      <c r="B15" s="648"/>
      <c r="C15" s="603"/>
      <c r="D15" s="1155" t="s">
        <v>332</v>
      </c>
      <c r="E15" s="1156" t="s">
        <v>333</v>
      </c>
      <c r="F15" s="1157" t="str">
        <f>IF(kpp="","",kpp)</f>
        <v>753401001</v>
      </c>
      <c r="G15" s="1158" t="s">
        <v>334</v>
      </c>
      <c r="H15" s="621"/>
      <c r="J15" s="601">
        <v>0</v>
      </c>
    </row>
    <row customHeight="1" ht="39">
      <c r="A16" s="603"/>
      <c r="B16" s="648"/>
      <c r="C16" s="603"/>
      <c r="D16" s="591" t="s">
        <v>105</v>
      </c>
      <c r="E16" s="58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587"/>
      <c r="G16" s="59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621"/>
      <c r="J16" s="601">
        <v>37</v>
      </c>
    </row>
    <row customHeight="1" ht="23.25">
      <c r="A17" s="603"/>
      <c r="B17" s="648"/>
      <c r="C17" s="603"/>
      <c r="D17" s="591" t="s">
        <v>91</v>
      </c>
      <c r="E17" s="588" t="str">
        <f>"Дата присвоения ОГРН"&amp;IF(TEMPLATE_SPHERE="TKO",""," (ОГРНИП)")</f>
        <v>Дата присвоения ОГРН (ОГРНИП)</v>
      </c>
      <c r="F17" s="1877" t="s">
        <v>22</v>
      </c>
      <c r="G17" s="590" t="str">
        <f>"Дата присвоения ОГРН"&amp;IF(TEMPLATE_SPHERE="TKO",""," (ОГРНИП)")&amp;" указывается в виде «ДД.ММ.ГГГГ»."</f>
        <v>Дата присвоения ОГРН (ОГРНИП) указывается в виде «ДД.ММ.ГГГГ».</v>
      </c>
      <c r="H17" s="621"/>
      <c r="J17" s="601">
        <v>22</v>
      </c>
    </row>
    <row customHeight="1" ht="71.25">
      <c r="A18" s="603"/>
      <c r="B18" s="648"/>
      <c r="C18" s="603"/>
      <c r="D18" s="591" t="s">
        <v>92</v>
      </c>
      <c r="E18" s="58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587"/>
      <c r="G18" s="620"/>
      <c r="H18" s="621"/>
      <c r="J18" s="601">
        <v>68</v>
      </c>
    </row>
    <row customHeight="1" ht="22.5" hidden="1">
      <c r="A19" s="2361" t="s">
        <v>335</v>
      </c>
      <c r="B19" s="648"/>
      <c r="C19" s="2372"/>
      <c r="D19" s="591" t="str">
        <f>A19</f>
        <v>5.1</v>
      </c>
      <c r="E19" s="588" t="s">
        <v>336</v>
      </c>
      <c r="F19" s="589" t="s">
        <v>328</v>
      </c>
      <c r="G19" s="590" t="s">
        <v>337</v>
      </c>
      <c r="H19" s="621"/>
      <c r="I19" s="998"/>
      <c r="J19" s="601">
        <v>0</v>
      </c>
    </row>
    <row customHeight="1" ht="24" hidden="1">
      <c r="A20" s="2361"/>
      <c r="B20" s="648"/>
      <c r="C20" s="2372"/>
      <c r="D20" s="586" t="str">
        <f>D19&amp;".1"</f>
        <v>5.1.1</v>
      </c>
      <c r="E20" s="585" t="s">
        <v>338</v>
      </c>
      <c r="F20" s="1027" t="s">
        <v>22</v>
      </c>
      <c r="G20" s="620"/>
      <c r="H20" s="621"/>
      <c r="I20" s="998"/>
      <c r="J20" s="601">
        <v>0</v>
      </c>
    </row>
    <row customHeight="1" ht="22.5" hidden="1">
      <c r="A21" s="2361"/>
      <c r="B21" s="648"/>
      <c r="C21" s="2372"/>
      <c r="D21" s="586" t="str">
        <f>D19&amp;".2"</f>
        <v>5.1.2</v>
      </c>
      <c r="E21" s="585" t="s">
        <v>339</v>
      </c>
      <c r="F21" s="1878" t="s">
        <v>22</v>
      </c>
      <c r="G21" s="590" t="s">
        <v>340</v>
      </c>
      <c r="H21" s="621"/>
      <c r="I21" s="998"/>
      <c r="J21" s="601">
        <v>0</v>
      </c>
    </row>
    <row customHeight="1" ht="22.5" hidden="1">
      <c r="A22" s="2361"/>
      <c r="B22" s="648"/>
      <c r="C22" s="2372"/>
      <c r="D22" s="586" t="str">
        <f>D19&amp;".3"</f>
        <v>5.1.3</v>
      </c>
      <c r="E22" s="585" t="s">
        <v>341</v>
      </c>
      <c r="F22" s="1027" t="s">
        <v>22</v>
      </c>
      <c r="G22" s="620"/>
      <c r="H22" s="621"/>
      <c r="I22" s="998"/>
      <c r="J22" s="601">
        <v>0</v>
      </c>
    </row>
    <row customHeight="1" ht="22.5" hidden="1">
      <c r="A23" s="2361"/>
      <c r="B23" s="648"/>
      <c r="C23" s="2372"/>
      <c r="D23" s="586" t="str">
        <f>D19&amp;".4"</f>
        <v>5.1.4</v>
      </c>
      <c r="E23" s="585" t="s">
        <v>342</v>
      </c>
      <c r="F23" s="1027" t="s">
        <v>22</v>
      </c>
      <c r="G23" s="590" t="s">
        <v>343</v>
      </c>
      <c r="H23" s="621"/>
      <c r="I23" s="998"/>
      <c r="J23" s="601">
        <v>0</v>
      </c>
    </row>
    <row customHeight="1" ht="22.5" hidden="1">
      <c r="A24" s="2121"/>
      <c r="B24" s="648"/>
      <c r="C24" s="638"/>
      <c r="D24" s="613"/>
      <c r="E24" s="1314" t="s">
        <v>344</v>
      </c>
      <c r="F24" s="614"/>
      <c r="G24" s="615"/>
      <c r="H24" s="621"/>
      <c r="I24" s="998"/>
      <c r="J24" s="601">
        <v>0</v>
      </c>
    </row>
    <row s="5942" customFormat="1" customHeight="1" ht="24.75" hidden="1">
      <c r="A25" s="603"/>
      <c r="B25" s="648"/>
      <c r="C25" s="648"/>
      <c r="D25" s="1152" t="s">
        <v>91</v>
      </c>
      <c r="E25" s="1154" t="s">
        <v>345</v>
      </c>
      <c r="F25" s="1159" t="s">
        <v>328</v>
      </c>
      <c r="G25" s="1154"/>
      <c r="J25" s="647">
        <v>0</v>
      </c>
    </row>
    <row s="5942" customFormat="1" customHeight="1" ht="11.25" hidden="1">
      <c r="A26" s="603"/>
      <c r="B26" s="648"/>
      <c r="C26" s="648"/>
      <c r="D26" s="1152" t="s">
        <v>346</v>
      </c>
      <c r="E26" s="1153" t="s">
        <v>347</v>
      </c>
      <c r="F26" s="1159" t="s">
        <v>328</v>
      </c>
      <c r="G26" s="1154"/>
      <c r="J26" s="647">
        <v>0</v>
      </c>
    </row>
    <row s="5942" customFormat="1" customHeight="1" ht="11.25" hidden="1">
      <c r="A27" s="603"/>
      <c r="B27" s="648"/>
      <c r="C27" s="648"/>
      <c r="D27" s="1152" t="s">
        <v>348</v>
      </c>
      <c r="E27" s="1160" t="s">
        <v>349</v>
      </c>
      <c r="F27" s="1161"/>
      <c r="G27" s="115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647">
        <v>0</v>
      </c>
    </row>
    <row s="5942" customFormat="1" customHeight="1" ht="11.25" hidden="1">
      <c r="A28" s="603"/>
      <c r="B28" s="648"/>
      <c r="C28" s="648"/>
      <c r="D28" s="1152" t="s">
        <v>350</v>
      </c>
      <c r="E28" s="1160" t="s">
        <v>351</v>
      </c>
      <c r="F28" s="1161"/>
      <c r="G28" s="115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647">
        <v>0</v>
      </c>
    </row>
    <row s="5942" customFormat="1" customHeight="1" ht="11.25" hidden="1">
      <c r="A29" s="603"/>
      <c r="B29" s="648"/>
      <c r="C29" s="648"/>
      <c r="D29" s="1152" t="s">
        <v>352</v>
      </c>
      <c r="E29" s="1160" t="s">
        <v>353</v>
      </c>
      <c r="F29" s="1161"/>
      <c r="G29" s="115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647">
        <v>0</v>
      </c>
    </row>
    <row s="5942" customFormat="1" customHeight="1" ht="11.25" hidden="1">
      <c r="A30" s="603"/>
      <c r="B30" s="648"/>
      <c r="C30" s="648"/>
      <c r="D30" s="1152" t="s">
        <v>354</v>
      </c>
      <c r="E30" s="1153" t="s">
        <v>355</v>
      </c>
      <c r="F30" s="1161"/>
      <c r="G30" s="1154"/>
      <c r="J30" s="647">
        <v>0</v>
      </c>
    </row>
    <row s="5942" customFormat="1" customHeight="1" ht="11.25" hidden="1">
      <c r="A31" s="603"/>
      <c r="B31" s="648"/>
      <c r="C31" s="648"/>
      <c r="D31" s="1152" t="s">
        <v>356</v>
      </c>
      <c r="E31" s="1153" t="s">
        <v>357</v>
      </c>
      <c r="F31" s="1161"/>
      <c r="G31" s="1154"/>
      <c r="J31" s="647">
        <v>0</v>
      </c>
    </row>
    <row s="5942" customFormat="1" customHeight="1" ht="11.25" hidden="1">
      <c r="A32" s="603"/>
      <c r="B32" s="648"/>
      <c r="C32" s="648"/>
      <c r="D32" s="1152" t="s">
        <v>358</v>
      </c>
      <c r="E32" s="1153" t="s">
        <v>359</v>
      </c>
      <c r="F32" s="1162"/>
      <c r="G32" s="1154"/>
      <c r="J32" s="647">
        <v>0</v>
      </c>
    </row>
    <row customHeight="1" ht="24">
      <c r="A33" s="603" t="str">
        <f>IF(TEMPLATE_SPHERE="HEAT","6","5")</f>
        <v>6</v>
      </c>
      <c r="B33" s="648"/>
      <c r="C33" s="603"/>
      <c r="D33" s="586" t="str">
        <f>A33</f>
        <v>6</v>
      </c>
      <c r="E33" s="58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589" t="s">
        <v>328</v>
      </c>
      <c r="G33" s="620"/>
      <c r="H33" s="621"/>
      <c r="J33" s="601">
        <v>23</v>
      </c>
    </row>
    <row customHeight="1" ht="23.25">
      <c r="A34" s="603"/>
      <c r="B34" s="648"/>
      <c r="C34" s="603"/>
      <c r="D34" s="586" t="str">
        <f>D33&amp;".1"</f>
        <v>6.1</v>
      </c>
      <c r="E34" s="588" t="str">
        <f>"фамилия"&amp;IF(TEMPLATE_SPHERE&lt;&gt;"HEAT"," руководителя","")</f>
        <v>фамилия</v>
      </c>
      <c r="F34" s="587"/>
      <c r="G34" s="59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621"/>
      <c r="J34" s="601">
        <v>22</v>
      </c>
    </row>
    <row customHeight="1" ht="23.25">
      <c r="A35" s="603"/>
      <c r="B35" s="648"/>
      <c r="C35" s="603"/>
      <c r="D35" s="586" t="str">
        <f>D33&amp;".2"</f>
        <v>6.2</v>
      </c>
      <c r="E35" s="588" t="str">
        <f>"имя"&amp;IF(TEMPLATE_SPHERE&lt;&gt;"HEAT"," руководителя","")</f>
        <v>имя</v>
      </c>
      <c r="F35" s="587"/>
      <c r="G35" s="59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621"/>
      <c r="J35" s="601">
        <v>22</v>
      </c>
    </row>
    <row customHeight="1" ht="24">
      <c r="A36" s="603"/>
      <c r="B36" s="648"/>
      <c r="C36" s="603"/>
      <c r="D36" s="586" t="str">
        <f>D33&amp;".3"</f>
        <v>6.3</v>
      </c>
      <c r="E36" s="588" t="str">
        <f>"отчество"&amp;IF(TEMPLATE_SPHERE&lt;&gt;"HEAT"," руководителя","")</f>
        <v>отчество</v>
      </c>
      <c r="F36" s="844"/>
      <c r="G36" s="59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621"/>
      <c r="J36" s="601">
        <v>23</v>
      </c>
    </row>
    <row customHeight="1" ht="35.699999999999996">
      <c r="A37" s="603"/>
      <c r="B37" s="648"/>
      <c r="C37" s="603"/>
      <c r="D37" s="586">
        <f>D33+1</f>
        <v>7</v>
      </c>
      <c r="E37" s="58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587"/>
      <c r="G37" s="590" t="s">
        <v>360</v>
      </c>
      <c r="H37" s="621"/>
      <c r="J37" s="601">
        <v>34</v>
      </c>
    </row>
    <row customHeight="1" ht="35.699999999999996">
      <c r="A38" s="603"/>
      <c r="B38" s="648"/>
      <c r="C38" s="603"/>
      <c r="D38" s="586">
        <f>D37+1</f>
        <v>8</v>
      </c>
      <c r="E38" s="58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587"/>
      <c r="G38" s="590" t="s">
        <v>360</v>
      </c>
      <c r="H38" s="621"/>
      <c r="J38" s="601">
        <v>34</v>
      </c>
    </row>
    <row customHeight="1" ht="23.25">
      <c r="A39" s="603"/>
      <c r="B39" s="648"/>
      <c r="C39" s="603"/>
      <c r="D39" s="586">
        <f>D38+1</f>
        <v>9</v>
      </c>
      <c r="E39" s="58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589" t="s">
        <v>328</v>
      </c>
      <c r="G39" s="23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621"/>
      <c r="J39" s="601">
        <v>22</v>
      </c>
    </row>
    <row customHeight="1" ht="22.5" hidden="1">
      <c r="A40" s="603"/>
      <c r="B40" s="648"/>
      <c r="C40" s="603"/>
      <c r="D40" s="586" t="str">
        <f>D39&amp;".0"</f>
        <v>9.0</v>
      </c>
      <c r="E40" s="1751"/>
      <c r="F40" s="1027"/>
      <c r="G40" s="2370"/>
      <c r="H40" s="621"/>
      <c r="J40" s="601">
        <v>0</v>
      </c>
    </row>
    <row customHeight="1" ht="23.25">
      <c r="A41" s="603"/>
      <c r="B41" s="603"/>
      <c r="C41" s="1833"/>
      <c r="D41" s="586" t="str">
        <f>D39&amp;".1"</f>
        <v>9.1</v>
      </c>
      <c r="E41" s="1006"/>
      <c r="F41" s="1007"/>
      <c r="G41" s="2370"/>
      <c r="H41" s="621"/>
      <c r="J41" s="601">
        <v>22</v>
      </c>
    </row>
    <row customHeight="1" ht="15.75">
      <c r="A42" s="603"/>
      <c r="B42" s="648"/>
      <c r="C42" s="603"/>
      <c r="D42" s="613"/>
      <c r="E42" s="561" t="s">
        <v>361</v>
      </c>
      <c r="F42" s="615"/>
      <c r="G42" s="2371"/>
      <c r="H42" s="622"/>
      <c r="J42" s="601">
        <v>15</v>
      </c>
    </row>
    <row customHeight="1" ht="27.299999999999997">
      <c r="A43" s="603"/>
      <c r="B43" s="648"/>
      <c r="C43" s="603"/>
      <c r="D43" s="586">
        <f>D39+1</f>
        <v>10</v>
      </c>
      <c r="E43" s="58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008"/>
      <c r="G43" s="59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621"/>
      <c r="J43" s="601">
        <v>26</v>
      </c>
    </row>
    <row customHeight="1" ht="23.25">
      <c r="A44" s="603"/>
      <c r="B44" s="648"/>
      <c r="C44" s="603"/>
      <c r="D44" s="586">
        <f>D43+1</f>
        <v>11</v>
      </c>
      <c r="E44" s="58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524"/>
      <c r="G44" s="620" t="s">
        <v>362</v>
      </c>
      <c r="H44" s="621"/>
      <c r="J44" s="601">
        <v>22</v>
      </c>
    </row>
    <row customHeight="1" ht="23.25">
      <c r="A45" s="603"/>
      <c r="B45" s="648"/>
      <c r="C45" s="603"/>
      <c r="D45" s="586">
        <f>D44+1</f>
        <v>12</v>
      </c>
      <c r="E45" s="584" t="s">
        <v>363</v>
      </c>
      <c r="F45" s="589" t="s">
        <v>328</v>
      </c>
      <c r="G45" s="583" t="str">
        <f>IF(TEMPLATE_SPHERE="TKO","Указывается режим работы организации.","")</f>
        <v/>
      </c>
      <c r="H45" s="621"/>
      <c r="J45" s="601">
        <v>22</v>
      </c>
    </row>
    <row customHeight="1" ht="24">
      <c r="A46" s="603"/>
      <c r="B46" s="648"/>
      <c r="C46" s="603"/>
      <c r="D46" s="586" t="str">
        <f>D45&amp;".1"</f>
        <v>12.1</v>
      </c>
      <c r="E46" s="588" t="str">
        <f>"режим работы регулируемой организации"&amp;IF(TEMPLATE_SPHERE="HEAT",", ЕТО, ТО","")</f>
        <v>режим работы регулируемой организации, ЕТО, ТО</v>
      </c>
      <c r="F46" s="1829"/>
      <c r="G46" s="583" t="s">
        <v>364</v>
      </c>
      <c r="H46" s="621"/>
      <c r="J46" s="601">
        <v>23</v>
      </c>
    </row>
    <row customHeight="1" ht="24">
      <c r="A47" s="2361"/>
      <c r="B47" s="648"/>
      <c r="C47" s="638"/>
      <c r="D47" s="586" t="str">
        <f>D45&amp;".2"</f>
        <v>12.2</v>
      </c>
      <c r="E47" s="588" t="s">
        <v>365</v>
      </c>
      <c r="F47" s="636"/>
      <c r="G47" s="583" t="s">
        <v>366</v>
      </c>
      <c r="H47" s="621"/>
      <c r="J47" s="601">
        <v>23</v>
      </c>
    </row>
    <row customHeight="1" ht="24">
      <c r="A48" s="2361"/>
      <c r="B48" s="648"/>
      <c r="C48" s="638"/>
      <c r="D48" s="586" t="str">
        <f>D45&amp;".3"</f>
        <v>12.3</v>
      </c>
      <c r="E48" s="588" t="s">
        <v>367</v>
      </c>
      <c r="F48" s="636"/>
      <c r="G48" s="583" t="s">
        <v>368</v>
      </c>
      <c r="H48" s="621"/>
      <c r="J48" s="601">
        <v>23</v>
      </c>
    </row>
    <row customHeight="1" ht="24">
      <c r="A49" s="2361"/>
      <c r="B49" s="648"/>
      <c r="C49" s="638"/>
      <c r="D49" s="586" t="str">
        <f>IF(TEMPLATE_SPHERE="TKO",D45&amp;".0",D45&amp;".4")</f>
        <v>12.4</v>
      </c>
      <c r="E49" s="582" t="s">
        <v>369</v>
      </c>
      <c r="F49" s="1830"/>
      <c r="G49" s="1907" t="s">
        <v>370</v>
      </c>
      <c r="H49" s="621"/>
      <c r="J49" s="601">
        <v>23</v>
      </c>
    </row>
    <row customHeight="1" ht="24">
      <c r="A50" s="603"/>
      <c r="B50" s="648"/>
      <c r="C50" s="603"/>
      <c r="D50" s="613"/>
      <c r="E50" s="561" t="s">
        <v>371</v>
      </c>
      <c r="F50" s="614"/>
      <c r="G50" s="1907" t="s">
        <v>372</v>
      </c>
      <c r="H50" s="622"/>
      <c r="J50" s="601">
        <v>23</v>
      </c>
    </row>
    <row customHeight="1" ht="24">
      <c r="A51" s="1004"/>
      <c r="B51" s="648"/>
      <c r="C51" s="638"/>
      <c r="D51" s="586">
        <f>D45+1</f>
        <v>13</v>
      </c>
      <c r="E51" s="674" t="s">
        <v>373</v>
      </c>
      <c r="F51" s="636"/>
      <c r="G51" s="183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621"/>
      <c r="J51" s="601">
        <v>23</v>
      </c>
    </row>
    <row customHeight="1" ht="11.549999999999999">
      <c r="A52" s="603"/>
      <c r="B52" s="648"/>
      <c r="C52" s="603"/>
      <c r="J52" s="601">
        <v>11</v>
      </c>
    </row>
    <row s="5977" customFormat="1" customHeight="1" ht="31.5">
      <c r="A53" s="1832"/>
      <c r="B53" s="649"/>
      <c r="C53" s="2362"/>
      <c r="D53" s="23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65"/>
      <c r="F53" s="2365"/>
      <c r="G53" s="2365"/>
      <c r="H53" s="600"/>
      <c r="I53" s="600"/>
      <c r="J53" s="606">
        <v>30</v>
      </c>
    </row>
    <row s="5977" customFormat="1" customHeight="1" ht="42">
      <c r="A54" s="603"/>
      <c r="B54" s="648"/>
      <c r="C54" s="2362"/>
      <c r="D54" s="236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65"/>
      <c r="F54" s="2365"/>
      <c r="G54" s="2365"/>
      <c r="J54" s="606">
        <v>40</v>
      </c>
    </row>
    <row customHeight="1" ht="11.549999999999999">
      <c r="D55" s="604"/>
      <c r="E55" s="605"/>
      <c r="F55" s="605"/>
      <c r="G55" s="605"/>
      <c r="J55" s="601">
        <v>11</v>
      </c>
    </row>
    <row customHeight="1" ht="28.5">
      <c r="D56" s="607"/>
      <c r="E56" s="604"/>
      <c r="F56" s="616"/>
      <c r="G56" s="616"/>
      <c r="J56" s="601">
        <v>27</v>
      </c>
    </row>
    <row customHeight="1" ht="11.549999999999999">
      <c r="D57" s="604"/>
      <c r="E57" s="604"/>
      <c r="F57" s="605"/>
      <c r="G57" s="605"/>
      <c r="J57" s="601">
        <v>11</v>
      </c>
    </row>
    <row customHeight="1" ht="40.949999999999996">
      <c r="D58" s="608"/>
      <c r="E58" s="617"/>
      <c r="F58" s="617"/>
      <c r="G58" s="617"/>
      <c r="J58" s="601">
        <v>39</v>
      </c>
    </row>
    <row customHeight="1" ht="28.5">
      <c r="D59" s="608"/>
      <c r="E59" s="617"/>
      <c r="F59" s="617"/>
      <c r="G59" s="617"/>
      <c r="J59" s="601">
        <v>27</v>
      </c>
    </row>
    <row customHeight="1" ht="11.25" hidden="1">
      <c r="A60" s="1831" t="s">
        <v>83</v>
      </c>
      <c r="B60" s="647">
        <v>0</v>
      </c>
      <c r="C60" s="601">
        <v>3</v>
      </c>
      <c r="D60" s="602">
        <v>6</v>
      </c>
      <c r="E60" s="601">
        <v>52</v>
      </c>
      <c r="F60" s="601">
        <v>48</v>
      </c>
      <c r="G60" s="601">
        <v>121</v>
      </c>
      <c r="H60" s="601">
        <v>8</v>
      </c>
      <c r="I60" s="601">
        <v>64</v>
      </c>
      <c r="J60" s="601">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2A2C1E-B704-9861-15A5-0.E5413D1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5C7768-9856-3923-C764-0.AF4FB86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CF2802-799D-AFB8-64DE-0.38781361}"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1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2B8B32-DCDD-C48C-7237-0.CB3D437F}" mc:Ignorable="x14ac xr xr2 xr3">
  <dimension ref="A1:E8"/>
  <sheetViews>
    <sheetView topLeftCell="A1" showGridLines="0" workbookViewId="0">
      <selection activeCell="A1" sqref="A1"/>
    </sheetView>
  </sheetViews>
  <sheetFormatPr customHeight="1" defaultRowHeight="11.25"/>
  <cols>
    <col min="1" max="1" style="7976" width="10.57421875" customWidth="1"/>
    <col min="2" max="2" style="7976" width="8.7109375" customWidth="1"/>
    <col min="3" max="3" style="7976" width="18.140625" customWidth="1"/>
    <col min="4" max="4" style="7976" width="12.57421875" customWidth="1"/>
  </cols>
  <sheetData>
    <row customHeight="1" ht="11.25">
      <c r="A1" s="2775" t="s">
        <v>2516</v>
      </c>
      <c r="B1" s="2776" t="s">
        <v>2517</v>
      </c>
      <c r="C1" s="2777" t="s">
        <v>2518</v>
      </c>
      <c r="D1" s="2778"/>
      <c r="E1" s="982" t="s">
        <v>2519</v>
      </c>
    </row>
    <row customHeight="1" ht="11.25">
      <c r="A2" s="2779"/>
      <c r="B2" s="911" t="s">
        <v>27</v>
      </c>
      <c r="C2" s="899"/>
      <c r="D2" s="910"/>
      <c r="E2" s="982"/>
    </row>
    <row customHeight="1" ht="11.25">
      <c r="A3" s="2780"/>
      <c r="B3" s="2781" t="s">
        <v>33</v>
      </c>
      <c r="C3" s="899"/>
      <c r="D3" s="910"/>
      <c r="E3" s="982"/>
    </row>
    <row customHeight="1" ht="11.25">
      <c r="A4" s="2782"/>
      <c r="B4" s="912" t="s">
        <v>1964</v>
      </c>
      <c r="C4" s="899"/>
      <c r="D4" s="910"/>
      <c r="E4" s="982"/>
    </row>
    <row customHeight="1" ht="11.25">
      <c r="A5" s="2783"/>
      <c r="B5" s="912" t="s">
        <v>1960</v>
      </c>
      <c r="C5" s="2784" t="s">
        <v>2287</v>
      </c>
      <c r="D5" s="2785" t="s">
        <v>2520</v>
      </c>
      <c r="E5" s="982"/>
    </row>
    <row s="7976" customFormat="1" customHeight="1" ht="11.25">
      <c r="A6" s="2786"/>
      <c r="B6" s="912" t="s">
        <v>1967</v>
      </c>
      <c r="C6" s="899"/>
      <c r="D6" s="910"/>
      <c r="E6" s="982"/>
    </row>
    <row customHeight="1" ht="11.25">
      <c r="A7" s="2787"/>
      <c r="B7" s="912" t="s">
        <v>1973</v>
      </c>
      <c r="C7" s="899"/>
      <c r="D7" s="910"/>
      <c r="E7" s="982"/>
    </row>
    <row customHeight="1" ht="11.25">
      <c r="A8" s="902"/>
      <c r="B8" s="912" t="s">
        <v>1969</v>
      </c>
      <c r="C8" s="899"/>
      <c r="D8" s="910"/>
      <c r="E8" s="98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DDE32F-2176-19B5-A68D-0.017E5E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0F2E25-66BE-7BF2-F16C-0.5513B6C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10964E-43A8-1ACE-F38D-0.2F42B16B}" mc:Ignorable="x14ac xr xr2 xr3">
  <sheetPr>
    <tabColor rgb="FFFFCC99"/>
  </sheetPr>
  <dimension ref="A1:I910"/>
  <sheetViews>
    <sheetView topLeftCell="A1" showGridLines="0" workbookViewId="0">
      <selection activeCell="A1" sqref="A1"/>
    </sheetView>
  </sheetViews>
  <sheetFormatPr defaultColWidth="9.140625" customHeight="1" defaultRowHeight="11.25"/>
  <cols>
    <col min="1" max="2" style="7976" width="9.140625"/>
    <col min="3" max="3" style="7976" width="20.7109375" customWidth="1"/>
    <col min="4" max="4" style="7976" width="25.140625" customWidth="1"/>
    <col min="5" max="9" style="7976" width="9.140625"/>
  </cols>
  <sheetData>
    <row customHeight="1" ht="11.25">
      <c r="A1" s="214" t="s">
        <v>2521</v>
      </c>
      <c r="B1" s="214" t="s">
        <v>2522</v>
      </c>
      <c r="C1" s="214" t="s">
        <v>2523</v>
      </c>
      <c r="D1" s="214" t="s">
        <v>2524</v>
      </c>
      <c r="E1" s="214" t="s">
        <v>2525</v>
      </c>
      <c r="F1" s="214" t="s">
        <v>2526</v>
      </c>
      <c r="G1" s="214" t="s">
        <v>2527</v>
      </c>
      <c r="H1" s="214" t="s">
        <v>2528</v>
      </c>
      <c r="I1" s="214" t="s">
        <v>2529</v>
      </c>
    </row>
    <row customHeight="1" ht="11.25">
      <c r="A2" s="7976" t="s">
        <v>2530</v>
      </c>
      <c r="B2" s="7976" t="s">
        <v>16</v>
      </c>
      <c r="C2" s="7976" t="s">
        <v>2531</v>
      </c>
      <c r="D2" s="7976" t="s">
        <v>2532</v>
      </c>
      <c r="E2" s="7976" t="s">
        <v>2533</v>
      </c>
      <c r="F2" s="7976" t="s">
        <v>2534</v>
      </c>
      <c r="G2" s="7976" t="s">
        <v>2535</v>
      </c>
      <c r="H2" s="7976" t="s">
        <v>22</v>
      </c>
      <c r="I2" s="7976" t="s">
        <v>869</v>
      </c>
    </row>
    <row customHeight="1" ht="11.25">
      <c r="A3" s="7976" t="s">
        <v>2530</v>
      </c>
      <c r="B3" s="7976" t="s">
        <v>16</v>
      </c>
      <c r="C3" s="7976" t="s">
        <v>2536</v>
      </c>
      <c r="D3" s="7976" t="s">
        <v>2537</v>
      </c>
      <c r="E3" s="7976" t="s">
        <v>2538</v>
      </c>
      <c r="F3" s="7976" t="s">
        <v>2539</v>
      </c>
      <c r="G3" s="7976" t="s">
        <v>22</v>
      </c>
      <c r="H3" s="7976" t="s">
        <v>22</v>
      </c>
      <c r="I3" s="7976" t="s">
        <v>869</v>
      </c>
    </row>
    <row customHeight="1" ht="11.25">
      <c r="A4" s="7976" t="s">
        <v>2530</v>
      </c>
      <c r="B4" s="7976" t="s">
        <v>16</v>
      </c>
      <c r="C4" s="7976" t="s">
        <v>2540</v>
      </c>
      <c r="D4" s="7976" t="s">
        <v>2541</v>
      </c>
      <c r="E4" s="7976" t="s">
        <v>2542</v>
      </c>
      <c r="F4" s="7976" t="s">
        <v>2539</v>
      </c>
      <c r="G4" s="7976" t="s">
        <v>22</v>
      </c>
      <c r="H4" s="7976" t="s">
        <v>22</v>
      </c>
      <c r="I4" s="7976" t="s">
        <v>869</v>
      </c>
    </row>
    <row customHeight="1" ht="11.25">
      <c r="A5" s="7976" t="s">
        <v>2530</v>
      </c>
      <c r="B5" s="7976" t="s">
        <v>16</v>
      </c>
      <c r="C5" s="7976" t="s">
        <v>2543</v>
      </c>
      <c r="D5" s="7976" t="s">
        <v>2544</v>
      </c>
      <c r="E5" s="7976" t="s">
        <v>2545</v>
      </c>
      <c r="F5" s="7976" t="s">
        <v>2546</v>
      </c>
      <c r="G5" s="7976" t="s">
        <v>2547</v>
      </c>
      <c r="H5" s="7976" t="s">
        <v>22</v>
      </c>
      <c r="I5" s="7976" t="s">
        <v>869</v>
      </c>
    </row>
    <row customHeight="1" ht="11.25">
      <c r="A6" s="7976" t="s">
        <v>2530</v>
      </c>
      <c r="B6" s="7976" t="s">
        <v>16</v>
      </c>
      <c r="C6" s="7976" t="s">
        <v>2548</v>
      </c>
      <c r="D6" s="7976" t="s">
        <v>2549</v>
      </c>
      <c r="E6" s="7976" t="s">
        <v>2550</v>
      </c>
      <c r="F6" s="7976" t="s">
        <v>2551</v>
      </c>
      <c r="G6" s="7976" t="s">
        <v>22</v>
      </c>
      <c r="H6" s="7976" t="s">
        <v>22</v>
      </c>
      <c r="I6" s="7976" t="s">
        <v>869</v>
      </c>
    </row>
    <row customHeight="1" ht="11.25">
      <c r="A7" s="7976" t="s">
        <v>2530</v>
      </c>
      <c r="B7" s="7976" t="s">
        <v>16</v>
      </c>
      <c r="C7" s="7976" t="s">
        <v>2552</v>
      </c>
      <c r="D7" s="7976" t="s">
        <v>2553</v>
      </c>
      <c r="E7" s="7976" t="s">
        <v>2554</v>
      </c>
      <c r="F7" s="7976" t="s">
        <v>2555</v>
      </c>
      <c r="G7" s="7976" t="s">
        <v>2556</v>
      </c>
      <c r="H7" s="7976" t="s">
        <v>2557</v>
      </c>
      <c r="I7" s="7976" t="s">
        <v>869</v>
      </c>
    </row>
    <row customHeight="1" ht="11.25">
      <c r="A8" s="7976" t="s">
        <v>2530</v>
      </c>
      <c r="B8" s="7976" t="s">
        <v>16</v>
      </c>
      <c r="C8" s="7976" t="s">
        <v>2558</v>
      </c>
      <c r="D8" s="7976" t="s">
        <v>2559</v>
      </c>
      <c r="E8" s="7976" t="s">
        <v>2560</v>
      </c>
      <c r="F8" s="7976" t="s">
        <v>2561</v>
      </c>
      <c r="G8" s="7976" t="s">
        <v>2562</v>
      </c>
      <c r="H8" s="7976" t="s">
        <v>2563</v>
      </c>
      <c r="I8" s="7976" t="s">
        <v>869</v>
      </c>
    </row>
    <row customHeight="1" ht="11.25">
      <c r="A9" s="7976" t="s">
        <v>2530</v>
      </c>
      <c r="B9" s="7976" t="s">
        <v>16</v>
      </c>
      <c r="C9" s="7976" t="s">
        <v>2564</v>
      </c>
      <c r="D9" s="7976" t="s">
        <v>2565</v>
      </c>
      <c r="E9" s="7976" t="s">
        <v>2566</v>
      </c>
      <c r="F9" s="7976" t="s">
        <v>2567</v>
      </c>
      <c r="G9" s="7976" t="s">
        <v>22</v>
      </c>
      <c r="H9" s="7976" t="s">
        <v>22</v>
      </c>
      <c r="I9" s="7976" t="s">
        <v>869</v>
      </c>
    </row>
    <row customHeight="1" ht="11.25">
      <c r="A10" s="7976" t="s">
        <v>2530</v>
      </c>
      <c r="B10" s="7976" t="s">
        <v>16</v>
      </c>
      <c r="C10" s="7976" t="s">
        <v>2568</v>
      </c>
      <c r="D10" s="7976" t="s">
        <v>2565</v>
      </c>
      <c r="E10" s="7976" t="s">
        <v>2566</v>
      </c>
      <c r="F10" s="7976" t="s">
        <v>2569</v>
      </c>
      <c r="G10" s="7976" t="s">
        <v>22</v>
      </c>
      <c r="H10" s="7976" t="s">
        <v>22</v>
      </c>
      <c r="I10" s="7976" t="s">
        <v>869</v>
      </c>
    </row>
    <row customHeight="1" ht="11.25">
      <c r="A11" s="7976" t="s">
        <v>2530</v>
      </c>
      <c r="B11" s="7976" t="s">
        <v>16</v>
      </c>
      <c r="C11" s="7976" t="s">
        <v>2570</v>
      </c>
      <c r="D11" s="7976" t="s">
        <v>2571</v>
      </c>
      <c r="E11" s="7976" t="s">
        <v>2572</v>
      </c>
      <c r="F11" s="7976" t="s">
        <v>2573</v>
      </c>
      <c r="G11" s="7976" t="s">
        <v>22</v>
      </c>
      <c r="H11" s="7976" t="s">
        <v>22</v>
      </c>
      <c r="I11" s="7976" t="s">
        <v>869</v>
      </c>
    </row>
    <row customHeight="1" ht="11.25">
      <c r="A12" s="7976" t="s">
        <v>2530</v>
      </c>
      <c r="B12" s="7976" t="s">
        <v>16</v>
      </c>
      <c r="C12" s="7976" t="s">
        <v>2574</v>
      </c>
      <c r="D12" s="7976" t="s">
        <v>2575</v>
      </c>
      <c r="E12" s="7976" t="s">
        <v>2576</v>
      </c>
      <c r="F12" s="7976" t="s">
        <v>2546</v>
      </c>
      <c r="G12" s="7976" t="s">
        <v>22</v>
      </c>
      <c r="H12" s="7976" t="s">
        <v>22</v>
      </c>
      <c r="I12" s="7976" t="s">
        <v>869</v>
      </c>
    </row>
    <row customHeight="1" ht="11.25">
      <c r="A13" s="7976" t="s">
        <v>2530</v>
      </c>
      <c r="B13" s="7976" t="s">
        <v>16</v>
      </c>
      <c r="C13" s="7976" t="s">
        <v>2577</v>
      </c>
      <c r="D13" s="7976" t="s">
        <v>2578</v>
      </c>
      <c r="E13" s="7976" t="s">
        <v>2579</v>
      </c>
      <c r="F13" s="7976" t="s">
        <v>2573</v>
      </c>
      <c r="G13" s="7976" t="s">
        <v>22</v>
      </c>
      <c r="H13" s="7976" t="s">
        <v>22</v>
      </c>
      <c r="I13" s="7976" t="s">
        <v>869</v>
      </c>
    </row>
    <row customHeight="1" ht="11.25">
      <c r="A14" s="7976" t="s">
        <v>2530</v>
      </c>
      <c r="B14" s="7976" t="s">
        <v>16</v>
      </c>
      <c r="C14" s="7976" t="s">
        <v>2580</v>
      </c>
      <c r="D14" s="7976" t="s">
        <v>2581</v>
      </c>
      <c r="E14" s="7976" t="s">
        <v>2582</v>
      </c>
      <c r="F14" s="7976" t="s">
        <v>51</v>
      </c>
      <c r="G14" s="7976" t="s">
        <v>22</v>
      </c>
      <c r="H14" s="7976" t="s">
        <v>22</v>
      </c>
      <c r="I14" s="7976" t="s">
        <v>869</v>
      </c>
    </row>
    <row customHeight="1" ht="11.25">
      <c r="A15" s="7976" t="s">
        <v>2530</v>
      </c>
      <c r="B15" s="7976" t="s">
        <v>16</v>
      </c>
      <c r="C15" s="7976" t="s">
        <v>2583</v>
      </c>
      <c r="D15" s="7976" t="s">
        <v>2584</v>
      </c>
      <c r="E15" s="7976" t="s">
        <v>2585</v>
      </c>
      <c r="F15" s="7976" t="s">
        <v>2573</v>
      </c>
      <c r="G15" s="7976" t="s">
        <v>22</v>
      </c>
      <c r="H15" s="7976" t="s">
        <v>22</v>
      </c>
      <c r="I15" s="7976" t="s">
        <v>869</v>
      </c>
    </row>
    <row customHeight="1" ht="11.25">
      <c r="A16" s="7976" t="s">
        <v>2530</v>
      </c>
      <c r="B16" s="7976" t="s">
        <v>16</v>
      </c>
      <c r="C16" s="7976" t="s">
        <v>2586</v>
      </c>
      <c r="D16" s="7976" t="s">
        <v>2587</v>
      </c>
      <c r="E16" s="7976" t="s">
        <v>2588</v>
      </c>
      <c r="F16" s="7976" t="s">
        <v>2589</v>
      </c>
      <c r="G16" s="7976" t="s">
        <v>22</v>
      </c>
      <c r="H16" s="7976" t="s">
        <v>22</v>
      </c>
      <c r="I16" s="7976" t="s">
        <v>869</v>
      </c>
    </row>
    <row customHeight="1" ht="11.25">
      <c r="A17" s="7976" t="s">
        <v>2530</v>
      </c>
      <c r="B17" s="7976" t="s">
        <v>16</v>
      </c>
      <c r="C17" s="7976" t="s">
        <v>2590</v>
      </c>
      <c r="D17" s="7976" t="s">
        <v>2591</v>
      </c>
      <c r="E17" s="7976" t="s">
        <v>2592</v>
      </c>
      <c r="F17" s="7976" t="s">
        <v>2573</v>
      </c>
      <c r="G17" s="7976" t="s">
        <v>2593</v>
      </c>
      <c r="H17" s="7976" t="s">
        <v>22</v>
      </c>
      <c r="I17" s="7976" t="s">
        <v>869</v>
      </c>
    </row>
    <row customHeight="1" ht="11.25">
      <c r="A18" s="7976" t="s">
        <v>2530</v>
      </c>
      <c r="B18" s="7976" t="s">
        <v>16</v>
      </c>
      <c r="C18" s="7976" t="s">
        <v>2594</v>
      </c>
      <c r="D18" s="7976" t="s">
        <v>2595</v>
      </c>
      <c r="E18" s="7976" t="s">
        <v>2596</v>
      </c>
      <c r="F18" s="7976" t="s">
        <v>2597</v>
      </c>
      <c r="G18" s="7976" t="s">
        <v>2598</v>
      </c>
      <c r="H18" s="7976" t="s">
        <v>22</v>
      </c>
      <c r="I18" s="7976" t="s">
        <v>869</v>
      </c>
    </row>
    <row customHeight="1" ht="11.25">
      <c r="A19" s="7976" t="s">
        <v>2530</v>
      </c>
      <c r="B19" s="7976" t="s">
        <v>16</v>
      </c>
      <c r="C19" s="7976" t="s">
        <v>2599</v>
      </c>
      <c r="D19" s="7976" t="s">
        <v>2600</v>
      </c>
      <c r="E19" s="7976" t="s">
        <v>2601</v>
      </c>
      <c r="F19" s="7976" t="s">
        <v>2602</v>
      </c>
      <c r="G19" s="7976" t="s">
        <v>2603</v>
      </c>
      <c r="H19" s="7976" t="s">
        <v>22</v>
      </c>
      <c r="I19" s="7976" t="s">
        <v>869</v>
      </c>
    </row>
    <row customHeight="1" ht="11.25">
      <c r="A20" s="7976" t="s">
        <v>2530</v>
      </c>
      <c r="B20" s="7976" t="s">
        <v>16</v>
      </c>
      <c r="C20" s="7976" t="s">
        <v>2604</v>
      </c>
      <c r="D20" s="7976" t="s">
        <v>2605</v>
      </c>
      <c r="E20" s="7976" t="s">
        <v>2606</v>
      </c>
      <c r="F20" s="7976" t="s">
        <v>2555</v>
      </c>
      <c r="G20" s="7976" t="s">
        <v>2607</v>
      </c>
      <c r="H20" s="7976" t="s">
        <v>22</v>
      </c>
      <c r="I20" s="7976" t="s">
        <v>869</v>
      </c>
    </row>
    <row customHeight="1" ht="11.25">
      <c r="A21" s="7976" t="s">
        <v>2530</v>
      </c>
      <c r="B21" s="7976" t="s">
        <v>16</v>
      </c>
      <c r="C21" s="7976" t="s">
        <v>2608</v>
      </c>
      <c r="D21" s="7976" t="s">
        <v>2609</v>
      </c>
      <c r="E21" s="7976" t="s">
        <v>2610</v>
      </c>
      <c r="F21" s="7976" t="s">
        <v>2611</v>
      </c>
      <c r="G21" s="7976" t="s">
        <v>2612</v>
      </c>
      <c r="H21" s="7976" t="s">
        <v>22</v>
      </c>
      <c r="I21" s="7976" t="s">
        <v>869</v>
      </c>
    </row>
    <row customHeight="1" ht="11.25">
      <c r="A22" s="7976" t="s">
        <v>2530</v>
      </c>
      <c r="B22" s="7976" t="s">
        <v>16</v>
      </c>
      <c r="C22" s="7976" t="s">
        <v>2613</v>
      </c>
      <c r="D22" s="7976" t="s">
        <v>2614</v>
      </c>
      <c r="E22" s="7976" t="s">
        <v>2615</v>
      </c>
      <c r="F22" s="7976" t="s">
        <v>2616</v>
      </c>
      <c r="G22" s="7976" t="s">
        <v>22</v>
      </c>
      <c r="H22" s="7976" t="s">
        <v>2617</v>
      </c>
      <c r="I22" s="7976" t="s">
        <v>869</v>
      </c>
    </row>
    <row customHeight="1" ht="11.25">
      <c r="A23" s="7976" t="s">
        <v>2530</v>
      </c>
      <c r="B23" s="7976" t="s">
        <v>16</v>
      </c>
      <c r="C23" s="7976" t="s">
        <v>2618</v>
      </c>
      <c r="D23" s="7976" t="s">
        <v>2619</v>
      </c>
      <c r="E23" s="7976" t="s">
        <v>2620</v>
      </c>
      <c r="F23" s="7976" t="s">
        <v>2602</v>
      </c>
      <c r="G23" s="7976" t="s">
        <v>22</v>
      </c>
      <c r="H23" s="7976" t="s">
        <v>2621</v>
      </c>
      <c r="I23" s="7976" t="s">
        <v>869</v>
      </c>
    </row>
    <row customHeight="1" ht="11.25">
      <c r="A24" s="7976" t="s">
        <v>2530</v>
      </c>
      <c r="B24" s="7976" t="s">
        <v>16</v>
      </c>
      <c r="C24" s="7976" t="s">
        <v>2622</v>
      </c>
      <c r="D24" s="7976" t="s">
        <v>2623</v>
      </c>
      <c r="E24" s="7976" t="s">
        <v>2624</v>
      </c>
      <c r="F24" s="7976" t="s">
        <v>2589</v>
      </c>
      <c r="G24" s="7976" t="s">
        <v>2625</v>
      </c>
      <c r="H24" s="7976" t="s">
        <v>2626</v>
      </c>
      <c r="I24" s="7976" t="s">
        <v>869</v>
      </c>
    </row>
    <row customHeight="1" ht="11.25">
      <c r="A25" s="7976" t="s">
        <v>2530</v>
      </c>
      <c r="B25" s="7976" t="s">
        <v>16</v>
      </c>
      <c r="C25" s="7976" t="s">
        <v>2627</v>
      </c>
      <c r="D25" s="7976" t="s">
        <v>2628</v>
      </c>
      <c r="E25" s="7976" t="s">
        <v>2629</v>
      </c>
      <c r="F25" s="7976" t="s">
        <v>2630</v>
      </c>
      <c r="G25" s="7976" t="s">
        <v>2631</v>
      </c>
      <c r="H25" s="7976" t="s">
        <v>2632</v>
      </c>
      <c r="I25" s="7976" t="s">
        <v>869</v>
      </c>
    </row>
    <row customHeight="1" ht="11.25">
      <c r="A26" s="7976" t="s">
        <v>2530</v>
      </c>
      <c r="B26" s="7976" t="s">
        <v>16</v>
      </c>
      <c r="C26" s="7976" t="s">
        <v>2633</v>
      </c>
      <c r="D26" s="7976" t="s">
        <v>2634</v>
      </c>
      <c r="E26" s="7976" t="s">
        <v>2635</v>
      </c>
      <c r="F26" s="7976" t="s">
        <v>2636</v>
      </c>
      <c r="G26" s="7976" t="s">
        <v>22</v>
      </c>
      <c r="H26" s="7976" t="s">
        <v>2637</v>
      </c>
      <c r="I26" s="7976" t="s">
        <v>869</v>
      </c>
    </row>
    <row customHeight="1" ht="11.25">
      <c r="A27" s="7976" t="s">
        <v>2530</v>
      </c>
      <c r="B27" s="7976" t="s">
        <v>16</v>
      </c>
      <c r="C27" s="7976" t="s">
        <v>2638</v>
      </c>
      <c r="D27" s="7976" t="s">
        <v>2639</v>
      </c>
      <c r="E27" s="7976" t="s">
        <v>2640</v>
      </c>
      <c r="F27" s="7976" t="s">
        <v>2630</v>
      </c>
      <c r="G27" s="7976" t="s">
        <v>2631</v>
      </c>
      <c r="H27" s="7976" t="s">
        <v>2632</v>
      </c>
      <c r="I27" s="7976" t="s">
        <v>869</v>
      </c>
    </row>
    <row customHeight="1" ht="11.25">
      <c r="A28" s="7976" t="s">
        <v>2530</v>
      </c>
      <c r="B28" s="7976" t="s">
        <v>16</v>
      </c>
      <c r="C28" s="7976" t="s">
        <v>2641</v>
      </c>
      <c r="D28" s="7976" t="s">
        <v>2642</v>
      </c>
      <c r="E28" s="7976" t="s">
        <v>2643</v>
      </c>
      <c r="F28" s="7976" t="s">
        <v>2597</v>
      </c>
      <c r="G28" s="7976" t="s">
        <v>22</v>
      </c>
      <c r="H28" s="7976" t="s">
        <v>2644</v>
      </c>
      <c r="I28" s="7976" t="s">
        <v>869</v>
      </c>
    </row>
    <row customHeight="1" ht="11.25">
      <c r="A29" s="7976" t="s">
        <v>2530</v>
      </c>
      <c r="B29" s="7976" t="s">
        <v>16</v>
      </c>
      <c r="C29" s="7976" t="s">
        <v>2645</v>
      </c>
      <c r="D29" s="7976" t="s">
        <v>2646</v>
      </c>
      <c r="E29" s="7976" t="s">
        <v>2647</v>
      </c>
      <c r="F29" s="7976" t="s">
        <v>2648</v>
      </c>
      <c r="G29" s="7976" t="s">
        <v>22</v>
      </c>
      <c r="H29" s="7976" t="s">
        <v>22</v>
      </c>
      <c r="I29" s="7976" t="s">
        <v>869</v>
      </c>
    </row>
    <row customHeight="1" ht="11.25">
      <c r="A30" s="7976" t="s">
        <v>2530</v>
      </c>
      <c r="B30" s="7976" t="s">
        <v>16</v>
      </c>
      <c r="C30" s="7976" t="s">
        <v>2649</v>
      </c>
      <c r="D30" s="7976" t="s">
        <v>2650</v>
      </c>
      <c r="E30" s="7976" t="s">
        <v>2651</v>
      </c>
      <c r="F30" s="7976" t="s">
        <v>2652</v>
      </c>
      <c r="G30" s="7976" t="s">
        <v>2653</v>
      </c>
      <c r="H30" s="7976" t="s">
        <v>22</v>
      </c>
      <c r="I30" s="7976" t="s">
        <v>869</v>
      </c>
    </row>
    <row customHeight="1" ht="11.25">
      <c r="A31" s="7976" t="s">
        <v>2530</v>
      </c>
      <c r="B31" s="7976" t="s">
        <v>16</v>
      </c>
      <c r="C31" s="7976" t="s">
        <v>2654</v>
      </c>
      <c r="D31" s="7976" t="s">
        <v>2655</v>
      </c>
      <c r="E31" s="7976" t="s">
        <v>2656</v>
      </c>
      <c r="F31" s="7976" t="s">
        <v>2657</v>
      </c>
      <c r="G31" s="7976" t="s">
        <v>2658</v>
      </c>
      <c r="H31" s="7976" t="s">
        <v>22</v>
      </c>
      <c r="I31" s="7976" t="s">
        <v>869</v>
      </c>
    </row>
    <row customHeight="1" ht="11.25">
      <c r="A32" s="7976" t="s">
        <v>2530</v>
      </c>
      <c r="B32" s="7976" t="s">
        <v>16</v>
      </c>
      <c r="C32" s="7976" t="s">
        <v>2659</v>
      </c>
      <c r="D32" s="7976" t="s">
        <v>2660</v>
      </c>
      <c r="E32" s="7976" t="s">
        <v>2661</v>
      </c>
      <c r="F32" s="7976" t="s">
        <v>2662</v>
      </c>
      <c r="G32" s="7976" t="s">
        <v>22</v>
      </c>
      <c r="H32" s="7976" t="s">
        <v>22</v>
      </c>
      <c r="I32" s="7976" t="s">
        <v>869</v>
      </c>
    </row>
    <row customHeight="1" ht="11.25">
      <c r="A33" s="7976" t="s">
        <v>2530</v>
      </c>
      <c r="B33" s="7976" t="s">
        <v>16</v>
      </c>
      <c r="C33" s="7976" t="s">
        <v>2663</v>
      </c>
      <c r="D33" s="7976" t="s">
        <v>2664</v>
      </c>
      <c r="E33" s="7976" t="s">
        <v>2665</v>
      </c>
      <c r="F33" s="7976" t="s">
        <v>2648</v>
      </c>
      <c r="G33" s="7976" t="s">
        <v>2666</v>
      </c>
      <c r="H33" s="7976" t="s">
        <v>22</v>
      </c>
      <c r="I33" s="7976" t="s">
        <v>869</v>
      </c>
    </row>
    <row customHeight="1" ht="11.25">
      <c r="A34" s="7976" t="s">
        <v>2530</v>
      </c>
      <c r="B34" s="7976" t="s">
        <v>16</v>
      </c>
      <c r="C34" s="7976" t="s">
        <v>2667</v>
      </c>
      <c r="D34" s="7976" t="s">
        <v>2668</v>
      </c>
      <c r="E34" s="7976" t="s">
        <v>2669</v>
      </c>
      <c r="F34" s="7976" t="s">
        <v>2670</v>
      </c>
      <c r="G34" s="7976" t="s">
        <v>22</v>
      </c>
      <c r="H34" s="7976" t="s">
        <v>22</v>
      </c>
      <c r="I34" s="7976" t="s">
        <v>869</v>
      </c>
    </row>
    <row customHeight="1" ht="11.25">
      <c r="A35" s="7976" t="s">
        <v>2530</v>
      </c>
      <c r="B35" s="7976" t="s">
        <v>16</v>
      </c>
      <c r="C35" s="7976" t="s">
        <v>2671</v>
      </c>
      <c r="D35" s="7976" t="s">
        <v>2672</v>
      </c>
      <c r="E35" s="7976" t="s">
        <v>2673</v>
      </c>
      <c r="F35" s="7976" t="s">
        <v>2573</v>
      </c>
      <c r="G35" s="7976" t="s">
        <v>2674</v>
      </c>
      <c r="H35" s="7976" t="s">
        <v>22</v>
      </c>
      <c r="I35" s="7976" t="s">
        <v>869</v>
      </c>
    </row>
    <row customHeight="1" ht="11.25">
      <c r="A36" s="7976" t="s">
        <v>2530</v>
      </c>
      <c r="B36" s="7976" t="s">
        <v>16</v>
      </c>
      <c r="C36" s="7976" t="s">
        <v>2675</v>
      </c>
      <c r="D36" s="7976" t="s">
        <v>2676</v>
      </c>
      <c r="E36" s="7976" t="s">
        <v>2677</v>
      </c>
      <c r="F36" s="7976" t="s">
        <v>2616</v>
      </c>
      <c r="G36" s="7976" t="s">
        <v>2678</v>
      </c>
      <c r="H36" s="7976" t="s">
        <v>22</v>
      </c>
      <c r="I36" s="7976" t="s">
        <v>869</v>
      </c>
    </row>
    <row customHeight="1" ht="11.25">
      <c r="A37" s="7976" t="s">
        <v>2530</v>
      </c>
      <c r="B37" s="7976" t="s">
        <v>16</v>
      </c>
      <c r="C37" s="7976" t="s">
        <v>2679</v>
      </c>
      <c r="D37" s="7976" t="s">
        <v>2680</v>
      </c>
      <c r="E37" s="7976" t="s">
        <v>2681</v>
      </c>
      <c r="F37" s="7976" t="s">
        <v>2636</v>
      </c>
      <c r="G37" s="7976" t="s">
        <v>2682</v>
      </c>
      <c r="H37" s="7976" t="s">
        <v>2637</v>
      </c>
      <c r="I37" s="7976" t="s">
        <v>869</v>
      </c>
    </row>
    <row customHeight="1" ht="11.25">
      <c r="A38" s="7976" t="s">
        <v>2530</v>
      </c>
      <c r="B38" s="7976" t="s">
        <v>16</v>
      </c>
      <c r="C38" s="7976" t="s">
        <v>2683</v>
      </c>
      <c r="D38" s="7976" t="s">
        <v>2684</v>
      </c>
      <c r="E38" s="7976" t="s">
        <v>2685</v>
      </c>
      <c r="F38" s="7976" t="s">
        <v>2555</v>
      </c>
      <c r="G38" s="7976" t="s">
        <v>2686</v>
      </c>
      <c r="H38" s="7976" t="s">
        <v>2557</v>
      </c>
      <c r="I38" s="7976" t="s">
        <v>869</v>
      </c>
    </row>
    <row customHeight="1" ht="11.25">
      <c r="A39" s="7976" t="s">
        <v>2530</v>
      </c>
      <c r="B39" s="7976" t="s">
        <v>16</v>
      </c>
      <c r="C39" s="7976" t="s">
        <v>2687</v>
      </c>
      <c r="D39" s="7976" t="s">
        <v>2688</v>
      </c>
      <c r="E39" s="7976" t="s">
        <v>2689</v>
      </c>
      <c r="F39" s="7976" t="s">
        <v>2690</v>
      </c>
      <c r="G39" s="7976" t="s">
        <v>2691</v>
      </c>
      <c r="H39" s="7976" t="s">
        <v>2692</v>
      </c>
      <c r="I39" s="7976" t="s">
        <v>869</v>
      </c>
    </row>
    <row customHeight="1" ht="11.25">
      <c r="A40" s="7976" t="s">
        <v>2530</v>
      </c>
      <c r="B40" s="7976" t="s">
        <v>16</v>
      </c>
      <c r="C40" s="7976" t="s">
        <v>2693</v>
      </c>
      <c r="D40" s="7976" t="s">
        <v>2694</v>
      </c>
      <c r="E40" s="7976" t="s">
        <v>2695</v>
      </c>
      <c r="F40" s="7976" t="s">
        <v>2690</v>
      </c>
      <c r="G40" s="7976" t="s">
        <v>2696</v>
      </c>
      <c r="H40" s="7976" t="s">
        <v>2692</v>
      </c>
      <c r="I40" s="7976" t="s">
        <v>869</v>
      </c>
    </row>
    <row customHeight="1" ht="11.25">
      <c r="A41" s="7976" t="s">
        <v>2530</v>
      </c>
      <c r="B41" s="7976" t="s">
        <v>16</v>
      </c>
      <c r="C41" s="7976" t="s">
        <v>2697</v>
      </c>
      <c r="D41" s="7976" t="s">
        <v>2698</v>
      </c>
      <c r="E41" s="7976" t="s">
        <v>2699</v>
      </c>
      <c r="F41" s="7976" t="s">
        <v>2561</v>
      </c>
      <c r="G41" s="7976" t="s">
        <v>2700</v>
      </c>
      <c r="H41" s="7976" t="s">
        <v>2563</v>
      </c>
      <c r="I41" s="7976" t="s">
        <v>869</v>
      </c>
    </row>
    <row customHeight="1" ht="11.25">
      <c r="A42" s="7976" t="s">
        <v>2530</v>
      </c>
      <c r="B42" s="7976" t="s">
        <v>16</v>
      </c>
      <c r="C42" s="7976" t="s">
        <v>2701</v>
      </c>
      <c r="D42" s="7976" t="s">
        <v>2702</v>
      </c>
      <c r="E42" s="7976" t="s">
        <v>2703</v>
      </c>
      <c r="F42" s="7976" t="s">
        <v>2690</v>
      </c>
      <c r="G42" s="7976" t="s">
        <v>2704</v>
      </c>
      <c r="H42" s="7976" t="s">
        <v>2692</v>
      </c>
      <c r="I42" s="7976" t="s">
        <v>869</v>
      </c>
    </row>
    <row customHeight="1" ht="11.25">
      <c r="A43" s="7976" t="s">
        <v>2530</v>
      </c>
      <c r="B43" s="7976" t="s">
        <v>16</v>
      </c>
      <c r="C43" s="7976" t="s">
        <v>2705</v>
      </c>
      <c r="D43" s="7976" t="s">
        <v>2706</v>
      </c>
      <c r="E43" s="7976" t="s">
        <v>2707</v>
      </c>
      <c r="F43" s="7976" t="s">
        <v>2690</v>
      </c>
      <c r="G43" s="7976" t="s">
        <v>22</v>
      </c>
      <c r="H43" s="7976" t="s">
        <v>2692</v>
      </c>
      <c r="I43" s="7976" t="s">
        <v>869</v>
      </c>
    </row>
    <row customHeight="1" ht="11.25">
      <c r="A44" s="7976" t="s">
        <v>2530</v>
      </c>
      <c r="B44" s="7976" t="s">
        <v>16</v>
      </c>
      <c r="C44" s="7976" t="s">
        <v>2708</v>
      </c>
      <c r="D44" s="7976" t="s">
        <v>2709</v>
      </c>
      <c r="E44" s="7976" t="s">
        <v>2710</v>
      </c>
      <c r="F44" s="7976" t="s">
        <v>2670</v>
      </c>
      <c r="G44" s="7976" t="s">
        <v>22</v>
      </c>
      <c r="H44" s="7976" t="s">
        <v>2711</v>
      </c>
      <c r="I44" s="7976" t="s">
        <v>869</v>
      </c>
    </row>
    <row customHeight="1" ht="11.25">
      <c r="A45" s="7976" t="s">
        <v>2530</v>
      </c>
      <c r="B45" s="7976" t="s">
        <v>16</v>
      </c>
      <c r="C45" s="7976" t="s">
        <v>2712</v>
      </c>
      <c r="D45" s="7976" t="s">
        <v>2713</v>
      </c>
      <c r="E45" s="7976" t="s">
        <v>2714</v>
      </c>
      <c r="F45" s="7976" t="s">
        <v>2648</v>
      </c>
      <c r="G45" s="7976" t="s">
        <v>2715</v>
      </c>
      <c r="H45" s="7976" t="s">
        <v>22</v>
      </c>
      <c r="I45" s="7976" t="s">
        <v>869</v>
      </c>
    </row>
    <row customHeight="1" ht="11.25">
      <c r="A46" s="7976" t="s">
        <v>2530</v>
      </c>
      <c r="B46" s="7976" t="s">
        <v>16</v>
      </c>
      <c r="C46" s="7976" t="s">
        <v>2716</v>
      </c>
      <c r="D46" s="7976" t="s">
        <v>2717</v>
      </c>
      <c r="E46" s="7976" t="s">
        <v>2718</v>
      </c>
      <c r="F46" s="7976" t="s">
        <v>2690</v>
      </c>
      <c r="G46" s="7976" t="s">
        <v>2719</v>
      </c>
      <c r="H46" s="7976" t="s">
        <v>2692</v>
      </c>
      <c r="I46" s="7976" t="s">
        <v>869</v>
      </c>
    </row>
    <row customHeight="1" ht="11.25">
      <c r="A47" s="7976" t="s">
        <v>2530</v>
      </c>
      <c r="B47" s="7976" t="s">
        <v>16</v>
      </c>
      <c r="C47" s="7976" t="s">
        <v>2720</v>
      </c>
      <c r="D47" s="7976" t="s">
        <v>2721</v>
      </c>
      <c r="E47" s="7976" t="s">
        <v>2722</v>
      </c>
      <c r="F47" s="7976" t="s">
        <v>2616</v>
      </c>
      <c r="G47" s="7976" t="s">
        <v>2723</v>
      </c>
      <c r="H47" s="7976" t="s">
        <v>2617</v>
      </c>
      <c r="I47" s="7976" t="s">
        <v>869</v>
      </c>
    </row>
    <row customHeight="1" ht="11.25">
      <c r="A48" s="7976" t="s">
        <v>2530</v>
      </c>
      <c r="B48" s="7976" t="s">
        <v>16</v>
      </c>
      <c r="C48" s="7976" t="s">
        <v>2724</v>
      </c>
      <c r="D48" s="7976" t="s">
        <v>2725</v>
      </c>
      <c r="E48" s="7976" t="s">
        <v>2726</v>
      </c>
      <c r="F48" s="7976" t="s">
        <v>2670</v>
      </c>
      <c r="G48" s="7976" t="s">
        <v>22</v>
      </c>
      <c r="H48" s="7976" t="s">
        <v>2711</v>
      </c>
      <c r="I48" s="7976" t="s">
        <v>869</v>
      </c>
    </row>
    <row customHeight="1" ht="11.25">
      <c r="A49" s="7976" t="s">
        <v>2530</v>
      </c>
      <c r="B49" s="7976" t="s">
        <v>16</v>
      </c>
      <c r="C49" s="7976" t="s">
        <v>2727</v>
      </c>
      <c r="D49" s="7976" t="s">
        <v>2728</v>
      </c>
      <c r="E49" s="7976" t="s">
        <v>2729</v>
      </c>
      <c r="F49" s="7976" t="s">
        <v>2555</v>
      </c>
      <c r="G49" s="7976" t="s">
        <v>22</v>
      </c>
      <c r="H49" s="7976" t="s">
        <v>2557</v>
      </c>
      <c r="I49" s="7976" t="s">
        <v>869</v>
      </c>
    </row>
    <row customHeight="1" ht="11.25">
      <c r="A50" s="7976" t="s">
        <v>2530</v>
      </c>
      <c r="B50" s="7976" t="s">
        <v>16</v>
      </c>
      <c r="C50" s="7976" t="s">
        <v>2730</v>
      </c>
      <c r="D50" s="7976" t="s">
        <v>2731</v>
      </c>
      <c r="E50" s="7976" t="s">
        <v>2732</v>
      </c>
      <c r="F50" s="7976" t="s">
        <v>2657</v>
      </c>
      <c r="G50" s="7976" t="s">
        <v>22</v>
      </c>
      <c r="H50" s="7976" t="s">
        <v>22</v>
      </c>
      <c r="I50" s="7976" t="s">
        <v>869</v>
      </c>
    </row>
    <row customHeight="1" ht="11.25">
      <c r="A51" s="7976" t="s">
        <v>2530</v>
      </c>
      <c r="B51" s="7976" t="s">
        <v>16</v>
      </c>
      <c r="C51" s="7976" t="s">
        <v>2733</v>
      </c>
      <c r="D51" s="7976" t="s">
        <v>2734</v>
      </c>
      <c r="E51" s="7976" t="s">
        <v>2735</v>
      </c>
      <c r="F51" s="7976" t="s">
        <v>2657</v>
      </c>
      <c r="G51" s="7976" t="s">
        <v>2736</v>
      </c>
      <c r="H51" s="7976" t="s">
        <v>22</v>
      </c>
      <c r="I51" s="7976" t="s">
        <v>869</v>
      </c>
    </row>
    <row customHeight="1" ht="11.25">
      <c r="A52" s="7976" t="s">
        <v>2530</v>
      </c>
      <c r="B52" s="7976" t="s">
        <v>16</v>
      </c>
      <c r="C52" s="7976" t="s">
        <v>2737</v>
      </c>
      <c r="D52" s="7976" t="s">
        <v>2738</v>
      </c>
      <c r="E52" s="7976" t="s">
        <v>2739</v>
      </c>
      <c r="F52" s="7976" t="s">
        <v>2690</v>
      </c>
      <c r="G52" s="7976" t="s">
        <v>22</v>
      </c>
      <c r="H52" s="7976" t="s">
        <v>2692</v>
      </c>
      <c r="I52" s="7976" t="s">
        <v>869</v>
      </c>
    </row>
    <row customHeight="1" ht="11.25">
      <c r="A53" s="7976" t="s">
        <v>2530</v>
      </c>
      <c r="B53" s="7976" t="s">
        <v>16</v>
      </c>
      <c r="C53" s="7976" t="s">
        <v>2740</v>
      </c>
      <c r="D53" s="7976" t="s">
        <v>2741</v>
      </c>
      <c r="E53" s="7976" t="s">
        <v>2742</v>
      </c>
      <c r="F53" s="7976" t="s">
        <v>2743</v>
      </c>
      <c r="G53" s="7976" t="s">
        <v>22</v>
      </c>
      <c r="H53" s="7976" t="s">
        <v>2744</v>
      </c>
      <c r="I53" s="7976" t="s">
        <v>869</v>
      </c>
    </row>
    <row customHeight="1" ht="11.25">
      <c r="A54" s="7976" t="s">
        <v>2530</v>
      </c>
      <c r="B54" s="7976" t="s">
        <v>16</v>
      </c>
      <c r="C54" s="7976" t="s">
        <v>2745</v>
      </c>
      <c r="D54" s="7976" t="s">
        <v>2746</v>
      </c>
      <c r="E54" s="7976" t="s">
        <v>2747</v>
      </c>
      <c r="F54" s="7976" t="s">
        <v>2636</v>
      </c>
      <c r="G54" s="7976" t="s">
        <v>22</v>
      </c>
      <c r="H54" s="7976" t="s">
        <v>2637</v>
      </c>
      <c r="I54" s="7976" t="s">
        <v>869</v>
      </c>
    </row>
    <row customHeight="1" ht="11.25">
      <c r="A55" s="7976" t="s">
        <v>2530</v>
      </c>
      <c r="B55" s="7976" t="s">
        <v>16</v>
      </c>
      <c r="C55" s="7976" t="s">
        <v>2748</v>
      </c>
      <c r="D55" s="7976" t="s">
        <v>2749</v>
      </c>
      <c r="E55" s="7976" t="s">
        <v>2750</v>
      </c>
      <c r="F55" s="7976" t="s">
        <v>2555</v>
      </c>
      <c r="G55" s="7976" t="s">
        <v>22</v>
      </c>
      <c r="H55" s="7976" t="s">
        <v>2557</v>
      </c>
      <c r="I55" s="7976" t="s">
        <v>869</v>
      </c>
    </row>
    <row customHeight="1" ht="11.25">
      <c r="A56" s="7976" t="s">
        <v>2530</v>
      </c>
      <c r="B56" s="7976" t="s">
        <v>16</v>
      </c>
      <c r="C56" s="7976" t="s">
        <v>2751</v>
      </c>
      <c r="D56" s="7976" t="s">
        <v>2752</v>
      </c>
      <c r="E56" s="7976" t="s">
        <v>2753</v>
      </c>
      <c r="F56" s="7976" t="s">
        <v>2657</v>
      </c>
      <c r="G56" s="7976" t="s">
        <v>22</v>
      </c>
      <c r="H56" s="7976" t="s">
        <v>22</v>
      </c>
      <c r="I56" s="7976" t="s">
        <v>869</v>
      </c>
    </row>
    <row customHeight="1" ht="11.25">
      <c r="A57" s="7976" t="s">
        <v>2530</v>
      </c>
      <c r="B57" s="7976" t="s">
        <v>16</v>
      </c>
      <c r="C57" s="7976" t="s">
        <v>2754</v>
      </c>
      <c r="D57" s="7976" t="s">
        <v>2755</v>
      </c>
      <c r="E57" s="7976" t="s">
        <v>2756</v>
      </c>
      <c r="F57" s="7976" t="s">
        <v>2757</v>
      </c>
      <c r="G57" s="7976" t="s">
        <v>22</v>
      </c>
      <c r="H57" s="7976" t="s">
        <v>2758</v>
      </c>
      <c r="I57" s="7976" t="s">
        <v>869</v>
      </c>
    </row>
    <row customHeight="1" ht="11.25">
      <c r="A58" s="7976" t="s">
        <v>2530</v>
      </c>
      <c r="B58" s="7976" t="s">
        <v>16</v>
      </c>
      <c r="C58" s="7976" t="s">
        <v>2759</v>
      </c>
      <c r="D58" s="7976" t="s">
        <v>2760</v>
      </c>
      <c r="E58" s="7976" t="s">
        <v>2761</v>
      </c>
      <c r="F58" s="7976" t="s">
        <v>2690</v>
      </c>
      <c r="G58" s="7976" t="s">
        <v>2691</v>
      </c>
      <c r="H58" s="7976" t="s">
        <v>2692</v>
      </c>
      <c r="I58" s="7976" t="s">
        <v>869</v>
      </c>
    </row>
    <row customHeight="1" ht="11.25">
      <c r="A59" s="7976" t="s">
        <v>2530</v>
      </c>
      <c r="B59" s="7976" t="s">
        <v>16</v>
      </c>
      <c r="C59" s="7976" t="s">
        <v>2762</v>
      </c>
      <c r="D59" s="7976" t="s">
        <v>2763</v>
      </c>
      <c r="E59" s="7976" t="s">
        <v>2764</v>
      </c>
      <c r="F59" s="7976" t="s">
        <v>2690</v>
      </c>
      <c r="G59" s="7976" t="s">
        <v>2765</v>
      </c>
      <c r="H59" s="7976" t="s">
        <v>2692</v>
      </c>
      <c r="I59" s="7976" t="s">
        <v>869</v>
      </c>
    </row>
    <row customHeight="1" ht="11.25">
      <c r="A60" s="7976" t="s">
        <v>2530</v>
      </c>
      <c r="B60" s="7976" t="s">
        <v>16</v>
      </c>
      <c r="C60" s="7976" t="s">
        <v>2766</v>
      </c>
      <c r="D60" s="7976" t="s">
        <v>2767</v>
      </c>
      <c r="E60" s="7976" t="s">
        <v>2768</v>
      </c>
      <c r="F60" s="7976" t="s">
        <v>2670</v>
      </c>
      <c r="G60" s="7976" t="s">
        <v>22</v>
      </c>
      <c r="H60" s="7976" t="s">
        <v>2711</v>
      </c>
      <c r="I60" s="7976" t="s">
        <v>869</v>
      </c>
    </row>
    <row customHeight="1" ht="11.25">
      <c r="A61" s="7976" t="s">
        <v>2530</v>
      </c>
      <c r="B61" s="7976" t="s">
        <v>16</v>
      </c>
      <c r="C61" s="7976" t="s">
        <v>2769</v>
      </c>
      <c r="D61" s="7976" t="s">
        <v>2770</v>
      </c>
      <c r="E61" s="7976" t="s">
        <v>2771</v>
      </c>
      <c r="F61" s="7976" t="s">
        <v>2772</v>
      </c>
      <c r="G61" s="7976" t="s">
        <v>2773</v>
      </c>
      <c r="H61" s="7976" t="s">
        <v>22</v>
      </c>
      <c r="I61" s="7976" t="s">
        <v>869</v>
      </c>
    </row>
    <row customHeight="1" ht="11.25">
      <c r="A62" s="7976" t="s">
        <v>2530</v>
      </c>
      <c r="B62" s="7976" t="s">
        <v>16</v>
      </c>
      <c r="C62" s="7976" t="s">
        <v>2774</v>
      </c>
      <c r="D62" s="7976" t="s">
        <v>2775</v>
      </c>
      <c r="E62" s="7976" t="s">
        <v>2776</v>
      </c>
      <c r="F62" s="7976" t="s">
        <v>2777</v>
      </c>
      <c r="G62" s="7976" t="s">
        <v>22</v>
      </c>
      <c r="H62" s="7976" t="s">
        <v>22</v>
      </c>
      <c r="I62" s="7976" t="s">
        <v>869</v>
      </c>
    </row>
    <row customHeight="1" ht="11.25">
      <c r="A63" s="7976" t="s">
        <v>2530</v>
      </c>
      <c r="B63" s="7976" t="s">
        <v>16</v>
      </c>
      <c r="C63" s="7976" t="s">
        <v>2778</v>
      </c>
      <c r="D63" s="7976" t="s">
        <v>2779</v>
      </c>
      <c r="E63" s="7976" t="s">
        <v>2780</v>
      </c>
      <c r="F63" s="7976" t="s">
        <v>2567</v>
      </c>
      <c r="G63" s="7976" t="s">
        <v>2781</v>
      </c>
      <c r="H63" s="7976" t="s">
        <v>22</v>
      </c>
      <c r="I63" s="7976" t="s">
        <v>869</v>
      </c>
    </row>
    <row customHeight="1" ht="11.25">
      <c r="A64" s="7976" t="s">
        <v>2530</v>
      </c>
      <c r="B64" s="7976" t="s">
        <v>16</v>
      </c>
      <c r="C64" s="7976" t="s">
        <v>2782</v>
      </c>
      <c r="D64" s="7976" t="s">
        <v>2783</v>
      </c>
      <c r="E64" s="7976" t="s">
        <v>2784</v>
      </c>
      <c r="F64" s="7976" t="s">
        <v>2551</v>
      </c>
      <c r="G64" s="7976" t="s">
        <v>22</v>
      </c>
      <c r="H64" s="7976" t="s">
        <v>22</v>
      </c>
      <c r="I64" s="7976" t="s">
        <v>869</v>
      </c>
    </row>
    <row customHeight="1" ht="11.25">
      <c r="A65" s="7976" t="s">
        <v>2530</v>
      </c>
      <c r="B65" s="7976" t="s">
        <v>16</v>
      </c>
      <c r="C65" s="7976" t="s">
        <v>2785</v>
      </c>
      <c r="D65" s="7976" t="s">
        <v>2786</v>
      </c>
      <c r="E65" s="7976" t="s">
        <v>2787</v>
      </c>
      <c r="F65" s="7976" t="s">
        <v>2561</v>
      </c>
      <c r="G65" s="7976" t="s">
        <v>22</v>
      </c>
      <c r="H65" s="7976" t="s">
        <v>22</v>
      </c>
      <c r="I65" s="7976" t="s">
        <v>869</v>
      </c>
    </row>
    <row customHeight="1" ht="11.25">
      <c r="A66" s="7976" t="s">
        <v>2530</v>
      </c>
      <c r="B66" s="7976" t="s">
        <v>16</v>
      </c>
      <c r="C66" s="7976" t="s">
        <v>2788</v>
      </c>
      <c r="D66" s="7976" t="s">
        <v>2789</v>
      </c>
      <c r="E66" s="7976" t="s">
        <v>2790</v>
      </c>
      <c r="F66" s="7976" t="s">
        <v>2757</v>
      </c>
      <c r="G66" s="7976" t="s">
        <v>22</v>
      </c>
      <c r="H66" s="7976" t="s">
        <v>22</v>
      </c>
      <c r="I66" s="7976" t="s">
        <v>869</v>
      </c>
    </row>
    <row customHeight="1" ht="11.25">
      <c r="A67" s="7976" t="s">
        <v>2530</v>
      </c>
      <c r="B67" s="7976" t="s">
        <v>16</v>
      </c>
      <c r="C67" s="7976" t="s">
        <v>2791</v>
      </c>
      <c r="D67" s="7976" t="s">
        <v>2792</v>
      </c>
      <c r="E67" s="7976" t="s">
        <v>2793</v>
      </c>
      <c r="F67" s="7976" t="s">
        <v>2573</v>
      </c>
      <c r="G67" s="7976" t="s">
        <v>2794</v>
      </c>
      <c r="H67" s="7976" t="s">
        <v>22</v>
      </c>
      <c r="I67" s="7976" t="s">
        <v>869</v>
      </c>
    </row>
    <row customHeight="1" ht="11.25">
      <c r="A68" s="7976" t="s">
        <v>2530</v>
      </c>
      <c r="B68" s="7976" t="s">
        <v>16</v>
      </c>
      <c r="C68" s="7976" t="s">
        <v>2795</v>
      </c>
      <c r="D68" s="7976" t="s">
        <v>2796</v>
      </c>
      <c r="E68" s="7976" t="s">
        <v>2797</v>
      </c>
      <c r="F68" s="7976" t="s">
        <v>2573</v>
      </c>
      <c r="G68" s="7976" t="s">
        <v>2798</v>
      </c>
      <c r="H68" s="7976" t="s">
        <v>22</v>
      </c>
      <c r="I68" s="7976" t="s">
        <v>869</v>
      </c>
    </row>
    <row customHeight="1" ht="11.25">
      <c r="A69" s="7976" t="s">
        <v>2530</v>
      </c>
      <c r="B69" s="7976" t="s">
        <v>16</v>
      </c>
      <c r="C69" s="7976" t="s">
        <v>2799</v>
      </c>
      <c r="D69" s="7976" t="s">
        <v>2800</v>
      </c>
      <c r="E69" s="7976" t="s">
        <v>2801</v>
      </c>
      <c r="F69" s="7976" t="s">
        <v>2802</v>
      </c>
      <c r="G69" s="7976" t="s">
        <v>22</v>
      </c>
      <c r="H69" s="7976" t="s">
        <v>22</v>
      </c>
      <c r="I69" s="7976" t="s">
        <v>869</v>
      </c>
    </row>
    <row customHeight="1" ht="11.25">
      <c r="A70" s="7976" t="s">
        <v>2530</v>
      </c>
      <c r="B70" s="7976" t="s">
        <v>16</v>
      </c>
      <c r="C70" s="7976" t="s">
        <v>2803</v>
      </c>
      <c r="D70" s="7976" t="s">
        <v>2804</v>
      </c>
      <c r="E70" s="7976" t="s">
        <v>2805</v>
      </c>
      <c r="F70" s="7976" t="s">
        <v>2806</v>
      </c>
      <c r="G70" s="7976" t="s">
        <v>2807</v>
      </c>
      <c r="H70" s="7976" t="s">
        <v>22</v>
      </c>
      <c r="I70" s="7976" t="s">
        <v>869</v>
      </c>
    </row>
    <row customHeight="1" ht="11.25">
      <c r="A71" s="7976" t="s">
        <v>2530</v>
      </c>
      <c r="B71" s="7976" t="s">
        <v>16</v>
      </c>
      <c r="C71" s="7976" t="s">
        <v>2808</v>
      </c>
      <c r="D71" s="7976" t="s">
        <v>2809</v>
      </c>
      <c r="E71" s="7976" t="s">
        <v>2810</v>
      </c>
      <c r="F71" s="7976" t="s">
        <v>2743</v>
      </c>
      <c r="G71" s="7976" t="s">
        <v>22</v>
      </c>
      <c r="H71" s="7976" t="s">
        <v>22</v>
      </c>
      <c r="I71" s="7976" t="s">
        <v>869</v>
      </c>
    </row>
    <row customHeight="1" ht="11.25">
      <c r="A72" s="7976" t="s">
        <v>2530</v>
      </c>
      <c r="B72" s="7976" t="s">
        <v>16</v>
      </c>
      <c r="C72" s="7976" t="s">
        <v>2811</v>
      </c>
      <c r="D72" s="7976" t="s">
        <v>2812</v>
      </c>
      <c r="E72" s="7976" t="s">
        <v>2813</v>
      </c>
      <c r="F72" s="7976" t="s">
        <v>2814</v>
      </c>
      <c r="G72" s="7976" t="s">
        <v>22</v>
      </c>
      <c r="H72" s="7976" t="s">
        <v>22</v>
      </c>
      <c r="I72" s="7976" t="s">
        <v>869</v>
      </c>
    </row>
    <row customHeight="1" ht="11.25">
      <c r="A73" s="7976" t="s">
        <v>2530</v>
      </c>
      <c r="B73" s="7976" t="s">
        <v>16</v>
      </c>
      <c r="C73" s="7976" t="s">
        <v>2815</v>
      </c>
      <c r="D73" s="7976" t="s">
        <v>2816</v>
      </c>
      <c r="E73" s="7976" t="s">
        <v>2817</v>
      </c>
      <c r="F73" s="7976" t="s">
        <v>2657</v>
      </c>
      <c r="G73" s="7976" t="s">
        <v>22</v>
      </c>
      <c r="H73" s="7976" t="s">
        <v>22</v>
      </c>
      <c r="I73" s="7976" t="s">
        <v>869</v>
      </c>
    </row>
    <row customHeight="1" ht="11.25">
      <c r="A74" s="7976" t="s">
        <v>2530</v>
      </c>
      <c r="B74" s="7976" t="s">
        <v>16</v>
      </c>
      <c r="C74" s="7976" t="s">
        <v>2818</v>
      </c>
      <c r="D74" s="7976" t="s">
        <v>2819</v>
      </c>
      <c r="E74" s="7976" t="s">
        <v>2820</v>
      </c>
      <c r="F74" s="7976" t="s">
        <v>2561</v>
      </c>
      <c r="G74" s="7976" t="s">
        <v>22</v>
      </c>
      <c r="H74" s="7976" t="s">
        <v>22</v>
      </c>
      <c r="I74" s="7976" t="s">
        <v>869</v>
      </c>
    </row>
    <row customHeight="1" ht="11.25">
      <c r="A75" s="7976" t="s">
        <v>2530</v>
      </c>
      <c r="B75" s="7976" t="s">
        <v>16</v>
      </c>
      <c r="C75" s="7976" t="s">
        <v>2821</v>
      </c>
      <c r="D75" s="7976" t="s">
        <v>2822</v>
      </c>
      <c r="E75" s="7976" t="s">
        <v>2823</v>
      </c>
      <c r="F75" s="7976" t="s">
        <v>2824</v>
      </c>
      <c r="G75" s="7976" t="s">
        <v>2825</v>
      </c>
      <c r="H75" s="7976" t="s">
        <v>22</v>
      </c>
      <c r="I75" s="7976" t="s">
        <v>869</v>
      </c>
    </row>
    <row customHeight="1" ht="11.25">
      <c r="A76" s="7976" t="s">
        <v>2530</v>
      </c>
      <c r="B76" s="7976" t="s">
        <v>16</v>
      </c>
      <c r="C76" s="7976" t="s">
        <v>2826</v>
      </c>
      <c r="D76" s="7976" t="s">
        <v>2827</v>
      </c>
      <c r="E76" s="7976" t="s">
        <v>2828</v>
      </c>
      <c r="F76" s="7976" t="s">
        <v>2657</v>
      </c>
      <c r="G76" s="7976" t="s">
        <v>2829</v>
      </c>
      <c r="H76" s="7976" t="s">
        <v>22</v>
      </c>
      <c r="I76" s="7976" t="s">
        <v>869</v>
      </c>
    </row>
    <row customHeight="1" ht="11.25">
      <c r="A77" s="7976" t="s">
        <v>2530</v>
      </c>
      <c r="B77" s="7976" t="s">
        <v>16</v>
      </c>
      <c r="C77" s="7976" t="s">
        <v>2830</v>
      </c>
      <c r="D77" s="7976" t="s">
        <v>2831</v>
      </c>
      <c r="E77" s="7976" t="s">
        <v>2832</v>
      </c>
      <c r="F77" s="7976" t="s">
        <v>2561</v>
      </c>
      <c r="G77" s="7976" t="s">
        <v>2833</v>
      </c>
      <c r="H77" s="7976" t="s">
        <v>22</v>
      </c>
      <c r="I77" s="7976" t="s">
        <v>869</v>
      </c>
    </row>
    <row customHeight="1" ht="11.25">
      <c r="A78" s="7976" t="s">
        <v>2530</v>
      </c>
      <c r="B78" s="7976" t="s">
        <v>16</v>
      </c>
      <c r="C78" s="7976" t="s">
        <v>2834</v>
      </c>
      <c r="D78" s="7976" t="s">
        <v>2835</v>
      </c>
      <c r="E78" s="7976" t="s">
        <v>2836</v>
      </c>
      <c r="F78" s="7976" t="s">
        <v>2837</v>
      </c>
      <c r="G78" s="7976" t="s">
        <v>22</v>
      </c>
      <c r="H78" s="7976" t="s">
        <v>22</v>
      </c>
      <c r="I78" s="7976" t="s">
        <v>869</v>
      </c>
    </row>
    <row customHeight="1" ht="11.25">
      <c r="A79" s="7976" t="s">
        <v>2530</v>
      </c>
      <c r="B79" s="7976" t="s">
        <v>16</v>
      </c>
      <c r="C79" s="7976" t="s">
        <v>2838</v>
      </c>
      <c r="D79" s="7976" t="s">
        <v>2839</v>
      </c>
      <c r="E79" s="7976" t="s">
        <v>2840</v>
      </c>
      <c r="F79" s="7976" t="s">
        <v>2824</v>
      </c>
      <c r="G79" s="7976" t="s">
        <v>2841</v>
      </c>
      <c r="H79" s="7976" t="s">
        <v>22</v>
      </c>
      <c r="I79" s="7976" t="s">
        <v>869</v>
      </c>
    </row>
    <row customHeight="1" ht="11.25">
      <c r="A80" s="7976" t="s">
        <v>2530</v>
      </c>
      <c r="B80" s="7976" t="s">
        <v>16</v>
      </c>
      <c r="C80" s="7976" t="s">
        <v>2842</v>
      </c>
      <c r="D80" s="7976" t="s">
        <v>2843</v>
      </c>
      <c r="E80" s="7976" t="s">
        <v>2844</v>
      </c>
      <c r="F80" s="7976" t="s">
        <v>2845</v>
      </c>
      <c r="G80" s="7976" t="s">
        <v>22</v>
      </c>
      <c r="H80" s="7976" t="s">
        <v>22</v>
      </c>
      <c r="I80" s="7976" t="s">
        <v>869</v>
      </c>
    </row>
    <row customHeight="1" ht="11.25">
      <c r="A81" s="7976" t="s">
        <v>2530</v>
      </c>
      <c r="B81" s="7976" t="s">
        <v>16</v>
      </c>
      <c r="C81" s="7976" t="s">
        <v>2846</v>
      </c>
      <c r="D81" s="7976" t="s">
        <v>2847</v>
      </c>
      <c r="E81" s="7976" t="s">
        <v>2848</v>
      </c>
      <c r="F81" s="7976" t="s">
        <v>602</v>
      </c>
      <c r="G81" s="7976" t="s">
        <v>2849</v>
      </c>
      <c r="H81" s="7976" t="s">
        <v>22</v>
      </c>
      <c r="I81" s="7976" t="s">
        <v>869</v>
      </c>
    </row>
    <row customHeight="1" ht="11.25">
      <c r="A82" s="7976" t="s">
        <v>2530</v>
      </c>
      <c r="B82" s="7976" t="s">
        <v>16</v>
      </c>
      <c r="C82" s="7976" t="s">
        <v>2850</v>
      </c>
      <c r="D82" s="7976" t="s">
        <v>2851</v>
      </c>
      <c r="E82" s="7976" t="s">
        <v>2852</v>
      </c>
      <c r="F82" s="7976" t="s">
        <v>2853</v>
      </c>
      <c r="G82" s="7976" t="s">
        <v>22</v>
      </c>
      <c r="H82" s="7976" t="s">
        <v>22</v>
      </c>
      <c r="I82" s="7976" t="s">
        <v>869</v>
      </c>
    </row>
    <row customHeight="1" ht="11.25">
      <c r="A83" s="7976" t="s">
        <v>2530</v>
      </c>
      <c r="B83" s="7976" t="s">
        <v>16</v>
      </c>
      <c r="C83" s="7976" t="s">
        <v>2854</v>
      </c>
      <c r="D83" s="7976" t="s">
        <v>2855</v>
      </c>
      <c r="E83" s="7976" t="s">
        <v>2856</v>
      </c>
      <c r="F83" s="7976" t="s">
        <v>2573</v>
      </c>
      <c r="G83" s="7976" t="s">
        <v>22</v>
      </c>
      <c r="H83" s="7976" t="s">
        <v>22</v>
      </c>
      <c r="I83" s="7976" t="s">
        <v>869</v>
      </c>
    </row>
    <row customHeight="1" ht="11.25">
      <c r="A84" s="7976" t="s">
        <v>2530</v>
      </c>
      <c r="B84" s="7976" t="s">
        <v>16</v>
      </c>
      <c r="C84" s="7976" t="s">
        <v>2857</v>
      </c>
      <c r="D84" s="7976" t="s">
        <v>2858</v>
      </c>
      <c r="E84" s="7976" t="s">
        <v>2859</v>
      </c>
      <c r="F84" s="7976" t="s">
        <v>602</v>
      </c>
      <c r="G84" s="7976" t="s">
        <v>22</v>
      </c>
      <c r="H84" s="7976" t="s">
        <v>22</v>
      </c>
      <c r="I84" s="7976" t="s">
        <v>869</v>
      </c>
    </row>
    <row customHeight="1" ht="11.25">
      <c r="A85" s="7976" t="s">
        <v>2530</v>
      </c>
      <c r="B85" s="7976" t="s">
        <v>16</v>
      </c>
      <c r="C85" s="7976" t="s">
        <v>2860</v>
      </c>
      <c r="D85" s="7976" t="s">
        <v>2861</v>
      </c>
      <c r="E85" s="7976" t="s">
        <v>2862</v>
      </c>
      <c r="F85" s="7976" t="s">
        <v>602</v>
      </c>
      <c r="G85" s="7976" t="s">
        <v>2863</v>
      </c>
      <c r="H85" s="7976" t="s">
        <v>22</v>
      </c>
      <c r="I85" s="7976" t="s">
        <v>869</v>
      </c>
    </row>
    <row customHeight="1" ht="11.25">
      <c r="A86" s="7976" t="s">
        <v>2530</v>
      </c>
      <c r="B86" s="7976" t="s">
        <v>16</v>
      </c>
      <c r="C86" s="7976" t="s">
        <v>2864</v>
      </c>
      <c r="D86" s="7976" t="s">
        <v>2865</v>
      </c>
      <c r="E86" s="7976" t="s">
        <v>2866</v>
      </c>
      <c r="F86" s="7976" t="s">
        <v>602</v>
      </c>
      <c r="G86" s="7976" t="s">
        <v>22</v>
      </c>
      <c r="H86" s="7976" t="s">
        <v>22</v>
      </c>
      <c r="I86" s="7976" t="s">
        <v>869</v>
      </c>
    </row>
    <row customHeight="1" ht="11.25">
      <c r="A87" s="7976" t="s">
        <v>2530</v>
      </c>
      <c r="B87" s="7976" t="s">
        <v>16</v>
      </c>
      <c r="C87" s="7976" t="s">
        <v>2867</v>
      </c>
      <c r="D87" s="7976" t="s">
        <v>2868</v>
      </c>
      <c r="E87" s="7976" t="s">
        <v>2869</v>
      </c>
      <c r="F87" s="7976" t="s">
        <v>602</v>
      </c>
      <c r="G87" s="7976" t="s">
        <v>2870</v>
      </c>
      <c r="H87" s="7976" t="s">
        <v>22</v>
      </c>
      <c r="I87" s="7976" t="s">
        <v>869</v>
      </c>
    </row>
    <row customHeight="1" ht="11.25">
      <c r="A88" s="7976" t="s">
        <v>2530</v>
      </c>
      <c r="B88" s="7976" t="s">
        <v>16</v>
      </c>
      <c r="C88" s="7976" t="s">
        <v>2871</v>
      </c>
      <c r="D88" s="7976" t="s">
        <v>2872</v>
      </c>
      <c r="E88" s="7976" t="s">
        <v>2873</v>
      </c>
      <c r="F88" s="7976" t="s">
        <v>602</v>
      </c>
      <c r="G88" s="7976" t="s">
        <v>2874</v>
      </c>
      <c r="H88" s="7976" t="s">
        <v>22</v>
      </c>
      <c r="I88" s="7976" t="s">
        <v>869</v>
      </c>
    </row>
    <row customHeight="1" ht="11.25">
      <c r="A89" s="7976" t="s">
        <v>2530</v>
      </c>
      <c r="B89" s="7976" t="s">
        <v>16</v>
      </c>
      <c r="C89" s="7976" t="s">
        <v>2875</v>
      </c>
      <c r="D89" s="7976" t="s">
        <v>2876</v>
      </c>
      <c r="E89" s="7976" t="s">
        <v>2877</v>
      </c>
      <c r="F89" s="7976" t="s">
        <v>602</v>
      </c>
      <c r="G89" s="7976" t="s">
        <v>2878</v>
      </c>
      <c r="H89" s="7976" t="s">
        <v>22</v>
      </c>
      <c r="I89" s="7976" t="s">
        <v>869</v>
      </c>
    </row>
    <row customHeight="1" ht="11.25">
      <c r="A90" s="7976" t="s">
        <v>2530</v>
      </c>
      <c r="B90" s="7976" t="s">
        <v>16</v>
      </c>
      <c r="C90" s="7976" t="s">
        <v>2879</v>
      </c>
      <c r="D90" s="7976" t="s">
        <v>2880</v>
      </c>
      <c r="E90" s="7976" t="s">
        <v>2881</v>
      </c>
      <c r="F90" s="7976" t="s">
        <v>602</v>
      </c>
      <c r="G90" s="7976" t="s">
        <v>2882</v>
      </c>
      <c r="H90" s="7976" t="s">
        <v>22</v>
      </c>
      <c r="I90" s="7976" t="s">
        <v>869</v>
      </c>
    </row>
    <row customHeight="1" ht="11.25">
      <c r="A91" s="7976" t="s">
        <v>2530</v>
      </c>
      <c r="B91" s="7976" t="s">
        <v>16</v>
      </c>
      <c r="C91" s="7976" t="s">
        <v>2883</v>
      </c>
      <c r="D91" s="7976" t="s">
        <v>2884</v>
      </c>
      <c r="E91" s="7976" t="s">
        <v>2885</v>
      </c>
      <c r="F91" s="7976" t="s">
        <v>602</v>
      </c>
      <c r="G91" s="7976" t="s">
        <v>2886</v>
      </c>
      <c r="H91" s="7976" t="s">
        <v>22</v>
      </c>
      <c r="I91" s="7976" t="s">
        <v>869</v>
      </c>
    </row>
    <row customHeight="1" ht="11.25">
      <c r="A92" s="7976" t="s">
        <v>2530</v>
      </c>
      <c r="B92" s="7976" t="s">
        <v>16</v>
      </c>
      <c r="C92" s="7976" t="s">
        <v>2887</v>
      </c>
      <c r="D92" s="7976" t="s">
        <v>2888</v>
      </c>
      <c r="E92" s="7976" t="s">
        <v>2889</v>
      </c>
      <c r="F92" s="7976" t="s">
        <v>602</v>
      </c>
      <c r="G92" s="7976" t="s">
        <v>2700</v>
      </c>
      <c r="H92" s="7976" t="s">
        <v>22</v>
      </c>
      <c r="I92" s="7976" t="s">
        <v>869</v>
      </c>
    </row>
    <row customHeight="1" ht="11.25">
      <c r="A93" s="7976" t="s">
        <v>2530</v>
      </c>
      <c r="B93" s="7976" t="s">
        <v>16</v>
      </c>
      <c r="C93" s="7976" t="s">
        <v>2890</v>
      </c>
      <c r="D93" s="7976" t="s">
        <v>2891</v>
      </c>
      <c r="E93" s="7976" t="s">
        <v>2892</v>
      </c>
      <c r="F93" s="7976" t="s">
        <v>602</v>
      </c>
      <c r="G93" s="7976" t="s">
        <v>2893</v>
      </c>
      <c r="H93" s="7976" t="s">
        <v>22</v>
      </c>
      <c r="I93" s="7976" t="s">
        <v>869</v>
      </c>
    </row>
    <row customHeight="1" ht="11.25">
      <c r="A94" s="7976" t="s">
        <v>2530</v>
      </c>
      <c r="B94" s="7976" t="s">
        <v>16</v>
      </c>
      <c r="C94" s="7976" t="s">
        <v>2894</v>
      </c>
      <c r="D94" s="7976" t="s">
        <v>2895</v>
      </c>
      <c r="E94" s="7976" t="s">
        <v>2896</v>
      </c>
      <c r="F94" s="7976" t="s">
        <v>2897</v>
      </c>
      <c r="G94" s="7976" t="s">
        <v>22</v>
      </c>
      <c r="H94" s="7976" t="s">
        <v>22</v>
      </c>
      <c r="I94" s="7976" t="s">
        <v>869</v>
      </c>
    </row>
    <row customHeight="1" ht="11.25">
      <c r="A95" s="7976" t="s">
        <v>2530</v>
      </c>
      <c r="B95" s="7976" t="s">
        <v>16</v>
      </c>
      <c r="C95" s="7976" t="s">
        <v>2898</v>
      </c>
      <c r="D95" s="7976" t="s">
        <v>2899</v>
      </c>
      <c r="E95" s="7976" t="s">
        <v>2900</v>
      </c>
      <c r="F95" s="7976" t="s">
        <v>2597</v>
      </c>
      <c r="G95" s="7976" t="s">
        <v>22</v>
      </c>
      <c r="H95" s="7976" t="s">
        <v>22</v>
      </c>
      <c r="I95" s="7976" t="s">
        <v>869</v>
      </c>
    </row>
    <row customHeight="1" ht="11.25">
      <c r="A96" s="7976" t="s">
        <v>2530</v>
      </c>
      <c r="B96" s="7976" t="s">
        <v>16</v>
      </c>
      <c r="C96" s="7976" t="s">
        <v>2901</v>
      </c>
      <c r="D96" s="7976" t="s">
        <v>2902</v>
      </c>
      <c r="E96" s="7976" t="s">
        <v>2903</v>
      </c>
      <c r="F96" s="7976" t="s">
        <v>2534</v>
      </c>
      <c r="G96" s="7976" t="s">
        <v>22</v>
      </c>
      <c r="H96" s="7976" t="s">
        <v>22</v>
      </c>
      <c r="I96" s="7976" t="s">
        <v>869</v>
      </c>
    </row>
    <row customHeight="1" ht="11.25">
      <c r="A97" s="7976" t="s">
        <v>2530</v>
      </c>
      <c r="B97" s="7976" t="s">
        <v>16</v>
      </c>
      <c r="C97" s="7976" t="s">
        <v>2904</v>
      </c>
      <c r="D97" s="7976" t="s">
        <v>2905</v>
      </c>
      <c r="E97" s="7976" t="s">
        <v>2906</v>
      </c>
      <c r="F97" s="7976" t="s">
        <v>2907</v>
      </c>
      <c r="G97" s="7976" t="s">
        <v>2908</v>
      </c>
      <c r="H97" s="7976" t="s">
        <v>22</v>
      </c>
      <c r="I97" s="7976" t="s">
        <v>869</v>
      </c>
    </row>
    <row customHeight="1" ht="11.25">
      <c r="A98" s="7976" t="s">
        <v>2530</v>
      </c>
      <c r="B98" s="7976" t="s">
        <v>16</v>
      </c>
      <c r="C98" s="7976" t="s">
        <v>2909</v>
      </c>
      <c r="D98" s="7976" t="s">
        <v>2910</v>
      </c>
      <c r="E98" s="7976" t="s">
        <v>2911</v>
      </c>
      <c r="F98" s="7976" t="s">
        <v>2561</v>
      </c>
      <c r="G98" s="7976" t="s">
        <v>22</v>
      </c>
      <c r="H98" s="7976" t="s">
        <v>22</v>
      </c>
      <c r="I98" s="7976" t="s">
        <v>869</v>
      </c>
    </row>
    <row customHeight="1" ht="11.25">
      <c r="A99" s="7976" t="s">
        <v>2530</v>
      </c>
      <c r="B99" s="7976" t="s">
        <v>16</v>
      </c>
      <c r="C99" s="7976" t="s">
        <v>2912</v>
      </c>
      <c r="D99" s="7976" t="s">
        <v>2913</v>
      </c>
      <c r="E99" s="7976" t="s">
        <v>2914</v>
      </c>
      <c r="F99" s="7976" t="s">
        <v>2757</v>
      </c>
      <c r="G99" s="7976" t="s">
        <v>2915</v>
      </c>
      <c r="H99" s="7976" t="s">
        <v>22</v>
      </c>
      <c r="I99" s="7976" t="s">
        <v>869</v>
      </c>
    </row>
    <row customHeight="1" ht="11.25">
      <c r="A100" s="7976" t="s">
        <v>2530</v>
      </c>
      <c r="B100" s="7976" t="s">
        <v>16</v>
      </c>
      <c r="C100" s="7976" t="s">
        <v>2916</v>
      </c>
      <c r="D100" s="7976" t="s">
        <v>2917</v>
      </c>
      <c r="E100" s="7976" t="s">
        <v>2918</v>
      </c>
      <c r="F100" s="7976" t="s">
        <v>2636</v>
      </c>
      <c r="G100" s="7976" t="s">
        <v>22</v>
      </c>
      <c r="H100" s="7976" t="s">
        <v>2919</v>
      </c>
      <c r="I100" s="7976" t="s">
        <v>869</v>
      </c>
    </row>
    <row customHeight="1" ht="11.25">
      <c r="A101" s="7976" t="s">
        <v>2530</v>
      </c>
      <c r="B101" s="7976" t="s">
        <v>16</v>
      </c>
      <c r="C101" s="7976" t="s">
        <v>2920</v>
      </c>
      <c r="D101" s="7976" t="s">
        <v>2921</v>
      </c>
      <c r="E101" s="7976" t="s">
        <v>2922</v>
      </c>
      <c r="F101" s="7976" t="s">
        <v>2907</v>
      </c>
      <c r="G101" s="7976" t="s">
        <v>2923</v>
      </c>
      <c r="H101" s="7976" t="s">
        <v>22</v>
      </c>
      <c r="I101" s="7976" t="s">
        <v>869</v>
      </c>
    </row>
    <row customHeight="1" ht="11.25">
      <c r="A102" s="7976" t="s">
        <v>2530</v>
      </c>
      <c r="B102" s="7976" t="s">
        <v>16</v>
      </c>
      <c r="C102" s="7976" t="s">
        <v>2924</v>
      </c>
      <c r="D102" s="7976" t="s">
        <v>2925</v>
      </c>
      <c r="E102" s="7976" t="s">
        <v>2926</v>
      </c>
      <c r="F102" s="7976" t="s">
        <v>2652</v>
      </c>
      <c r="G102" s="7976" t="s">
        <v>22</v>
      </c>
      <c r="H102" s="7976" t="s">
        <v>22</v>
      </c>
      <c r="I102" s="7976" t="s">
        <v>869</v>
      </c>
    </row>
    <row customHeight="1" ht="11.25">
      <c r="A103" s="7976" t="s">
        <v>2530</v>
      </c>
      <c r="B103" s="7976" t="s">
        <v>16</v>
      </c>
      <c r="C103" s="7976" t="s">
        <v>2927</v>
      </c>
      <c r="D103" s="7976" t="s">
        <v>2928</v>
      </c>
      <c r="E103" s="7976" t="s">
        <v>2929</v>
      </c>
      <c r="F103" s="7976" t="s">
        <v>2648</v>
      </c>
      <c r="G103" s="7976" t="s">
        <v>2930</v>
      </c>
      <c r="H103" s="7976" t="s">
        <v>22</v>
      </c>
      <c r="I103" s="7976" t="s">
        <v>869</v>
      </c>
    </row>
    <row customHeight="1" ht="11.25">
      <c r="A104" s="7976" t="s">
        <v>2530</v>
      </c>
      <c r="B104" s="7976" t="s">
        <v>16</v>
      </c>
      <c r="C104" s="7976" t="s">
        <v>2931</v>
      </c>
      <c r="D104" s="7976" t="s">
        <v>2932</v>
      </c>
      <c r="E104" s="7976" t="s">
        <v>2933</v>
      </c>
      <c r="F104" s="7976" t="s">
        <v>2551</v>
      </c>
      <c r="G104" s="7976" t="s">
        <v>22</v>
      </c>
      <c r="H104" s="7976" t="s">
        <v>22</v>
      </c>
      <c r="I104" s="7976" t="s">
        <v>869</v>
      </c>
    </row>
    <row customHeight="1" ht="11.25">
      <c r="A105" s="7976" t="s">
        <v>2530</v>
      </c>
      <c r="B105" s="7976" t="s">
        <v>16</v>
      </c>
      <c r="C105" s="7976" t="s">
        <v>2934</v>
      </c>
      <c r="D105" s="7976" t="s">
        <v>2935</v>
      </c>
      <c r="E105" s="7976" t="s">
        <v>2936</v>
      </c>
      <c r="F105" s="7976" t="s">
        <v>2551</v>
      </c>
      <c r="G105" s="7976" t="s">
        <v>22</v>
      </c>
      <c r="H105" s="7976" t="s">
        <v>22</v>
      </c>
      <c r="I105" s="7976" t="s">
        <v>869</v>
      </c>
    </row>
    <row customHeight="1" ht="11.25">
      <c r="A106" s="7976" t="s">
        <v>2530</v>
      </c>
      <c r="B106" s="7976" t="s">
        <v>16</v>
      </c>
      <c r="C106" s="7976" t="s">
        <v>2937</v>
      </c>
      <c r="D106" s="7976" t="s">
        <v>2938</v>
      </c>
      <c r="E106" s="7976" t="s">
        <v>2939</v>
      </c>
      <c r="F106" s="7976" t="s">
        <v>2551</v>
      </c>
      <c r="G106" s="7976" t="s">
        <v>22</v>
      </c>
      <c r="H106" s="7976" t="s">
        <v>22</v>
      </c>
      <c r="I106" s="7976" t="s">
        <v>869</v>
      </c>
    </row>
    <row customHeight="1" ht="11.25">
      <c r="A107" s="7976" t="s">
        <v>2530</v>
      </c>
      <c r="B107" s="7976" t="s">
        <v>16</v>
      </c>
      <c r="C107" s="7976" t="s">
        <v>2940</v>
      </c>
      <c r="D107" s="7976" t="s">
        <v>2941</v>
      </c>
      <c r="E107" s="7976" t="s">
        <v>2942</v>
      </c>
      <c r="F107" s="7976" t="s">
        <v>2589</v>
      </c>
      <c r="G107" s="7976" t="s">
        <v>22</v>
      </c>
      <c r="H107" s="7976" t="s">
        <v>22</v>
      </c>
      <c r="I107" s="7976" t="s">
        <v>869</v>
      </c>
    </row>
    <row customHeight="1" ht="11.25">
      <c r="A108" s="7976" t="s">
        <v>2530</v>
      </c>
      <c r="B108" s="7976" t="s">
        <v>16</v>
      </c>
      <c r="C108" s="7976" t="s">
        <v>2943</v>
      </c>
      <c r="D108" s="7976" t="s">
        <v>2944</v>
      </c>
      <c r="E108" s="7976" t="s">
        <v>2945</v>
      </c>
      <c r="F108" s="7976" t="s">
        <v>2561</v>
      </c>
      <c r="G108" s="7976" t="s">
        <v>22</v>
      </c>
      <c r="H108" s="7976" t="s">
        <v>22</v>
      </c>
      <c r="I108" s="7976" t="s">
        <v>869</v>
      </c>
    </row>
    <row customHeight="1" ht="11.25">
      <c r="A109" s="7976" t="s">
        <v>2530</v>
      </c>
      <c r="B109" s="7976" t="s">
        <v>16</v>
      </c>
      <c r="C109" s="7976" t="s">
        <v>2946</v>
      </c>
      <c r="D109" s="7976" t="s">
        <v>2947</v>
      </c>
      <c r="E109" s="7976" t="s">
        <v>2948</v>
      </c>
      <c r="F109" s="7976" t="s">
        <v>2561</v>
      </c>
      <c r="G109" s="7976" t="s">
        <v>2949</v>
      </c>
      <c r="H109" s="7976" t="s">
        <v>2950</v>
      </c>
      <c r="I109" s="7976" t="s">
        <v>869</v>
      </c>
    </row>
    <row customHeight="1" ht="11.25">
      <c r="A110" s="7976" t="s">
        <v>2530</v>
      </c>
      <c r="B110" s="7976" t="s">
        <v>16</v>
      </c>
      <c r="C110" s="7976" t="s">
        <v>2951</v>
      </c>
      <c r="D110" s="7976" t="s">
        <v>2952</v>
      </c>
      <c r="E110" s="7976" t="s">
        <v>2953</v>
      </c>
      <c r="F110" s="7976" t="s">
        <v>2954</v>
      </c>
      <c r="G110" s="7976" t="s">
        <v>22</v>
      </c>
      <c r="H110" s="7976" t="s">
        <v>22</v>
      </c>
      <c r="I110" s="7976" t="s">
        <v>869</v>
      </c>
    </row>
    <row customHeight="1" ht="11.25">
      <c r="A111" s="7976" t="s">
        <v>2530</v>
      </c>
      <c r="B111" s="7976" t="s">
        <v>16</v>
      </c>
      <c r="C111" s="7976" t="s">
        <v>2955</v>
      </c>
      <c r="D111" s="7976" t="s">
        <v>2956</v>
      </c>
      <c r="E111" s="7976" t="s">
        <v>2957</v>
      </c>
      <c r="F111" s="7976" t="s">
        <v>2602</v>
      </c>
      <c r="G111" s="7976" t="s">
        <v>22</v>
      </c>
      <c r="H111" s="7976" t="s">
        <v>2632</v>
      </c>
      <c r="I111" s="7976" t="s">
        <v>869</v>
      </c>
    </row>
    <row customHeight="1" ht="11.25">
      <c r="A112" s="7976" t="s">
        <v>2530</v>
      </c>
      <c r="B112" s="7976" t="s">
        <v>16</v>
      </c>
      <c r="C112" s="7976" t="s">
        <v>2958</v>
      </c>
      <c r="D112" s="7976" t="s">
        <v>2959</v>
      </c>
      <c r="E112" s="7976" t="s">
        <v>2960</v>
      </c>
      <c r="F112" s="7976" t="s">
        <v>2648</v>
      </c>
      <c r="G112" s="7976" t="s">
        <v>2961</v>
      </c>
      <c r="H112" s="7976" t="s">
        <v>22</v>
      </c>
      <c r="I112" s="7976" t="s">
        <v>869</v>
      </c>
    </row>
    <row customHeight="1" ht="11.25">
      <c r="A113" s="7976" t="s">
        <v>2530</v>
      </c>
      <c r="B113" s="7976" t="s">
        <v>16</v>
      </c>
      <c r="C113" s="7976" t="s">
        <v>2962</v>
      </c>
      <c r="D113" s="7976" t="s">
        <v>2963</v>
      </c>
      <c r="E113" s="7976" t="s">
        <v>2964</v>
      </c>
      <c r="F113" s="7976" t="s">
        <v>2539</v>
      </c>
      <c r="G113" s="7976" t="s">
        <v>22</v>
      </c>
      <c r="H113" s="7976" t="s">
        <v>22</v>
      </c>
      <c r="I113" s="7976" t="s">
        <v>869</v>
      </c>
    </row>
    <row customHeight="1" ht="11.25">
      <c r="A114" s="7976" t="s">
        <v>2530</v>
      </c>
      <c r="B114" s="7976" t="s">
        <v>16</v>
      </c>
      <c r="C114" s="7976" t="s">
        <v>2965</v>
      </c>
      <c r="D114" s="7976" t="s">
        <v>2966</v>
      </c>
      <c r="E114" s="7976" t="s">
        <v>2967</v>
      </c>
      <c r="F114" s="7976" t="s">
        <v>2551</v>
      </c>
      <c r="G114" s="7976" t="s">
        <v>22</v>
      </c>
      <c r="H114" s="7976" t="s">
        <v>2744</v>
      </c>
      <c r="I114" s="7976" t="s">
        <v>869</v>
      </c>
    </row>
    <row customHeight="1" ht="11.25">
      <c r="A115" s="7976" t="s">
        <v>2530</v>
      </c>
      <c r="B115" s="7976" t="s">
        <v>16</v>
      </c>
      <c r="C115" s="7976" t="s">
        <v>2968</v>
      </c>
      <c r="D115" s="7976" t="s">
        <v>2969</v>
      </c>
      <c r="E115" s="7976" t="s">
        <v>2970</v>
      </c>
      <c r="F115" s="7976" t="s">
        <v>2670</v>
      </c>
      <c r="G115" s="7976" t="s">
        <v>22</v>
      </c>
      <c r="H115" s="7976" t="s">
        <v>22</v>
      </c>
      <c r="I115" s="7976" t="s">
        <v>869</v>
      </c>
    </row>
    <row customHeight="1" ht="11.25">
      <c r="A116" s="7976" t="s">
        <v>2530</v>
      </c>
      <c r="B116" s="7976" t="s">
        <v>16</v>
      </c>
      <c r="C116" s="7976" t="s">
        <v>2971</v>
      </c>
      <c r="D116" s="7976" t="s">
        <v>2972</v>
      </c>
      <c r="E116" s="7976" t="s">
        <v>2973</v>
      </c>
      <c r="F116" s="7976" t="s">
        <v>2539</v>
      </c>
      <c r="G116" s="7976" t="s">
        <v>22</v>
      </c>
      <c r="H116" s="7976" t="s">
        <v>22</v>
      </c>
      <c r="I116" s="7976" t="s">
        <v>869</v>
      </c>
    </row>
    <row customHeight="1" ht="11.25">
      <c r="A117" s="7976" t="s">
        <v>2530</v>
      </c>
      <c r="B117" s="7976" t="s">
        <v>16</v>
      </c>
      <c r="C117" s="7976" t="s">
        <v>2974</v>
      </c>
      <c r="D117" s="7976" t="s">
        <v>2975</v>
      </c>
      <c r="E117" s="7976" t="s">
        <v>2976</v>
      </c>
      <c r="F117" s="7976" t="s">
        <v>2652</v>
      </c>
      <c r="G117" s="7976" t="s">
        <v>2977</v>
      </c>
      <c r="H117" s="7976" t="s">
        <v>22</v>
      </c>
      <c r="I117" s="7976" t="s">
        <v>869</v>
      </c>
    </row>
    <row customHeight="1" ht="11.25">
      <c r="A118" s="7976" t="s">
        <v>2530</v>
      </c>
      <c r="B118" s="7976" t="s">
        <v>16</v>
      </c>
      <c r="C118" s="7976" t="s">
        <v>2978</v>
      </c>
      <c r="D118" s="7976" t="s">
        <v>2979</v>
      </c>
      <c r="E118" s="7976" t="s">
        <v>2980</v>
      </c>
      <c r="F118" s="7976" t="s">
        <v>2546</v>
      </c>
      <c r="G118" s="7976" t="s">
        <v>22</v>
      </c>
      <c r="H118" s="7976" t="s">
        <v>22</v>
      </c>
      <c r="I118" s="7976" t="s">
        <v>869</v>
      </c>
    </row>
    <row customHeight="1" ht="11.25">
      <c r="A119" s="7976" t="s">
        <v>2530</v>
      </c>
      <c r="B119" s="7976" t="s">
        <v>16</v>
      </c>
      <c r="C119" s="7976" t="s">
        <v>2981</v>
      </c>
      <c r="D119" s="7976" t="s">
        <v>2982</v>
      </c>
      <c r="E119" s="7976" t="s">
        <v>2983</v>
      </c>
      <c r="F119" s="7976" t="s">
        <v>2636</v>
      </c>
      <c r="G119" s="7976" t="s">
        <v>22</v>
      </c>
      <c r="H119" s="7976" t="s">
        <v>2984</v>
      </c>
      <c r="I119" s="7976" t="s">
        <v>869</v>
      </c>
    </row>
    <row customHeight="1" ht="11.25">
      <c r="A120" s="7976" t="s">
        <v>2530</v>
      </c>
      <c r="B120" s="7976" t="s">
        <v>16</v>
      </c>
      <c r="C120" s="7976" t="s">
        <v>2985</v>
      </c>
      <c r="D120" s="7976" t="s">
        <v>2986</v>
      </c>
      <c r="E120" s="7976" t="s">
        <v>2987</v>
      </c>
      <c r="F120" s="7976" t="s">
        <v>2648</v>
      </c>
      <c r="G120" s="7976" t="s">
        <v>2988</v>
      </c>
      <c r="H120" s="7976" t="s">
        <v>22</v>
      </c>
      <c r="I120" s="7976" t="s">
        <v>869</v>
      </c>
    </row>
    <row customHeight="1" ht="11.25">
      <c r="A121" s="7976" t="s">
        <v>2530</v>
      </c>
      <c r="B121" s="7976" t="s">
        <v>16</v>
      </c>
      <c r="C121" s="7976" t="s">
        <v>2989</v>
      </c>
      <c r="D121" s="7976" t="s">
        <v>2990</v>
      </c>
      <c r="E121" s="7976" t="s">
        <v>2991</v>
      </c>
      <c r="F121" s="7976" t="s">
        <v>2616</v>
      </c>
      <c r="G121" s="7976" t="s">
        <v>22</v>
      </c>
      <c r="H121" s="7976" t="s">
        <v>22</v>
      </c>
      <c r="I121" s="7976" t="s">
        <v>869</v>
      </c>
    </row>
    <row customHeight="1" ht="11.25">
      <c r="A122" s="7976" t="s">
        <v>2530</v>
      </c>
      <c r="B122" s="7976" t="s">
        <v>16</v>
      </c>
      <c r="C122" s="7976" t="s">
        <v>2992</v>
      </c>
      <c r="D122" s="7976" t="s">
        <v>2993</v>
      </c>
      <c r="E122" s="7976" t="s">
        <v>2994</v>
      </c>
      <c r="F122" s="7976" t="s">
        <v>2648</v>
      </c>
      <c r="G122" s="7976" t="s">
        <v>2995</v>
      </c>
      <c r="H122" s="7976" t="s">
        <v>22</v>
      </c>
      <c r="I122" s="7976" t="s">
        <v>869</v>
      </c>
    </row>
    <row customHeight="1" ht="11.25">
      <c r="A123" s="7976" t="s">
        <v>2530</v>
      </c>
      <c r="B123" s="7976" t="s">
        <v>16</v>
      </c>
      <c r="C123" s="7976" t="s">
        <v>2996</v>
      </c>
      <c r="D123" s="7976" t="s">
        <v>2997</v>
      </c>
      <c r="E123" s="7976" t="s">
        <v>2998</v>
      </c>
      <c r="F123" s="7976" t="s">
        <v>2648</v>
      </c>
      <c r="G123" s="7976" t="s">
        <v>22</v>
      </c>
      <c r="H123" s="7976" t="s">
        <v>22</v>
      </c>
      <c r="I123" s="7976" t="s">
        <v>869</v>
      </c>
    </row>
    <row customHeight="1" ht="11.25">
      <c r="A124" s="7976" t="s">
        <v>2530</v>
      </c>
      <c r="B124" s="7976" t="s">
        <v>16</v>
      </c>
      <c r="C124" s="7976" t="s">
        <v>2999</v>
      </c>
      <c r="D124" s="7976" t="s">
        <v>3000</v>
      </c>
      <c r="E124" s="7976" t="s">
        <v>3001</v>
      </c>
      <c r="F124" s="7976" t="s">
        <v>2652</v>
      </c>
      <c r="G124" s="7976" t="s">
        <v>22</v>
      </c>
      <c r="H124" s="7976" t="s">
        <v>22</v>
      </c>
      <c r="I124" s="7976" t="s">
        <v>869</v>
      </c>
    </row>
    <row customHeight="1" ht="11.25">
      <c r="A125" s="7976" t="s">
        <v>2530</v>
      </c>
      <c r="B125" s="7976" t="s">
        <v>16</v>
      </c>
      <c r="C125" s="7976" t="s">
        <v>3002</v>
      </c>
      <c r="D125" s="7976" t="s">
        <v>3003</v>
      </c>
      <c r="E125" s="7976" t="s">
        <v>3004</v>
      </c>
      <c r="F125" s="7976" t="s">
        <v>2573</v>
      </c>
      <c r="G125" s="7976" t="s">
        <v>22</v>
      </c>
      <c r="H125" s="7976" t="s">
        <v>22</v>
      </c>
      <c r="I125" s="7976" t="s">
        <v>869</v>
      </c>
    </row>
    <row customHeight="1" ht="11.25">
      <c r="A126" s="7976" t="s">
        <v>2530</v>
      </c>
      <c r="B126" s="7976" t="s">
        <v>16</v>
      </c>
      <c r="C126" s="7976" t="s">
        <v>3005</v>
      </c>
      <c r="D126" s="7976" t="s">
        <v>3006</v>
      </c>
      <c r="E126" s="7976" t="s">
        <v>3007</v>
      </c>
      <c r="F126" s="7976" t="s">
        <v>2757</v>
      </c>
      <c r="G126" s="7976" t="s">
        <v>22</v>
      </c>
      <c r="H126" s="7976" t="s">
        <v>22</v>
      </c>
      <c r="I126" s="7976" t="s">
        <v>869</v>
      </c>
    </row>
    <row customHeight="1" ht="11.25">
      <c r="A127" s="7976" t="s">
        <v>2530</v>
      </c>
      <c r="B127" s="7976" t="s">
        <v>16</v>
      </c>
      <c r="C127" s="7976" t="s">
        <v>3008</v>
      </c>
      <c r="D127" s="7976" t="s">
        <v>3009</v>
      </c>
      <c r="E127" s="7976" t="s">
        <v>3010</v>
      </c>
      <c r="F127" s="7976" t="s">
        <v>2690</v>
      </c>
      <c r="G127" s="7976" t="s">
        <v>22</v>
      </c>
      <c r="H127" s="7976" t="s">
        <v>22</v>
      </c>
      <c r="I127" s="7976" t="s">
        <v>869</v>
      </c>
    </row>
    <row customHeight="1" ht="11.25">
      <c r="A128" s="7976" t="s">
        <v>2530</v>
      </c>
      <c r="B128" s="7976" t="s">
        <v>16</v>
      </c>
      <c r="C128" s="7976" t="s">
        <v>3011</v>
      </c>
      <c r="D128" s="7976" t="s">
        <v>3012</v>
      </c>
      <c r="E128" s="7976" t="s">
        <v>3013</v>
      </c>
      <c r="F128" s="7976" t="s">
        <v>2648</v>
      </c>
      <c r="G128" s="7976" t="s">
        <v>22</v>
      </c>
      <c r="H128" s="7976" t="s">
        <v>22</v>
      </c>
      <c r="I128" s="7976" t="s">
        <v>869</v>
      </c>
    </row>
    <row customHeight="1" ht="11.25">
      <c r="A129" s="7976" t="s">
        <v>2530</v>
      </c>
      <c r="B129" s="7976" t="s">
        <v>16</v>
      </c>
      <c r="C129" s="7976" t="s">
        <v>3014</v>
      </c>
      <c r="D129" s="7976" t="s">
        <v>3015</v>
      </c>
      <c r="E129" s="7976" t="s">
        <v>2852</v>
      </c>
      <c r="F129" s="7976" t="s">
        <v>3016</v>
      </c>
      <c r="G129" s="7976" t="s">
        <v>3017</v>
      </c>
      <c r="H129" s="7976" t="s">
        <v>22</v>
      </c>
      <c r="I129" s="7976" t="s">
        <v>869</v>
      </c>
    </row>
    <row customHeight="1" ht="11.25">
      <c r="A130" s="7976" t="s">
        <v>2530</v>
      </c>
      <c r="B130" s="7976" t="s">
        <v>16</v>
      </c>
      <c r="C130" s="7976" t="s">
        <v>3018</v>
      </c>
      <c r="D130" s="7976" t="s">
        <v>3019</v>
      </c>
      <c r="E130" s="7976" t="s">
        <v>3020</v>
      </c>
      <c r="F130" s="7976" t="s">
        <v>2573</v>
      </c>
      <c r="G130" s="7976" t="s">
        <v>22</v>
      </c>
      <c r="H130" s="7976" t="s">
        <v>22</v>
      </c>
      <c r="I130" s="7976" t="s">
        <v>869</v>
      </c>
    </row>
    <row customHeight="1" ht="11.25">
      <c r="A131" s="7976" t="s">
        <v>2530</v>
      </c>
      <c r="B131" s="7976" t="s">
        <v>16</v>
      </c>
      <c r="C131" s="7976" t="s">
        <v>3021</v>
      </c>
      <c r="D131" s="7976" t="s">
        <v>3022</v>
      </c>
      <c r="E131" s="7976" t="s">
        <v>3023</v>
      </c>
      <c r="F131" s="7976" t="s">
        <v>51</v>
      </c>
      <c r="G131" s="7976" t="s">
        <v>22</v>
      </c>
      <c r="H131" s="7976" t="s">
        <v>22</v>
      </c>
      <c r="I131" s="7976" t="s">
        <v>869</v>
      </c>
    </row>
    <row customHeight="1" ht="11.25">
      <c r="A132" s="7976" t="s">
        <v>2530</v>
      </c>
      <c r="B132" s="7976" t="s">
        <v>16</v>
      </c>
      <c r="C132" s="7976" t="s">
        <v>3024</v>
      </c>
      <c r="D132" s="7976" t="s">
        <v>3025</v>
      </c>
      <c r="E132" s="7976" t="s">
        <v>3026</v>
      </c>
      <c r="F132" s="7976" t="s">
        <v>2743</v>
      </c>
      <c r="G132" s="7976" t="s">
        <v>22</v>
      </c>
      <c r="H132" s="7976" t="s">
        <v>22</v>
      </c>
      <c r="I132" s="7976" t="s">
        <v>869</v>
      </c>
    </row>
    <row customHeight="1" ht="11.25">
      <c r="A133" s="7976" t="s">
        <v>2530</v>
      </c>
      <c r="B133" s="7976" t="s">
        <v>16</v>
      </c>
      <c r="C133" s="7976" t="s">
        <v>3027</v>
      </c>
      <c r="D133" s="7976" t="s">
        <v>3028</v>
      </c>
      <c r="E133" s="7976" t="s">
        <v>3029</v>
      </c>
      <c r="F133" s="7976" t="s">
        <v>2907</v>
      </c>
      <c r="G133" s="7976" t="s">
        <v>3030</v>
      </c>
      <c r="H133" s="7976" t="s">
        <v>22</v>
      </c>
      <c r="I133" s="7976" t="s">
        <v>869</v>
      </c>
    </row>
    <row customHeight="1" ht="11.25">
      <c r="A134" s="7976" t="s">
        <v>2530</v>
      </c>
      <c r="B134" s="7976" t="s">
        <v>16</v>
      </c>
      <c r="C134" s="7976" t="s">
        <v>3031</v>
      </c>
      <c r="D134" s="7976" t="s">
        <v>3032</v>
      </c>
      <c r="E134" s="7976" t="s">
        <v>3033</v>
      </c>
      <c r="F134" s="7976" t="s">
        <v>2907</v>
      </c>
      <c r="G134" s="7976" t="s">
        <v>3034</v>
      </c>
      <c r="H134" s="7976" t="s">
        <v>22</v>
      </c>
      <c r="I134" s="7976" t="s">
        <v>869</v>
      </c>
    </row>
    <row customHeight="1" ht="11.25">
      <c r="A135" s="7976" t="s">
        <v>2530</v>
      </c>
      <c r="B135" s="7976" t="s">
        <v>16</v>
      </c>
      <c r="C135" s="7976" t="s">
        <v>3035</v>
      </c>
      <c r="D135" s="7976" t="s">
        <v>3036</v>
      </c>
      <c r="E135" s="7976" t="s">
        <v>3037</v>
      </c>
      <c r="F135" s="7976" t="s">
        <v>2573</v>
      </c>
      <c r="G135" s="7976" t="s">
        <v>3038</v>
      </c>
      <c r="H135" s="7976" t="s">
        <v>22</v>
      </c>
      <c r="I135" s="7976" t="s">
        <v>869</v>
      </c>
    </row>
    <row customHeight="1" ht="11.25">
      <c r="A136" s="7976" t="s">
        <v>2530</v>
      </c>
      <c r="B136" s="7976" t="s">
        <v>16</v>
      </c>
      <c r="C136" s="7976" t="s">
        <v>3039</v>
      </c>
      <c r="D136" s="7976" t="s">
        <v>3040</v>
      </c>
      <c r="E136" s="7976" t="s">
        <v>3041</v>
      </c>
      <c r="F136" s="7976" t="s">
        <v>2630</v>
      </c>
      <c r="G136" s="7976" t="s">
        <v>3042</v>
      </c>
      <c r="H136" s="7976" t="s">
        <v>22</v>
      </c>
      <c r="I136" s="7976" t="s">
        <v>869</v>
      </c>
    </row>
    <row customHeight="1" ht="11.25">
      <c r="A137" s="7976" t="s">
        <v>2530</v>
      </c>
      <c r="B137" s="7976" t="s">
        <v>16</v>
      </c>
      <c r="C137" s="7976" t="s">
        <v>3043</v>
      </c>
      <c r="D137" s="7976" t="s">
        <v>3044</v>
      </c>
      <c r="E137" s="7976" t="s">
        <v>3045</v>
      </c>
      <c r="F137" s="7976" t="s">
        <v>2573</v>
      </c>
      <c r="G137" s="7976" t="s">
        <v>22</v>
      </c>
      <c r="H137" s="7976" t="s">
        <v>22</v>
      </c>
      <c r="I137" s="7976" t="s">
        <v>869</v>
      </c>
    </row>
    <row customHeight="1" ht="11.25">
      <c r="A138" s="7976" t="s">
        <v>2530</v>
      </c>
      <c r="B138" s="7976" t="s">
        <v>16</v>
      </c>
      <c r="C138" s="7976" t="s">
        <v>3046</v>
      </c>
      <c r="D138" s="7976" t="s">
        <v>3047</v>
      </c>
      <c r="E138" s="7976" t="s">
        <v>3048</v>
      </c>
      <c r="F138" s="7976" t="s">
        <v>2573</v>
      </c>
      <c r="G138" s="7976" t="s">
        <v>3049</v>
      </c>
      <c r="H138" s="7976" t="s">
        <v>22</v>
      </c>
      <c r="I138" s="7976" t="s">
        <v>869</v>
      </c>
    </row>
    <row customHeight="1" ht="11.25">
      <c r="A139" s="7976" t="s">
        <v>2530</v>
      </c>
      <c r="B139" s="7976" t="s">
        <v>16</v>
      </c>
      <c r="C139" s="7976" t="s">
        <v>3050</v>
      </c>
      <c r="D139" s="7976" t="s">
        <v>3051</v>
      </c>
      <c r="E139" s="7976" t="s">
        <v>3052</v>
      </c>
      <c r="F139" s="7976" t="s">
        <v>2573</v>
      </c>
      <c r="G139" s="7976" t="s">
        <v>22</v>
      </c>
      <c r="H139" s="7976" t="s">
        <v>22</v>
      </c>
      <c r="I139" s="7976" t="s">
        <v>869</v>
      </c>
    </row>
    <row customHeight="1" ht="11.25">
      <c r="A140" s="7976" t="s">
        <v>2530</v>
      </c>
      <c r="B140" s="7976" t="s">
        <v>16</v>
      </c>
      <c r="C140" s="7976" t="s">
        <v>3053</v>
      </c>
      <c r="D140" s="7976" t="s">
        <v>3054</v>
      </c>
      <c r="E140" s="7976" t="s">
        <v>3055</v>
      </c>
      <c r="F140" s="7976" t="s">
        <v>3056</v>
      </c>
      <c r="G140" s="7976" t="s">
        <v>22</v>
      </c>
      <c r="H140" s="7976" t="s">
        <v>22</v>
      </c>
      <c r="I140" s="7976" t="s">
        <v>869</v>
      </c>
    </row>
    <row customHeight="1" ht="11.25">
      <c r="A141" s="7976" t="s">
        <v>2530</v>
      </c>
      <c r="B141" s="7976" t="s">
        <v>16</v>
      </c>
      <c r="C141" s="7976" t="s">
        <v>3057</v>
      </c>
      <c r="D141" s="7976" t="s">
        <v>3058</v>
      </c>
      <c r="E141" s="7976" t="s">
        <v>3059</v>
      </c>
      <c r="F141" s="7976" t="s">
        <v>2648</v>
      </c>
      <c r="G141" s="7976" t="s">
        <v>3060</v>
      </c>
      <c r="H141" s="7976" t="s">
        <v>22</v>
      </c>
      <c r="I141" s="7976" t="s">
        <v>869</v>
      </c>
    </row>
    <row customHeight="1" ht="11.25">
      <c r="A142" s="7976" t="s">
        <v>2530</v>
      </c>
      <c r="B142" s="7976" t="s">
        <v>16</v>
      </c>
      <c r="C142" s="7976" t="s">
        <v>3061</v>
      </c>
      <c r="D142" s="7976" t="s">
        <v>3062</v>
      </c>
      <c r="E142" s="7976" t="s">
        <v>3063</v>
      </c>
      <c r="F142" s="7976" t="s">
        <v>2539</v>
      </c>
      <c r="G142" s="7976" t="s">
        <v>3064</v>
      </c>
      <c r="H142" s="7976" t="s">
        <v>22</v>
      </c>
      <c r="I142" s="7976" t="s">
        <v>869</v>
      </c>
    </row>
    <row customHeight="1" ht="11.25">
      <c r="A143" s="7976" t="s">
        <v>2530</v>
      </c>
      <c r="B143" s="7976" t="s">
        <v>16</v>
      </c>
      <c r="C143" s="7976" t="s">
        <v>3065</v>
      </c>
      <c r="D143" s="7976" t="s">
        <v>3066</v>
      </c>
      <c r="E143" s="7976" t="s">
        <v>3067</v>
      </c>
      <c r="F143" s="7976" t="s">
        <v>2589</v>
      </c>
      <c r="G143" s="7976" t="s">
        <v>22</v>
      </c>
      <c r="H143" s="7976" t="s">
        <v>22</v>
      </c>
      <c r="I143" s="7976" t="s">
        <v>869</v>
      </c>
    </row>
    <row customHeight="1" ht="11.25">
      <c r="A144" s="7976" t="s">
        <v>2530</v>
      </c>
      <c r="B144" s="7976" t="s">
        <v>16</v>
      </c>
      <c r="C144" s="7976" t="s">
        <v>3068</v>
      </c>
      <c r="D144" s="7976" t="s">
        <v>3069</v>
      </c>
      <c r="E144" s="7976" t="s">
        <v>3070</v>
      </c>
      <c r="F144" s="7976" t="s">
        <v>2636</v>
      </c>
      <c r="G144" s="7976" t="s">
        <v>3071</v>
      </c>
      <c r="H144" s="7976" t="s">
        <v>22</v>
      </c>
      <c r="I144" s="7976" t="s">
        <v>869</v>
      </c>
    </row>
    <row customHeight="1" ht="11.25">
      <c r="A145" s="7976" t="s">
        <v>2530</v>
      </c>
      <c r="B145" s="7976" t="s">
        <v>16</v>
      </c>
      <c r="C145" s="7976" t="s">
        <v>3072</v>
      </c>
      <c r="D145" s="7976" t="s">
        <v>3073</v>
      </c>
      <c r="E145" s="7976" t="s">
        <v>3074</v>
      </c>
      <c r="F145" s="7976" t="s">
        <v>2743</v>
      </c>
      <c r="G145" s="7976" t="s">
        <v>22</v>
      </c>
      <c r="H145" s="7976" t="s">
        <v>22</v>
      </c>
      <c r="I145" s="7976" t="s">
        <v>869</v>
      </c>
    </row>
    <row customHeight="1" ht="11.25">
      <c r="A146" s="7976" t="s">
        <v>2530</v>
      </c>
      <c r="B146" s="7976" t="s">
        <v>16</v>
      </c>
      <c r="C146" s="7976" t="s">
        <v>3075</v>
      </c>
      <c r="D146" s="7976" t="s">
        <v>3076</v>
      </c>
      <c r="E146" s="7976" t="s">
        <v>3077</v>
      </c>
      <c r="F146" s="7976" t="s">
        <v>2573</v>
      </c>
      <c r="G146" s="7976" t="s">
        <v>3078</v>
      </c>
      <c r="H146" s="7976" t="s">
        <v>22</v>
      </c>
      <c r="I146" s="7976" t="s">
        <v>869</v>
      </c>
    </row>
    <row customHeight="1" ht="11.25">
      <c r="A147" s="7976" t="s">
        <v>2530</v>
      </c>
      <c r="B147" s="7976" t="s">
        <v>16</v>
      </c>
      <c r="C147" s="7976" t="s">
        <v>3079</v>
      </c>
      <c r="D147" s="7976" t="s">
        <v>3080</v>
      </c>
      <c r="E147" s="7976" t="s">
        <v>3081</v>
      </c>
      <c r="F147" s="7976" t="s">
        <v>2573</v>
      </c>
      <c r="G147" s="7976" t="s">
        <v>3082</v>
      </c>
      <c r="H147" s="7976" t="s">
        <v>22</v>
      </c>
      <c r="I147" s="7976" t="s">
        <v>869</v>
      </c>
    </row>
    <row customHeight="1" ht="11.25">
      <c r="A148" s="7976" t="s">
        <v>2530</v>
      </c>
      <c r="B148" s="7976" t="s">
        <v>16</v>
      </c>
      <c r="C148" s="7976" t="s">
        <v>3083</v>
      </c>
      <c r="D148" s="7976" t="s">
        <v>3084</v>
      </c>
      <c r="E148" s="7976" t="s">
        <v>3085</v>
      </c>
      <c r="F148" s="7976" t="s">
        <v>3086</v>
      </c>
      <c r="G148" s="7976" t="s">
        <v>3087</v>
      </c>
      <c r="H148" s="7976" t="s">
        <v>22</v>
      </c>
      <c r="I148" s="7976" t="s">
        <v>869</v>
      </c>
    </row>
    <row customHeight="1" ht="11.25">
      <c r="A149" s="7976" t="s">
        <v>2530</v>
      </c>
      <c r="B149" s="7976" t="s">
        <v>16</v>
      </c>
      <c r="C149" s="7976" t="s">
        <v>3088</v>
      </c>
      <c r="D149" s="7976" t="s">
        <v>3089</v>
      </c>
      <c r="E149" s="7976" t="s">
        <v>3090</v>
      </c>
      <c r="F149" s="7976" t="s">
        <v>3091</v>
      </c>
      <c r="G149" s="7976" t="s">
        <v>3092</v>
      </c>
      <c r="H149" s="7976" t="s">
        <v>22</v>
      </c>
      <c r="I149" s="7976" t="s">
        <v>869</v>
      </c>
    </row>
    <row customHeight="1" ht="11.25">
      <c r="A150" s="7976" t="s">
        <v>2530</v>
      </c>
      <c r="B150" s="7976" t="s">
        <v>16</v>
      </c>
      <c r="C150" s="7976" t="s">
        <v>3093</v>
      </c>
      <c r="D150" s="7976" t="s">
        <v>3094</v>
      </c>
      <c r="E150" s="7976" t="s">
        <v>3095</v>
      </c>
      <c r="F150" s="7976" t="s">
        <v>2573</v>
      </c>
      <c r="G150" s="7976" t="s">
        <v>3096</v>
      </c>
      <c r="H150" s="7976" t="s">
        <v>22</v>
      </c>
      <c r="I150" s="7976" t="s">
        <v>869</v>
      </c>
    </row>
    <row customHeight="1" ht="11.25">
      <c r="A151" s="7976" t="s">
        <v>2530</v>
      </c>
      <c r="B151" s="7976" t="s">
        <v>16</v>
      </c>
      <c r="C151" s="7976" t="s">
        <v>3097</v>
      </c>
      <c r="D151" s="7976" t="s">
        <v>3098</v>
      </c>
      <c r="E151" s="7976" t="s">
        <v>3099</v>
      </c>
      <c r="F151" s="7976" t="s">
        <v>2561</v>
      </c>
      <c r="G151" s="7976" t="s">
        <v>3100</v>
      </c>
      <c r="H151" s="7976" t="s">
        <v>22</v>
      </c>
      <c r="I151" s="7976" t="s">
        <v>869</v>
      </c>
    </row>
    <row customHeight="1" ht="11.25">
      <c r="A152" s="7976" t="s">
        <v>2530</v>
      </c>
      <c r="B152" s="7976" t="s">
        <v>16</v>
      </c>
      <c r="C152" s="7976" t="s">
        <v>3101</v>
      </c>
      <c r="D152" s="7976" t="s">
        <v>3102</v>
      </c>
      <c r="E152" s="7976" t="s">
        <v>3103</v>
      </c>
      <c r="F152" s="7976" t="s">
        <v>2907</v>
      </c>
      <c r="G152" s="7976" t="s">
        <v>3104</v>
      </c>
      <c r="H152" s="7976" t="s">
        <v>22</v>
      </c>
      <c r="I152" s="7976" t="s">
        <v>869</v>
      </c>
    </row>
    <row customHeight="1" ht="11.25">
      <c r="A153" s="7976" t="s">
        <v>2530</v>
      </c>
      <c r="B153" s="7976" t="s">
        <v>16</v>
      </c>
      <c r="C153" s="7976" t="s">
        <v>3105</v>
      </c>
      <c r="D153" s="7976" t="s">
        <v>3106</v>
      </c>
      <c r="E153" s="7976" t="s">
        <v>3107</v>
      </c>
      <c r="F153" s="7976" t="s">
        <v>2802</v>
      </c>
      <c r="G153" s="7976" t="s">
        <v>3108</v>
      </c>
      <c r="H153" s="7976" t="s">
        <v>22</v>
      </c>
      <c r="I153" s="7976" t="s">
        <v>869</v>
      </c>
    </row>
    <row customHeight="1" ht="11.25">
      <c r="A154" s="7976" t="s">
        <v>2530</v>
      </c>
      <c r="B154" s="7976" t="s">
        <v>16</v>
      </c>
      <c r="C154" s="7976" t="s">
        <v>3109</v>
      </c>
      <c r="D154" s="7976" t="s">
        <v>3110</v>
      </c>
      <c r="E154" s="7976" t="s">
        <v>3111</v>
      </c>
      <c r="F154" s="7976" t="s">
        <v>2573</v>
      </c>
      <c r="G154" s="7976" t="s">
        <v>22</v>
      </c>
      <c r="H154" s="7976" t="s">
        <v>22</v>
      </c>
      <c r="I154" s="7976" t="s">
        <v>869</v>
      </c>
    </row>
    <row customHeight="1" ht="11.25">
      <c r="A155" s="7976" t="s">
        <v>2530</v>
      </c>
      <c r="B155" s="7976" t="s">
        <v>16</v>
      </c>
      <c r="C155" s="7976" t="s">
        <v>3112</v>
      </c>
      <c r="D155" s="7976" t="s">
        <v>3113</v>
      </c>
      <c r="E155" s="7976" t="s">
        <v>3114</v>
      </c>
      <c r="F155" s="7976" t="s">
        <v>2630</v>
      </c>
      <c r="G155" s="7976" t="s">
        <v>3115</v>
      </c>
      <c r="H155" s="7976" t="s">
        <v>22</v>
      </c>
      <c r="I155" s="7976" t="s">
        <v>869</v>
      </c>
    </row>
    <row customHeight="1" ht="11.25">
      <c r="A156" s="7976" t="s">
        <v>2530</v>
      </c>
      <c r="B156" s="7976" t="s">
        <v>16</v>
      </c>
      <c r="C156" s="7976" t="s">
        <v>3116</v>
      </c>
      <c r="D156" s="7976" t="s">
        <v>3117</v>
      </c>
      <c r="E156" s="7976" t="s">
        <v>3118</v>
      </c>
      <c r="F156" s="7976" t="s">
        <v>2573</v>
      </c>
      <c r="G156" s="7976" t="s">
        <v>3119</v>
      </c>
      <c r="H156" s="7976" t="s">
        <v>22</v>
      </c>
      <c r="I156" s="7976" t="s">
        <v>869</v>
      </c>
    </row>
    <row customHeight="1" ht="11.25">
      <c r="A157" s="7976" t="s">
        <v>2530</v>
      </c>
      <c r="B157" s="7976" t="s">
        <v>16</v>
      </c>
      <c r="C157" s="7976" t="s">
        <v>3120</v>
      </c>
      <c r="D157" s="7976" t="s">
        <v>3121</v>
      </c>
      <c r="E157" s="7976" t="s">
        <v>3122</v>
      </c>
      <c r="F157" s="7976" t="s">
        <v>2561</v>
      </c>
      <c r="G157" s="7976" t="s">
        <v>3123</v>
      </c>
      <c r="H157" s="7976" t="s">
        <v>22</v>
      </c>
      <c r="I157" s="7976" t="s">
        <v>869</v>
      </c>
    </row>
    <row customHeight="1" ht="11.25">
      <c r="A158" s="7976" t="s">
        <v>2530</v>
      </c>
      <c r="B158" s="7976" t="s">
        <v>16</v>
      </c>
      <c r="C158" s="7976" t="s">
        <v>3124</v>
      </c>
      <c r="D158" s="7976" t="s">
        <v>3125</v>
      </c>
      <c r="E158" s="7976" t="s">
        <v>3126</v>
      </c>
      <c r="F158" s="7976" t="s">
        <v>2954</v>
      </c>
      <c r="G158" s="7976" t="s">
        <v>3127</v>
      </c>
      <c r="H158" s="7976" t="s">
        <v>22</v>
      </c>
      <c r="I158" s="7976" t="s">
        <v>869</v>
      </c>
    </row>
    <row customHeight="1" ht="11.25">
      <c r="A159" s="7976" t="s">
        <v>2530</v>
      </c>
      <c r="B159" s="7976" t="s">
        <v>16</v>
      </c>
      <c r="C159" s="7976" t="s">
        <v>3128</v>
      </c>
      <c r="D159" s="7976" t="s">
        <v>3129</v>
      </c>
      <c r="E159" s="7976" t="s">
        <v>3130</v>
      </c>
      <c r="F159" s="7976" t="s">
        <v>3131</v>
      </c>
      <c r="G159" s="7976" t="s">
        <v>3132</v>
      </c>
      <c r="H159" s="7976" t="s">
        <v>22</v>
      </c>
      <c r="I159" s="7976" t="s">
        <v>869</v>
      </c>
    </row>
    <row customHeight="1" ht="11.25">
      <c r="A160" s="7976" t="s">
        <v>2530</v>
      </c>
      <c r="B160" s="7976" t="s">
        <v>16</v>
      </c>
      <c r="C160" s="7976" t="s">
        <v>3133</v>
      </c>
      <c r="D160" s="7976" t="s">
        <v>3134</v>
      </c>
      <c r="E160" s="7976" t="s">
        <v>3135</v>
      </c>
      <c r="F160" s="7976" t="s">
        <v>2573</v>
      </c>
      <c r="G160" s="7976" t="s">
        <v>3136</v>
      </c>
      <c r="H160" s="7976" t="s">
        <v>22</v>
      </c>
      <c r="I160" s="7976" t="s">
        <v>869</v>
      </c>
    </row>
    <row customHeight="1" ht="11.25">
      <c r="A161" s="7976" t="s">
        <v>2530</v>
      </c>
      <c r="B161" s="7976" t="s">
        <v>16</v>
      </c>
      <c r="C161" s="7976" t="s">
        <v>3137</v>
      </c>
      <c r="D161" s="7976" t="s">
        <v>3138</v>
      </c>
      <c r="E161" s="7976" t="s">
        <v>3139</v>
      </c>
      <c r="F161" s="7976" t="s">
        <v>2630</v>
      </c>
      <c r="G161" s="7976" t="s">
        <v>22</v>
      </c>
      <c r="H161" s="7976" t="s">
        <v>22</v>
      </c>
      <c r="I161" s="7976" t="s">
        <v>869</v>
      </c>
    </row>
    <row customHeight="1" ht="11.25">
      <c r="A162" s="7976" t="s">
        <v>2530</v>
      </c>
      <c r="B162" s="7976" t="s">
        <v>16</v>
      </c>
      <c r="C162" s="7976" t="s">
        <v>3140</v>
      </c>
      <c r="D162" s="7976" t="s">
        <v>3141</v>
      </c>
      <c r="E162" s="7976" t="s">
        <v>3142</v>
      </c>
      <c r="F162" s="7976" t="s">
        <v>2630</v>
      </c>
      <c r="G162" s="7976" t="s">
        <v>3143</v>
      </c>
      <c r="H162" s="7976" t="s">
        <v>22</v>
      </c>
      <c r="I162" s="7976" t="s">
        <v>869</v>
      </c>
    </row>
    <row customHeight="1" ht="11.25">
      <c r="A163" s="7976" t="s">
        <v>2530</v>
      </c>
      <c r="B163" s="7976" t="s">
        <v>16</v>
      </c>
      <c r="C163" s="7976" t="s">
        <v>3144</v>
      </c>
      <c r="D163" s="7976" t="s">
        <v>3145</v>
      </c>
      <c r="E163" s="7976" t="s">
        <v>3146</v>
      </c>
      <c r="F163" s="7976" t="s">
        <v>3147</v>
      </c>
      <c r="G163" s="7976" t="s">
        <v>22</v>
      </c>
      <c r="H163" s="7976" t="s">
        <v>22</v>
      </c>
      <c r="I163" s="7976" t="s">
        <v>869</v>
      </c>
    </row>
    <row customHeight="1" ht="11.25">
      <c r="A164" s="7976" t="s">
        <v>2530</v>
      </c>
      <c r="B164" s="7976" t="s">
        <v>16</v>
      </c>
      <c r="C164" s="7976" t="s">
        <v>3148</v>
      </c>
      <c r="D164" s="7976" t="s">
        <v>3149</v>
      </c>
      <c r="E164" s="7976" t="s">
        <v>3150</v>
      </c>
      <c r="F164" s="7976" t="s">
        <v>2573</v>
      </c>
      <c r="G164" s="7976" t="s">
        <v>3151</v>
      </c>
      <c r="H164" s="7976" t="s">
        <v>22</v>
      </c>
      <c r="I164" s="7976" t="s">
        <v>869</v>
      </c>
    </row>
    <row customHeight="1" ht="11.25">
      <c r="A165" s="7976" t="s">
        <v>2530</v>
      </c>
      <c r="B165" s="7976" t="s">
        <v>16</v>
      </c>
      <c r="C165" s="7976" t="s">
        <v>3152</v>
      </c>
      <c r="D165" s="7976" t="s">
        <v>3153</v>
      </c>
      <c r="E165" s="7976" t="s">
        <v>3154</v>
      </c>
      <c r="F165" s="7976" t="s">
        <v>2954</v>
      </c>
      <c r="G165" s="7976" t="s">
        <v>22</v>
      </c>
      <c r="H165" s="7976" t="s">
        <v>22</v>
      </c>
      <c r="I165" s="7976" t="s">
        <v>869</v>
      </c>
    </row>
    <row customHeight="1" ht="11.25">
      <c r="A166" s="7976" t="s">
        <v>2530</v>
      </c>
      <c r="B166" s="7976" t="s">
        <v>16</v>
      </c>
      <c r="C166" s="7976" t="s">
        <v>3155</v>
      </c>
      <c r="D166" s="7976" t="s">
        <v>3156</v>
      </c>
      <c r="E166" s="7976" t="s">
        <v>3157</v>
      </c>
      <c r="F166" s="7976" t="s">
        <v>2907</v>
      </c>
      <c r="G166" s="7976" t="s">
        <v>2908</v>
      </c>
      <c r="H166" s="7976" t="s">
        <v>22</v>
      </c>
      <c r="I166" s="7976" t="s">
        <v>869</v>
      </c>
    </row>
    <row customHeight="1" ht="11.25">
      <c r="A167" s="7976" t="s">
        <v>2530</v>
      </c>
      <c r="B167" s="7976" t="s">
        <v>16</v>
      </c>
      <c r="C167" s="7976" t="s">
        <v>3158</v>
      </c>
      <c r="D167" s="7976" t="s">
        <v>3159</v>
      </c>
      <c r="E167" s="7976" t="s">
        <v>3160</v>
      </c>
      <c r="F167" s="7976" t="s">
        <v>2652</v>
      </c>
      <c r="G167" s="7976" t="s">
        <v>3161</v>
      </c>
      <c r="H167" s="7976" t="s">
        <v>22</v>
      </c>
      <c r="I167" s="7976" t="s">
        <v>869</v>
      </c>
    </row>
    <row customHeight="1" ht="11.25">
      <c r="A168" s="7976" t="s">
        <v>2530</v>
      </c>
      <c r="B168" s="7976" t="s">
        <v>16</v>
      </c>
      <c r="C168" s="7976" t="s">
        <v>3162</v>
      </c>
      <c r="D168" s="7976" t="s">
        <v>3163</v>
      </c>
      <c r="E168" s="7976" t="s">
        <v>3164</v>
      </c>
      <c r="F168" s="7976" t="s">
        <v>2561</v>
      </c>
      <c r="G168" s="7976" t="s">
        <v>22</v>
      </c>
      <c r="H168" s="7976" t="s">
        <v>22</v>
      </c>
      <c r="I168" s="7976" t="s">
        <v>869</v>
      </c>
    </row>
    <row customHeight="1" ht="11.25">
      <c r="A169" s="7976" t="s">
        <v>2530</v>
      </c>
      <c r="B169" s="7976" t="s">
        <v>16</v>
      </c>
      <c r="C169" s="7976" t="s">
        <v>3165</v>
      </c>
      <c r="D169" s="7976" t="s">
        <v>3166</v>
      </c>
      <c r="E169" s="7976" t="s">
        <v>3167</v>
      </c>
      <c r="F169" s="7976" t="s">
        <v>2690</v>
      </c>
      <c r="G169" s="7976" t="s">
        <v>22</v>
      </c>
      <c r="H169" s="7976" t="s">
        <v>22</v>
      </c>
      <c r="I169" s="7976" t="s">
        <v>869</v>
      </c>
    </row>
    <row customHeight="1" ht="11.25">
      <c r="A170" s="7976" t="s">
        <v>2530</v>
      </c>
      <c r="B170" s="7976" t="s">
        <v>16</v>
      </c>
      <c r="C170" s="7976" t="s">
        <v>3168</v>
      </c>
      <c r="D170" s="7976" t="s">
        <v>3169</v>
      </c>
      <c r="E170" s="7976" t="s">
        <v>3170</v>
      </c>
      <c r="F170" s="7976" t="s">
        <v>2690</v>
      </c>
      <c r="G170" s="7976" t="s">
        <v>3171</v>
      </c>
      <c r="H170" s="7976" t="s">
        <v>22</v>
      </c>
      <c r="I170" s="7976" t="s">
        <v>869</v>
      </c>
    </row>
    <row customHeight="1" ht="11.25">
      <c r="A171" s="7976" t="s">
        <v>2530</v>
      </c>
      <c r="B171" s="7976" t="s">
        <v>16</v>
      </c>
      <c r="C171" s="7976" t="s">
        <v>3172</v>
      </c>
      <c r="D171" s="7976" t="s">
        <v>3173</v>
      </c>
      <c r="E171" s="7976" t="s">
        <v>3174</v>
      </c>
      <c r="F171" s="7976" t="s">
        <v>2907</v>
      </c>
      <c r="G171" s="7976" t="s">
        <v>3175</v>
      </c>
      <c r="H171" s="7976" t="s">
        <v>22</v>
      </c>
      <c r="I171" s="7976" t="s">
        <v>869</v>
      </c>
    </row>
    <row customHeight="1" ht="11.25">
      <c r="A172" s="7976" t="s">
        <v>2530</v>
      </c>
      <c r="B172" s="7976" t="s">
        <v>16</v>
      </c>
      <c r="C172" s="7976" t="s">
        <v>3176</v>
      </c>
      <c r="D172" s="7976" t="s">
        <v>3177</v>
      </c>
      <c r="E172" s="7976" t="s">
        <v>3178</v>
      </c>
      <c r="F172" s="7976" t="s">
        <v>2573</v>
      </c>
      <c r="G172" s="7976" t="s">
        <v>22</v>
      </c>
      <c r="H172" s="7976" t="s">
        <v>22</v>
      </c>
      <c r="I172" s="7976" t="s">
        <v>869</v>
      </c>
    </row>
    <row customHeight="1" ht="11.25">
      <c r="A173" s="7976" t="s">
        <v>2530</v>
      </c>
      <c r="B173" s="7976" t="s">
        <v>16</v>
      </c>
      <c r="C173" s="7976" t="s">
        <v>3179</v>
      </c>
      <c r="D173" s="7976" t="s">
        <v>3180</v>
      </c>
      <c r="E173" s="7976" t="s">
        <v>3181</v>
      </c>
      <c r="F173" s="7976" t="s">
        <v>2602</v>
      </c>
      <c r="G173" s="7976" t="s">
        <v>22</v>
      </c>
      <c r="H173" s="7976" t="s">
        <v>22</v>
      </c>
      <c r="I173" s="7976" t="s">
        <v>869</v>
      </c>
    </row>
    <row customHeight="1" ht="11.25">
      <c r="A174" s="7976" t="s">
        <v>2530</v>
      </c>
      <c r="B174" s="7976" t="s">
        <v>16</v>
      </c>
      <c r="C174" s="7976" t="s">
        <v>3182</v>
      </c>
      <c r="D174" s="7976" t="s">
        <v>3183</v>
      </c>
      <c r="E174" s="7976" t="s">
        <v>3184</v>
      </c>
      <c r="F174" s="7976" t="s">
        <v>2802</v>
      </c>
      <c r="G174" s="7976" t="s">
        <v>3185</v>
      </c>
      <c r="H174" s="7976" t="s">
        <v>22</v>
      </c>
      <c r="I174" s="7976" t="s">
        <v>869</v>
      </c>
    </row>
    <row customHeight="1" ht="11.25">
      <c r="A175" s="7976" t="s">
        <v>2530</v>
      </c>
      <c r="B175" s="7976" t="s">
        <v>16</v>
      </c>
      <c r="C175" s="7976" t="s">
        <v>3186</v>
      </c>
      <c r="D175" s="7976" t="s">
        <v>3187</v>
      </c>
      <c r="E175" s="7976" t="s">
        <v>3188</v>
      </c>
      <c r="F175" s="7976" t="s">
        <v>2573</v>
      </c>
      <c r="G175" s="7976" t="s">
        <v>22</v>
      </c>
      <c r="H175" s="7976" t="s">
        <v>22</v>
      </c>
      <c r="I175" s="7976" t="s">
        <v>869</v>
      </c>
    </row>
    <row customHeight="1" ht="11.25">
      <c r="A176" s="7976" t="s">
        <v>2530</v>
      </c>
      <c r="B176" s="7976" t="s">
        <v>16</v>
      </c>
      <c r="C176" s="7976" t="s">
        <v>3189</v>
      </c>
      <c r="D176" s="7976" t="s">
        <v>3190</v>
      </c>
      <c r="E176" s="7976" t="s">
        <v>3191</v>
      </c>
      <c r="F176" s="7976" t="s">
        <v>2561</v>
      </c>
      <c r="G176" s="7976" t="s">
        <v>3192</v>
      </c>
      <c r="H176" s="7976" t="s">
        <v>22</v>
      </c>
      <c r="I176" s="7976" t="s">
        <v>869</v>
      </c>
    </row>
    <row customHeight="1" ht="11.25">
      <c r="A177" s="7976" t="s">
        <v>2530</v>
      </c>
      <c r="B177" s="7976" t="s">
        <v>16</v>
      </c>
      <c r="C177" s="7976" t="s">
        <v>3193</v>
      </c>
      <c r="D177" s="7976" t="s">
        <v>3194</v>
      </c>
      <c r="E177" s="7976" t="s">
        <v>3195</v>
      </c>
      <c r="F177" s="7976" t="s">
        <v>2573</v>
      </c>
      <c r="G177" s="7976" t="s">
        <v>22</v>
      </c>
      <c r="H177" s="7976" t="s">
        <v>22</v>
      </c>
      <c r="I177" s="7976" t="s">
        <v>869</v>
      </c>
    </row>
    <row customHeight="1" ht="11.25">
      <c r="A178" s="7976" t="s">
        <v>2530</v>
      </c>
      <c r="B178" s="7976" t="s">
        <v>16</v>
      </c>
      <c r="C178" s="7976" t="s">
        <v>3196</v>
      </c>
      <c r="D178" s="7976" t="s">
        <v>3197</v>
      </c>
      <c r="E178" s="7976" t="s">
        <v>3198</v>
      </c>
      <c r="F178" s="7976" t="s">
        <v>2907</v>
      </c>
      <c r="G178" s="7976" t="s">
        <v>22</v>
      </c>
      <c r="H178" s="7976" t="s">
        <v>22</v>
      </c>
      <c r="I178" s="7976" t="s">
        <v>869</v>
      </c>
    </row>
    <row customHeight="1" ht="11.25">
      <c r="A179" s="7976" t="s">
        <v>2530</v>
      </c>
      <c r="B179" s="7976" t="s">
        <v>16</v>
      </c>
      <c r="C179" s="7976" t="s">
        <v>3199</v>
      </c>
      <c r="D179" s="7976" t="s">
        <v>3200</v>
      </c>
      <c r="E179" s="7976" t="s">
        <v>3201</v>
      </c>
      <c r="F179" s="7976" t="s">
        <v>2907</v>
      </c>
      <c r="G179" s="7976" t="s">
        <v>3030</v>
      </c>
      <c r="H179" s="7976" t="s">
        <v>22</v>
      </c>
      <c r="I179" s="7976" t="s">
        <v>869</v>
      </c>
    </row>
    <row customHeight="1" ht="11.25">
      <c r="A180" s="7976" t="s">
        <v>2530</v>
      </c>
      <c r="B180" s="7976" t="s">
        <v>16</v>
      </c>
      <c r="C180" s="7976" t="s">
        <v>3202</v>
      </c>
      <c r="D180" s="7976" t="s">
        <v>3203</v>
      </c>
      <c r="E180" s="7976" t="s">
        <v>3204</v>
      </c>
      <c r="F180" s="7976" t="s">
        <v>3205</v>
      </c>
      <c r="G180" s="7976" t="s">
        <v>3206</v>
      </c>
      <c r="H180" s="7976" t="s">
        <v>22</v>
      </c>
      <c r="I180" s="7976" t="s">
        <v>869</v>
      </c>
    </row>
    <row customHeight="1" ht="11.25">
      <c r="A181" s="7976" t="s">
        <v>2530</v>
      </c>
      <c r="B181" s="7976" t="s">
        <v>16</v>
      </c>
      <c r="C181" s="7976" t="s">
        <v>3207</v>
      </c>
      <c r="D181" s="7976" t="s">
        <v>3208</v>
      </c>
      <c r="E181" s="7976" t="s">
        <v>3209</v>
      </c>
      <c r="F181" s="7976" t="s">
        <v>2551</v>
      </c>
      <c r="G181" s="7976" t="s">
        <v>3210</v>
      </c>
      <c r="H181" s="7976" t="s">
        <v>22</v>
      </c>
      <c r="I181" s="7976" t="s">
        <v>869</v>
      </c>
    </row>
    <row customHeight="1" ht="11.25">
      <c r="A182" s="7976" t="s">
        <v>2530</v>
      </c>
      <c r="B182" s="7976" t="s">
        <v>16</v>
      </c>
      <c r="C182" s="7976" t="s">
        <v>3211</v>
      </c>
      <c r="D182" s="7976" t="s">
        <v>3212</v>
      </c>
      <c r="E182" s="7976" t="s">
        <v>3213</v>
      </c>
      <c r="F182" s="7976" t="s">
        <v>2907</v>
      </c>
      <c r="G182" s="7976" t="s">
        <v>22</v>
      </c>
      <c r="H182" s="7976" t="s">
        <v>22</v>
      </c>
      <c r="I182" s="7976" t="s">
        <v>869</v>
      </c>
    </row>
    <row customHeight="1" ht="11.25">
      <c r="A183" s="7976" t="s">
        <v>2530</v>
      </c>
      <c r="B183" s="7976" t="s">
        <v>16</v>
      </c>
      <c r="C183" s="7976" t="s">
        <v>3214</v>
      </c>
      <c r="D183" s="7976" t="s">
        <v>3215</v>
      </c>
      <c r="E183" s="7976" t="s">
        <v>3216</v>
      </c>
      <c r="F183" s="7976" t="s">
        <v>2907</v>
      </c>
      <c r="G183" s="7976" t="s">
        <v>3030</v>
      </c>
      <c r="H183" s="7976" t="s">
        <v>22</v>
      </c>
      <c r="I183" s="7976" t="s">
        <v>869</v>
      </c>
    </row>
    <row customHeight="1" ht="11.25">
      <c r="A184" s="7976" t="s">
        <v>2530</v>
      </c>
      <c r="B184" s="7976" t="s">
        <v>16</v>
      </c>
      <c r="C184" s="7976" t="s">
        <v>3217</v>
      </c>
      <c r="D184" s="7976" t="s">
        <v>3218</v>
      </c>
      <c r="E184" s="7976" t="s">
        <v>3219</v>
      </c>
      <c r="F184" s="7976" t="s">
        <v>3091</v>
      </c>
      <c r="G184" s="7976" t="s">
        <v>3220</v>
      </c>
      <c r="H184" s="7976" t="s">
        <v>22</v>
      </c>
      <c r="I184" s="7976" t="s">
        <v>869</v>
      </c>
    </row>
    <row customHeight="1" ht="11.25">
      <c r="A185" s="7976" t="s">
        <v>2530</v>
      </c>
      <c r="B185" s="7976" t="s">
        <v>16</v>
      </c>
      <c r="C185" s="7976" t="s">
        <v>3221</v>
      </c>
      <c r="D185" s="7976" t="s">
        <v>3222</v>
      </c>
      <c r="E185" s="7976" t="s">
        <v>3223</v>
      </c>
      <c r="F185" s="7976" t="s">
        <v>2589</v>
      </c>
      <c r="G185" s="7976" t="s">
        <v>22</v>
      </c>
      <c r="H185" s="7976" t="s">
        <v>22</v>
      </c>
      <c r="I185" s="7976" t="s">
        <v>869</v>
      </c>
    </row>
    <row customHeight="1" ht="11.25">
      <c r="A186" s="7976" t="s">
        <v>2530</v>
      </c>
      <c r="B186" s="7976" t="s">
        <v>16</v>
      </c>
      <c r="C186" s="7976" t="s">
        <v>3224</v>
      </c>
      <c r="D186" s="7976" t="s">
        <v>3225</v>
      </c>
      <c r="E186" s="7976" t="s">
        <v>3226</v>
      </c>
      <c r="F186" s="7976" t="s">
        <v>2561</v>
      </c>
      <c r="G186" s="7976" t="s">
        <v>22</v>
      </c>
      <c r="H186" s="7976" t="s">
        <v>3227</v>
      </c>
      <c r="I186" s="7976" t="s">
        <v>869</v>
      </c>
    </row>
    <row customHeight="1" ht="11.25">
      <c r="A187" s="7976" t="s">
        <v>2530</v>
      </c>
      <c r="B187" s="7976" t="s">
        <v>16</v>
      </c>
      <c r="C187" s="7976" t="s">
        <v>3228</v>
      </c>
      <c r="D187" s="7976" t="s">
        <v>3229</v>
      </c>
      <c r="E187" s="7976" t="s">
        <v>3230</v>
      </c>
      <c r="F187" s="7976" t="s">
        <v>2561</v>
      </c>
      <c r="G187" s="7976" t="s">
        <v>3231</v>
      </c>
      <c r="H187" s="7976" t="s">
        <v>22</v>
      </c>
      <c r="I187" s="7976" t="s">
        <v>869</v>
      </c>
    </row>
    <row customHeight="1" ht="11.25">
      <c r="A188" s="7976" t="s">
        <v>2530</v>
      </c>
      <c r="B188" s="7976" t="s">
        <v>16</v>
      </c>
      <c r="C188" s="7976" t="s">
        <v>3232</v>
      </c>
      <c r="D188" s="7976" t="s">
        <v>3233</v>
      </c>
      <c r="E188" s="7976" t="s">
        <v>3234</v>
      </c>
      <c r="F188" s="7976" t="s">
        <v>2602</v>
      </c>
      <c r="G188" s="7976" t="s">
        <v>22</v>
      </c>
      <c r="H188" s="7976" t="s">
        <v>22</v>
      </c>
      <c r="I188" s="7976" t="s">
        <v>869</v>
      </c>
    </row>
    <row customHeight="1" ht="11.25">
      <c r="A189" s="7976" t="s">
        <v>2530</v>
      </c>
      <c r="B189" s="7976" t="s">
        <v>16</v>
      </c>
      <c r="C189" s="7976" t="s">
        <v>3235</v>
      </c>
      <c r="D189" s="7976" t="s">
        <v>3236</v>
      </c>
      <c r="E189" s="7976" t="s">
        <v>3237</v>
      </c>
      <c r="F189" s="7976" t="s">
        <v>2802</v>
      </c>
      <c r="G189" s="7976" t="s">
        <v>22</v>
      </c>
      <c r="H189" s="7976" t="s">
        <v>3238</v>
      </c>
      <c r="I189" s="7976" t="s">
        <v>869</v>
      </c>
    </row>
    <row customHeight="1" ht="11.25">
      <c r="A190" s="7976" t="s">
        <v>2530</v>
      </c>
      <c r="B190" s="7976" t="s">
        <v>16</v>
      </c>
      <c r="C190" s="7976" t="s">
        <v>3239</v>
      </c>
      <c r="D190" s="7976" t="s">
        <v>3240</v>
      </c>
      <c r="E190" s="7976" t="s">
        <v>3241</v>
      </c>
      <c r="F190" s="7976" t="s">
        <v>2539</v>
      </c>
      <c r="G190" s="7976" t="s">
        <v>22</v>
      </c>
      <c r="H190" s="7976" t="s">
        <v>22</v>
      </c>
      <c r="I190" s="7976" t="s">
        <v>869</v>
      </c>
    </row>
    <row customHeight="1" ht="11.25">
      <c r="A191" s="7976" t="s">
        <v>2530</v>
      </c>
      <c r="B191" s="7976" t="s">
        <v>16</v>
      </c>
      <c r="C191" s="7976" t="s">
        <v>3242</v>
      </c>
      <c r="D191" s="7976" t="s">
        <v>3243</v>
      </c>
      <c r="E191" s="7976" t="s">
        <v>3244</v>
      </c>
      <c r="F191" s="7976" t="s">
        <v>2743</v>
      </c>
      <c r="G191" s="7976" t="s">
        <v>22</v>
      </c>
      <c r="H191" s="7976" t="s">
        <v>3245</v>
      </c>
      <c r="I191" s="7976" t="s">
        <v>869</v>
      </c>
    </row>
    <row customHeight="1" ht="11.25">
      <c r="A192" s="7976" t="s">
        <v>2530</v>
      </c>
      <c r="B192" s="7976" t="s">
        <v>16</v>
      </c>
      <c r="C192" s="7976" t="s">
        <v>3246</v>
      </c>
      <c r="D192" s="7976" t="s">
        <v>3243</v>
      </c>
      <c r="E192" s="7976" t="s">
        <v>3247</v>
      </c>
      <c r="F192" s="7976" t="s">
        <v>2954</v>
      </c>
      <c r="G192" s="7976" t="s">
        <v>3248</v>
      </c>
      <c r="H192" s="7976" t="s">
        <v>22</v>
      </c>
      <c r="I192" s="7976" t="s">
        <v>869</v>
      </c>
    </row>
    <row customHeight="1" ht="11.25">
      <c r="A193" s="7976" t="s">
        <v>2530</v>
      </c>
      <c r="B193" s="7976" t="s">
        <v>16</v>
      </c>
      <c r="C193" s="7976" t="s">
        <v>3249</v>
      </c>
      <c r="D193" s="7976" t="s">
        <v>3250</v>
      </c>
      <c r="E193" s="7976" t="s">
        <v>3251</v>
      </c>
      <c r="F193" s="7976" t="s">
        <v>2690</v>
      </c>
      <c r="G193" s="7976" t="s">
        <v>22</v>
      </c>
      <c r="H193" s="7976" t="s">
        <v>22</v>
      </c>
      <c r="I193" s="7976" t="s">
        <v>869</v>
      </c>
    </row>
    <row customHeight="1" ht="11.25">
      <c r="A194" s="7976" t="s">
        <v>2530</v>
      </c>
      <c r="B194" s="7976" t="s">
        <v>16</v>
      </c>
      <c r="C194" s="7976" t="s">
        <v>3252</v>
      </c>
      <c r="D194" s="7976" t="s">
        <v>3253</v>
      </c>
      <c r="E194" s="7976" t="s">
        <v>3254</v>
      </c>
      <c r="F194" s="7976" t="s">
        <v>2657</v>
      </c>
      <c r="G194" s="7976" t="s">
        <v>3255</v>
      </c>
      <c r="H194" s="7976" t="s">
        <v>22</v>
      </c>
      <c r="I194" s="7976" t="s">
        <v>869</v>
      </c>
    </row>
    <row customHeight="1" ht="11.25">
      <c r="A195" s="7976" t="s">
        <v>2530</v>
      </c>
      <c r="B195" s="7976" t="s">
        <v>16</v>
      </c>
      <c r="C195" s="7976" t="s">
        <v>3256</v>
      </c>
      <c r="D195" s="7976" t="s">
        <v>3257</v>
      </c>
      <c r="E195" s="7976" t="s">
        <v>3258</v>
      </c>
      <c r="F195" s="7976" t="s">
        <v>2690</v>
      </c>
      <c r="G195" s="7976" t="s">
        <v>3259</v>
      </c>
      <c r="H195" s="7976" t="s">
        <v>22</v>
      </c>
      <c r="I195" s="7976" t="s">
        <v>869</v>
      </c>
    </row>
    <row customHeight="1" ht="11.25">
      <c r="A196" s="7976" t="s">
        <v>2530</v>
      </c>
      <c r="B196" s="7976" t="s">
        <v>16</v>
      </c>
      <c r="C196" s="7976" t="s">
        <v>3260</v>
      </c>
      <c r="D196" s="7976" t="s">
        <v>3261</v>
      </c>
      <c r="E196" s="7976" t="s">
        <v>3262</v>
      </c>
      <c r="F196" s="7976" t="s">
        <v>2561</v>
      </c>
      <c r="G196" s="7976" t="s">
        <v>3263</v>
      </c>
      <c r="H196" s="7976" t="s">
        <v>22</v>
      </c>
      <c r="I196" s="7976" t="s">
        <v>869</v>
      </c>
    </row>
    <row customHeight="1" ht="11.25">
      <c r="A197" s="7976" t="s">
        <v>2530</v>
      </c>
      <c r="B197" s="7976" t="s">
        <v>16</v>
      </c>
      <c r="C197" s="7976" t="s">
        <v>3264</v>
      </c>
      <c r="D197" s="7976" t="s">
        <v>3265</v>
      </c>
      <c r="E197" s="7976" t="s">
        <v>3266</v>
      </c>
      <c r="F197" s="7976" t="s">
        <v>2597</v>
      </c>
      <c r="G197" s="7976" t="s">
        <v>22</v>
      </c>
      <c r="H197" s="7976" t="s">
        <v>3267</v>
      </c>
      <c r="I197" s="7976" t="s">
        <v>869</v>
      </c>
    </row>
    <row customHeight="1" ht="11.25">
      <c r="A198" s="7976" t="s">
        <v>2530</v>
      </c>
      <c r="B198" s="7976" t="s">
        <v>16</v>
      </c>
      <c r="C198" s="7976" t="s">
        <v>3268</v>
      </c>
      <c r="D198" s="7976" t="s">
        <v>3269</v>
      </c>
      <c r="E198" s="7976" t="s">
        <v>3270</v>
      </c>
      <c r="F198" s="7976" t="s">
        <v>2954</v>
      </c>
      <c r="G198" s="7976" t="s">
        <v>22</v>
      </c>
      <c r="H198" s="7976" t="s">
        <v>22</v>
      </c>
      <c r="I198" s="7976" t="s">
        <v>869</v>
      </c>
    </row>
    <row customHeight="1" ht="11.25">
      <c r="A199" s="7976" t="s">
        <v>2530</v>
      </c>
      <c r="B199" s="7976" t="s">
        <v>16</v>
      </c>
      <c r="C199" s="7976" t="s">
        <v>3271</v>
      </c>
      <c r="D199" s="7976" t="s">
        <v>3272</v>
      </c>
      <c r="E199" s="7976" t="s">
        <v>3273</v>
      </c>
      <c r="F199" s="7976" t="s">
        <v>2652</v>
      </c>
      <c r="G199" s="7976" t="s">
        <v>3274</v>
      </c>
      <c r="H199" s="7976" t="s">
        <v>22</v>
      </c>
      <c r="I199" s="7976" t="s">
        <v>869</v>
      </c>
    </row>
    <row customHeight="1" ht="11.25">
      <c r="A200" s="7976" t="s">
        <v>2530</v>
      </c>
      <c r="B200" s="7976" t="s">
        <v>16</v>
      </c>
      <c r="C200" s="7976" t="s">
        <v>3275</v>
      </c>
      <c r="D200" s="7976" t="s">
        <v>3272</v>
      </c>
      <c r="E200" s="7976" t="s">
        <v>3276</v>
      </c>
      <c r="F200" s="7976" t="s">
        <v>2636</v>
      </c>
      <c r="G200" s="7976" t="s">
        <v>22</v>
      </c>
      <c r="H200" s="7976" t="s">
        <v>22</v>
      </c>
      <c r="I200" s="7976" t="s">
        <v>869</v>
      </c>
    </row>
    <row customHeight="1" ht="11.25">
      <c r="A201" s="7976" t="s">
        <v>2530</v>
      </c>
      <c r="B201" s="7976" t="s">
        <v>16</v>
      </c>
      <c r="C201" s="7976" t="s">
        <v>3277</v>
      </c>
      <c r="D201" s="7976" t="s">
        <v>3278</v>
      </c>
      <c r="E201" s="7976" t="s">
        <v>3279</v>
      </c>
      <c r="F201" s="7976" t="s">
        <v>2954</v>
      </c>
      <c r="G201" s="7976" t="s">
        <v>22</v>
      </c>
      <c r="H201" s="7976" t="s">
        <v>22</v>
      </c>
      <c r="I201" s="7976" t="s">
        <v>869</v>
      </c>
    </row>
    <row customHeight="1" ht="11.25">
      <c r="A202" s="7976" t="s">
        <v>2530</v>
      </c>
      <c r="B202" s="7976" t="s">
        <v>16</v>
      </c>
      <c r="C202" s="7976" t="s">
        <v>3280</v>
      </c>
      <c r="D202" s="7976" t="s">
        <v>3281</v>
      </c>
      <c r="E202" s="7976" t="s">
        <v>3282</v>
      </c>
      <c r="F202" s="7976" t="s">
        <v>2573</v>
      </c>
      <c r="G202" s="7976" t="s">
        <v>3283</v>
      </c>
      <c r="H202" s="7976" t="s">
        <v>22</v>
      </c>
      <c r="I202" s="7976" t="s">
        <v>869</v>
      </c>
    </row>
    <row customHeight="1" ht="11.25">
      <c r="A203" s="7976" t="s">
        <v>2530</v>
      </c>
      <c r="B203" s="7976" t="s">
        <v>16</v>
      </c>
      <c r="C203" s="7976" t="s">
        <v>3284</v>
      </c>
      <c r="D203" s="7976" t="s">
        <v>3285</v>
      </c>
      <c r="E203" s="7976" t="s">
        <v>3286</v>
      </c>
      <c r="F203" s="7976" t="s">
        <v>2690</v>
      </c>
      <c r="G203" s="7976" t="s">
        <v>22</v>
      </c>
      <c r="H203" s="7976" t="s">
        <v>22</v>
      </c>
      <c r="I203" s="7976" t="s">
        <v>869</v>
      </c>
    </row>
    <row customHeight="1" ht="11.25">
      <c r="A204" s="7976" t="s">
        <v>2530</v>
      </c>
      <c r="B204" s="7976" t="s">
        <v>16</v>
      </c>
      <c r="C204" s="7976" t="s">
        <v>3287</v>
      </c>
      <c r="D204" s="7976" t="s">
        <v>3288</v>
      </c>
      <c r="E204" s="7976" t="s">
        <v>3289</v>
      </c>
      <c r="F204" s="7976" t="s">
        <v>2657</v>
      </c>
      <c r="G204" s="7976" t="s">
        <v>3290</v>
      </c>
      <c r="H204" s="7976" t="s">
        <v>22</v>
      </c>
      <c r="I204" s="7976" t="s">
        <v>869</v>
      </c>
    </row>
    <row customHeight="1" ht="11.25">
      <c r="A205" s="7976" t="s">
        <v>2530</v>
      </c>
      <c r="B205" s="7976" t="s">
        <v>16</v>
      </c>
      <c r="C205" s="7976" t="s">
        <v>3291</v>
      </c>
      <c r="D205" s="7976" t="s">
        <v>3292</v>
      </c>
      <c r="E205" s="7976" t="s">
        <v>3293</v>
      </c>
      <c r="F205" s="7976" t="s">
        <v>2573</v>
      </c>
      <c r="G205" s="7976" t="s">
        <v>22</v>
      </c>
      <c r="H205" s="7976" t="s">
        <v>3294</v>
      </c>
      <c r="I205" s="7976" t="s">
        <v>869</v>
      </c>
    </row>
    <row customHeight="1" ht="11.25">
      <c r="A206" s="7976" t="s">
        <v>2530</v>
      </c>
      <c r="B206" s="7976" t="s">
        <v>16</v>
      </c>
      <c r="C206" s="7976" t="s">
        <v>3295</v>
      </c>
      <c r="D206" s="7976" t="s">
        <v>3296</v>
      </c>
      <c r="E206" s="7976" t="s">
        <v>3297</v>
      </c>
      <c r="F206" s="7976" t="s">
        <v>2573</v>
      </c>
      <c r="G206" s="7976" t="s">
        <v>22</v>
      </c>
      <c r="H206" s="7976" t="s">
        <v>22</v>
      </c>
      <c r="I206" s="7976" t="s">
        <v>869</v>
      </c>
    </row>
    <row customHeight="1" ht="11.25">
      <c r="A207" s="7976" t="s">
        <v>2530</v>
      </c>
      <c r="B207" s="7976" t="s">
        <v>16</v>
      </c>
      <c r="C207" s="7976" t="s">
        <v>3298</v>
      </c>
      <c r="D207" s="7976" t="s">
        <v>3299</v>
      </c>
      <c r="E207" s="7976" t="s">
        <v>3300</v>
      </c>
      <c r="F207" s="7976" t="s">
        <v>2573</v>
      </c>
      <c r="G207" s="7976" t="s">
        <v>3301</v>
      </c>
      <c r="H207" s="7976" t="s">
        <v>22</v>
      </c>
      <c r="I207" s="7976" t="s">
        <v>869</v>
      </c>
    </row>
    <row customHeight="1" ht="11.25">
      <c r="A208" s="7976" t="s">
        <v>2530</v>
      </c>
      <c r="B208" s="7976" t="s">
        <v>16</v>
      </c>
      <c r="C208" s="7976" t="s">
        <v>3302</v>
      </c>
      <c r="D208" s="7976" t="s">
        <v>3303</v>
      </c>
      <c r="E208" s="7976" t="s">
        <v>3304</v>
      </c>
      <c r="F208" s="7976" t="s">
        <v>2907</v>
      </c>
      <c r="G208" s="7976" t="s">
        <v>3305</v>
      </c>
      <c r="H208" s="7976" t="s">
        <v>22</v>
      </c>
      <c r="I208" s="7976" t="s">
        <v>869</v>
      </c>
    </row>
    <row customHeight="1" ht="11.25">
      <c r="A209" s="7976" t="s">
        <v>2530</v>
      </c>
      <c r="B209" s="7976" t="s">
        <v>16</v>
      </c>
      <c r="C209" s="7976" t="s">
        <v>3306</v>
      </c>
      <c r="D209" s="7976" t="s">
        <v>3307</v>
      </c>
      <c r="E209" s="7976" t="s">
        <v>3308</v>
      </c>
      <c r="F209" s="7976" t="s">
        <v>2907</v>
      </c>
      <c r="G209" s="7976" t="s">
        <v>3309</v>
      </c>
      <c r="H209" s="7976" t="s">
        <v>22</v>
      </c>
      <c r="I209" s="7976" t="s">
        <v>869</v>
      </c>
    </row>
    <row customHeight="1" ht="11.25">
      <c r="A210" s="7976" t="s">
        <v>2530</v>
      </c>
      <c r="B210" s="7976" t="s">
        <v>16</v>
      </c>
      <c r="C210" s="7976" t="s">
        <v>3310</v>
      </c>
      <c r="D210" s="7976" t="s">
        <v>3311</v>
      </c>
      <c r="E210" s="7976" t="s">
        <v>3312</v>
      </c>
      <c r="F210" s="7976" t="s">
        <v>2907</v>
      </c>
      <c r="G210" s="7976" t="s">
        <v>3309</v>
      </c>
      <c r="H210" s="7976" t="s">
        <v>22</v>
      </c>
      <c r="I210" s="7976" t="s">
        <v>869</v>
      </c>
    </row>
    <row customHeight="1" ht="11.25">
      <c r="A211" s="7976" t="s">
        <v>2530</v>
      </c>
      <c r="B211" s="7976" t="s">
        <v>16</v>
      </c>
      <c r="C211" s="7976" t="s">
        <v>3313</v>
      </c>
      <c r="D211" s="7976" t="s">
        <v>3314</v>
      </c>
      <c r="E211" s="7976" t="s">
        <v>3315</v>
      </c>
      <c r="F211" s="7976" t="s">
        <v>2907</v>
      </c>
      <c r="G211" s="7976" t="s">
        <v>3305</v>
      </c>
      <c r="H211" s="7976" t="s">
        <v>22</v>
      </c>
      <c r="I211" s="7976" t="s">
        <v>869</v>
      </c>
    </row>
    <row customHeight="1" ht="11.25">
      <c r="A212" s="7976" t="s">
        <v>2530</v>
      </c>
      <c r="B212" s="7976" t="s">
        <v>16</v>
      </c>
      <c r="C212" s="7976" t="s">
        <v>3316</v>
      </c>
      <c r="D212" s="7976" t="s">
        <v>3317</v>
      </c>
      <c r="E212" s="7976" t="s">
        <v>3318</v>
      </c>
      <c r="F212" s="7976" t="s">
        <v>2602</v>
      </c>
      <c r="G212" s="7976" t="s">
        <v>3319</v>
      </c>
      <c r="H212" s="7976" t="s">
        <v>22</v>
      </c>
      <c r="I212" s="7976" t="s">
        <v>869</v>
      </c>
    </row>
    <row customHeight="1" ht="11.25">
      <c r="A213" s="7976" t="s">
        <v>2530</v>
      </c>
      <c r="B213" s="7976" t="s">
        <v>16</v>
      </c>
      <c r="C213" s="7976" t="s">
        <v>3320</v>
      </c>
      <c r="D213" s="7976" t="s">
        <v>3321</v>
      </c>
      <c r="E213" s="7976" t="s">
        <v>3322</v>
      </c>
      <c r="F213" s="7976" t="s">
        <v>2573</v>
      </c>
      <c r="G213" s="7976" t="s">
        <v>22</v>
      </c>
      <c r="H213" s="7976" t="s">
        <v>22</v>
      </c>
      <c r="I213" s="7976" t="s">
        <v>869</v>
      </c>
    </row>
    <row customHeight="1" ht="11.25">
      <c r="A214" s="7976" t="s">
        <v>2530</v>
      </c>
      <c r="B214" s="7976" t="s">
        <v>16</v>
      </c>
      <c r="C214" s="7976" t="s">
        <v>3323</v>
      </c>
      <c r="D214" s="7976" t="s">
        <v>3324</v>
      </c>
      <c r="E214" s="7976" t="s">
        <v>3325</v>
      </c>
      <c r="F214" s="7976" t="s">
        <v>3326</v>
      </c>
      <c r="G214" s="7976" t="s">
        <v>3327</v>
      </c>
      <c r="H214" s="7976" t="s">
        <v>22</v>
      </c>
      <c r="I214" s="7976" t="s">
        <v>869</v>
      </c>
    </row>
    <row customHeight="1" ht="11.25">
      <c r="A215" s="7976" t="s">
        <v>2530</v>
      </c>
      <c r="B215" s="7976" t="s">
        <v>16</v>
      </c>
      <c r="C215" s="7976" t="s">
        <v>3328</v>
      </c>
      <c r="D215" s="7976" t="s">
        <v>3329</v>
      </c>
      <c r="E215" s="7976" t="s">
        <v>3330</v>
      </c>
      <c r="F215" s="7976" t="s">
        <v>2561</v>
      </c>
      <c r="G215" s="7976" t="s">
        <v>22</v>
      </c>
      <c r="H215" s="7976" t="s">
        <v>22</v>
      </c>
      <c r="I215" s="7976" t="s">
        <v>869</v>
      </c>
    </row>
    <row customHeight="1" ht="11.25">
      <c r="A216" s="7976" t="s">
        <v>2530</v>
      </c>
      <c r="B216" s="7976" t="s">
        <v>16</v>
      </c>
      <c r="C216" s="7976" t="s">
        <v>3331</v>
      </c>
      <c r="D216" s="7976" t="s">
        <v>3332</v>
      </c>
      <c r="E216" s="7976" t="s">
        <v>3333</v>
      </c>
      <c r="F216" s="7976" t="s">
        <v>2630</v>
      </c>
      <c r="G216" s="7976" t="s">
        <v>22</v>
      </c>
      <c r="H216" s="7976" t="s">
        <v>22</v>
      </c>
      <c r="I216" s="7976" t="s">
        <v>869</v>
      </c>
    </row>
    <row customHeight="1" ht="11.25">
      <c r="A217" s="7976" t="s">
        <v>2530</v>
      </c>
      <c r="B217" s="7976" t="s">
        <v>16</v>
      </c>
      <c r="C217" s="7976" t="s">
        <v>3334</v>
      </c>
      <c r="D217" s="7976" t="s">
        <v>3335</v>
      </c>
      <c r="E217" s="7976" t="s">
        <v>3336</v>
      </c>
      <c r="F217" s="7976" t="s">
        <v>2561</v>
      </c>
      <c r="G217" s="7976" t="s">
        <v>3337</v>
      </c>
      <c r="H217" s="7976" t="s">
        <v>22</v>
      </c>
      <c r="I217" s="7976" t="s">
        <v>869</v>
      </c>
    </row>
    <row customHeight="1" ht="11.25">
      <c r="A218" s="7976" t="s">
        <v>2530</v>
      </c>
      <c r="B218" s="7976" t="s">
        <v>16</v>
      </c>
      <c r="C218" s="7976" t="s">
        <v>3338</v>
      </c>
      <c r="D218" s="7976" t="s">
        <v>3339</v>
      </c>
      <c r="E218" s="7976" t="s">
        <v>3340</v>
      </c>
      <c r="F218" s="7976" t="s">
        <v>2670</v>
      </c>
      <c r="G218" s="7976" t="s">
        <v>3341</v>
      </c>
      <c r="H218" s="7976" t="s">
        <v>22</v>
      </c>
      <c r="I218" s="7976" t="s">
        <v>869</v>
      </c>
    </row>
    <row customHeight="1" ht="11.25">
      <c r="A219" s="7976" t="s">
        <v>2530</v>
      </c>
      <c r="B219" s="7976" t="s">
        <v>16</v>
      </c>
      <c r="C219" s="7976" t="s">
        <v>3342</v>
      </c>
      <c r="D219" s="7976" t="s">
        <v>3343</v>
      </c>
      <c r="E219" s="7976" t="s">
        <v>3344</v>
      </c>
      <c r="F219" s="7976" t="s">
        <v>2561</v>
      </c>
      <c r="G219" s="7976" t="s">
        <v>22</v>
      </c>
      <c r="H219" s="7976" t="s">
        <v>22</v>
      </c>
      <c r="I219" s="7976" t="s">
        <v>869</v>
      </c>
    </row>
    <row customHeight="1" ht="11.25">
      <c r="A220" s="7976" t="s">
        <v>2530</v>
      </c>
      <c r="B220" s="7976" t="s">
        <v>16</v>
      </c>
      <c r="C220" s="7976" t="s">
        <v>3345</v>
      </c>
      <c r="D220" s="7976" t="s">
        <v>3346</v>
      </c>
      <c r="E220" s="7976" t="s">
        <v>3347</v>
      </c>
      <c r="F220" s="7976" t="s">
        <v>2602</v>
      </c>
      <c r="G220" s="7976" t="s">
        <v>3348</v>
      </c>
      <c r="H220" s="7976" t="s">
        <v>22</v>
      </c>
      <c r="I220" s="7976" t="s">
        <v>869</v>
      </c>
    </row>
    <row customHeight="1" ht="11.25">
      <c r="A221" s="7976" t="s">
        <v>2530</v>
      </c>
      <c r="B221" s="7976" t="s">
        <v>16</v>
      </c>
      <c r="C221" s="7976" t="s">
        <v>3349</v>
      </c>
      <c r="D221" s="7976" t="s">
        <v>3350</v>
      </c>
      <c r="E221" s="7976" t="s">
        <v>3351</v>
      </c>
      <c r="F221" s="7976" t="s">
        <v>3056</v>
      </c>
      <c r="G221" s="7976" t="s">
        <v>3352</v>
      </c>
      <c r="H221" s="7976" t="s">
        <v>22</v>
      </c>
      <c r="I221" s="7976" t="s">
        <v>869</v>
      </c>
    </row>
    <row customHeight="1" ht="11.25">
      <c r="A222" s="7976" t="s">
        <v>2530</v>
      </c>
      <c r="B222" s="7976" t="s">
        <v>16</v>
      </c>
      <c r="C222" s="7976" t="s">
        <v>3353</v>
      </c>
      <c r="D222" s="7976" t="s">
        <v>3354</v>
      </c>
      <c r="E222" s="7976" t="s">
        <v>3355</v>
      </c>
      <c r="F222" s="7976" t="s">
        <v>3356</v>
      </c>
      <c r="G222" s="7976" t="s">
        <v>3357</v>
      </c>
      <c r="H222" s="7976" t="s">
        <v>22</v>
      </c>
      <c r="I222" s="7976" t="s">
        <v>869</v>
      </c>
    </row>
    <row customHeight="1" ht="11.25">
      <c r="A223" s="7976" t="s">
        <v>2530</v>
      </c>
      <c r="B223" s="7976" t="s">
        <v>16</v>
      </c>
      <c r="C223" s="7976" t="s">
        <v>3358</v>
      </c>
      <c r="D223" s="7976" t="s">
        <v>3359</v>
      </c>
      <c r="E223" s="7976" t="s">
        <v>3360</v>
      </c>
      <c r="F223" s="7976" t="s">
        <v>2907</v>
      </c>
      <c r="G223" s="7976" t="s">
        <v>3361</v>
      </c>
      <c r="H223" s="7976" t="s">
        <v>22</v>
      </c>
      <c r="I223" s="7976" t="s">
        <v>869</v>
      </c>
    </row>
    <row customHeight="1" ht="11.25">
      <c r="A224" s="7976" t="s">
        <v>2530</v>
      </c>
      <c r="B224" s="7976" t="s">
        <v>16</v>
      </c>
      <c r="C224" s="7976" t="s">
        <v>3362</v>
      </c>
      <c r="D224" s="7976" t="s">
        <v>3363</v>
      </c>
      <c r="E224" s="7976" t="s">
        <v>3364</v>
      </c>
      <c r="F224" s="7976" t="s">
        <v>2907</v>
      </c>
      <c r="G224" s="7976" t="s">
        <v>3365</v>
      </c>
      <c r="H224" s="7976" t="s">
        <v>22</v>
      </c>
      <c r="I224" s="7976" t="s">
        <v>869</v>
      </c>
    </row>
    <row customHeight="1" ht="11.25">
      <c r="A225" s="7976" t="s">
        <v>2530</v>
      </c>
      <c r="B225" s="7976" t="s">
        <v>16</v>
      </c>
      <c r="C225" s="7976" t="s">
        <v>3366</v>
      </c>
      <c r="D225" s="7976" t="s">
        <v>3367</v>
      </c>
      <c r="E225" s="7976" t="s">
        <v>3368</v>
      </c>
      <c r="F225" s="7976" t="s">
        <v>2907</v>
      </c>
      <c r="G225" s="7976" t="s">
        <v>3369</v>
      </c>
      <c r="H225" s="7976" t="s">
        <v>22</v>
      </c>
      <c r="I225" s="7976" t="s">
        <v>869</v>
      </c>
    </row>
    <row customHeight="1" ht="11.25">
      <c r="A226" s="7976" t="s">
        <v>2530</v>
      </c>
      <c r="B226" s="7976" t="s">
        <v>16</v>
      </c>
      <c r="C226" s="7976" t="s">
        <v>3370</v>
      </c>
      <c r="D226" s="7976" t="s">
        <v>3371</v>
      </c>
      <c r="E226" s="7976" t="s">
        <v>3372</v>
      </c>
      <c r="F226" s="7976" t="s">
        <v>2573</v>
      </c>
      <c r="G226" s="7976" t="s">
        <v>3373</v>
      </c>
      <c r="H226" s="7976" t="s">
        <v>22</v>
      </c>
      <c r="I226" s="7976" t="s">
        <v>869</v>
      </c>
    </row>
    <row customHeight="1" ht="11.25">
      <c r="A227" s="7976" t="s">
        <v>2530</v>
      </c>
      <c r="B227" s="7976" t="s">
        <v>16</v>
      </c>
      <c r="C227" s="7976" t="s">
        <v>3374</v>
      </c>
      <c r="D227" s="7976" t="s">
        <v>3375</v>
      </c>
      <c r="E227" s="7976" t="s">
        <v>3376</v>
      </c>
      <c r="F227" s="7976" t="s">
        <v>3377</v>
      </c>
      <c r="G227" s="7976" t="s">
        <v>3378</v>
      </c>
      <c r="H227" s="7976" t="s">
        <v>22</v>
      </c>
      <c r="I227" s="7976" t="s">
        <v>869</v>
      </c>
    </row>
    <row customHeight="1" ht="11.25">
      <c r="A228" s="7976" t="s">
        <v>2530</v>
      </c>
      <c r="B228" s="7976" t="s">
        <v>16</v>
      </c>
      <c r="C228" s="7976" t="s">
        <v>3379</v>
      </c>
      <c r="D228" s="7976" t="s">
        <v>3380</v>
      </c>
      <c r="E228" s="7976" t="s">
        <v>3381</v>
      </c>
      <c r="F228" s="7976" t="s">
        <v>2573</v>
      </c>
      <c r="G228" s="7976" t="s">
        <v>22</v>
      </c>
      <c r="H228" s="7976" t="s">
        <v>22</v>
      </c>
      <c r="I228" s="7976" t="s">
        <v>869</v>
      </c>
    </row>
    <row customHeight="1" ht="11.25">
      <c r="A229" s="7976" t="s">
        <v>2530</v>
      </c>
      <c r="B229" s="7976" t="s">
        <v>16</v>
      </c>
      <c r="C229" s="7976" t="s">
        <v>3382</v>
      </c>
      <c r="D229" s="7976" t="s">
        <v>3383</v>
      </c>
      <c r="E229" s="7976" t="s">
        <v>3384</v>
      </c>
      <c r="F229" s="7976" t="s">
        <v>2561</v>
      </c>
      <c r="G229" s="7976" t="s">
        <v>3385</v>
      </c>
      <c r="H229" s="7976" t="s">
        <v>22</v>
      </c>
      <c r="I229" s="7976" t="s">
        <v>869</v>
      </c>
    </row>
    <row customHeight="1" ht="11.25">
      <c r="A230" s="7976" t="s">
        <v>2530</v>
      </c>
      <c r="B230" s="7976" t="s">
        <v>16</v>
      </c>
      <c r="C230" s="7976" t="s">
        <v>3386</v>
      </c>
      <c r="D230" s="7976" t="s">
        <v>3387</v>
      </c>
      <c r="E230" s="7976" t="s">
        <v>3388</v>
      </c>
      <c r="F230" s="7976" t="s">
        <v>2539</v>
      </c>
      <c r="G230" s="7976" t="s">
        <v>3389</v>
      </c>
      <c r="H230" s="7976" t="s">
        <v>22</v>
      </c>
      <c r="I230" s="7976" t="s">
        <v>869</v>
      </c>
    </row>
    <row customHeight="1" ht="11.25">
      <c r="A231" s="7976" t="s">
        <v>2530</v>
      </c>
      <c r="B231" s="7976" t="s">
        <v>16</v>
      </c>
      <c r="C231" s="7976" t="s">
        <v>3390</v>
      </c>
      <c r="D231" s="7976" t="s">
        <v>3391</v>
      </c>
      <c r="E231" s="7976" t="s">
        <v>3392</v>
      </c>
      <c r="F231" s="7976" t="s">
        <v>2602</v>
      </c>
      <c r="G231" s="7976" t="s">
        <v>3393</v>
      </c>
      <c r="H231" s="7976" t="s">
        <v>22</v>
      </c>
      <c r="I231" s="7976" t="s">
        <v>869</v>
      </c>
    </row>
    <row customHeight="1" ht="11.25">
      <c r="A232" s="7976" t="s">
        <v>2530</v>
      </c>
      <c r="B232" s="7976" t="s">
        <v>16</v>
      </c>
      <c r="C232" s="7976" t="s">
        <v>3394</v>
      </c>
      <c r="D232" s="7976" t="s">
        <v>3395</v>
      </c>
      <c r="E232" s="7976" t="s">
        <v>3396</v>
      </c>
      <c r="F232" s="7976" t="s">
        <v>2690</v>
      </c>
      <c r="G232" s="7976" t="s">
        <v>22</v>
      </c>
      <c r="H232" s="7976" t="s">
        <v>22</v>
      </c>
      <c r="I232" s="7976" t="s">
        <v>869</v>
      </c>
    </row>
    <row customHeight="1" ht="11.25">
      <c r="A233" s="7976" t="s">
        <v>2530</v>
      </c>
      <c r="B233" s="7976" t="s">
        <v>16</v>
      </c>
      <c r="C233" s="7976" t="s">
        <v>3397</v>
      </c>
      <c r="D233" s="7976" t="s">
        <v>3398</v>
      </c>
      <c r="E233" s="7976" t="s">
        <v>3399</v>
      </c>
      <c r="F233" s="7976" t="s">
        <v>2670</v>
      </c>
      <c r="G233" s="7976" t="s">
        <v>3400</v>
      </c>
      <c r="H233" s="7976" t="s">
        <v>22</v>
      </c>
      <c r="I233" s="7976" t="s">
        <v>869</v>
      </c>
    </row>
    <row customHeight="1" ht="11.25">
      <c r="A234" s="7976" t="s">
        <v>2530</v>
      </c>
      <c r="B234" s="7976" t="s">
        <v>16</v>
      </c>
      <c r="C234" s="7976" t="s">
        <v>3401</v>
      </c>
      <c r="D234" s="7976" t="s">
        <v>3402</v>
      </c>
      <c r="E234" s="7976" t="s">
        <v>3403</v>
      </c>
      <c r="F234" s="7976" t="s">
        <v>2657</v>
      </c>
      <c r="G234" s="7976" t="s">
        <v>3404</v>
      </c>
      <c r="H234" s="7976" t="s">
        <v>22</v>
      </c>
      <c r="I234" s="7976" t="s">
        <v>869</v>
      </c>
    </row>
    <row customHeight="1" ht="11.25">
      <c r="A235" s="7976" t="s">
        <v>2530</v>
      </c>
      <c r="B235" s="7976" t="s">
        <v>16</v>
      </c>
      <c r="C235" s="7976" t="s">
        <v>3405</v>
      </c>
      <c r="D235" s="7976" t="s">
        <v>3406</v>
      </c>
      <c r="E235" s="7976" t="s">
        <v>3407</v>
      </c>
      <c r="F235" s="7976" t="s">
        <v>2551</v>
      </c>
      <c r="G235" s="7976" t="s">
        <v>3408</v>
      </c>
      <c r="H235" s="7976" t="s">
        <v>22</v>
      </c>
      <c r="I235" s="7976" t="s">
        <v>869</v>
      </c>
    </row>
    <row customHeight="1" ht="11.25">
      <c r="A236" s="7976" t="s">
        <v>2530</v>
      </c>
      <c r="B236" s="7976" t="s">
        <v>16</v>
      </c>
      <c r="C236" s="7976" t="s">
        <v>3409</v>
      </c>
      <c r="D236" s="7976" t="s">
        <v>3410</v>
      </c>
      <c r="E236" s="7976" t="s">
        <v>3411</v>
      </c>
      <c r="F236" s="7976" t="s">
        <v>2648</v>
      </c>
      <c r="G236" s="7976" t="s">
        <v>22</v>
      </c>
      <c r="H236" s="7976" t="s">
        <v>22</v>
      </c>
      <c r="I236" s="7976" t="s">
        <v>869</v>
      </c>
    </row>
    <row customHeight="1" ht="11.25">
      <c r="A237" s="7976" t="s">
        <v>2530</v>
      </c>
      <c r="B237" s="7976" t="s">
        <v>16</v>
      </c>
      <c r="C237" s="7976" t="s">
        <v>3412</v>
      </c>
      <c r="D237" s="7976" t="s">
        <v>3413</v>
      </c>
      <c r="E237" s="7976" t="s">
        <v>3414</v>
      </c>
      <c r="F237" s="7976" t="s">
        <v>2630</v>
      </c>
      <c r="G237" s="7976" t="s">
        <v>22</v>
      </c>
      <c r="H237" s="7976" t="s">
        <v>22</v>
      </c>
      <c r="I237" s="7976" t="s">
        <v>869</v>
      </c>
    </row>
    <row customHeight="1" ht="11.25">
      <c r="A238" s="7976" t="s">
        <v>2530</v>
      </c>
      <c r="B238" s="7976" t="s">
        <v>16</v>
      </c>
      <c r="C238" s="7976" t="s">
        <v>3415</v>
      </c>
      <c r="D238" s="7976" t="s">
        <v>3416</v>
      </c>
      <c r="E238" s="7976" t="s">
        <v>3417</v>
      </c>
      <c r="F238" s="7976" t="s">
        <v>2802</v>
      </c>
      <c r="G238" s="7976" t="s">
        <v>22</v>
      </c>
      <c r="H238" s="7976" t="s">
        <v>22</v>
      </c>
      <c r="I238" s="7976" t="s">
        <v>869</v>
      </c>
    </row>
    <row customHeight="1" ht="11.25">
      <c r="A239" s="7976" t="s">
        <v>2530</v>
      </c>
      <c r="B239" s="7976" t="s">
        <v>16</v>
      </c>
      <c r="C239" s="7976" t="s">
        <v>3418</v>
      </c>
      <c r="D239" s="7976" t="s">
        <v>3419</v>
      </c>
      <c r="E239" s="7976" t="s">
        <v>3420</v>
      </c>
      <c r="F239" s="7976" t="s">
        <v>2630</v>
      </c>
      <c r="G239" s="7976" t="s">
        <v>3421</v>
      </c>
      <c r="H239" s="7976" t="s">
        <v>22</v>
      </c>
      <c r="I239" s="7976" t="s">
        <v>869</v>
      </c>
    </row>
    <row customHeight="1" ht="11.25">
      <c r="A240" s="7976" t="s">
        <v>2530</v>
      </c>
      <c r="B240" s="7976" t="s">
        <v>16</v>
      </c>
      <c r="C240" s="7976" t="s">
        <v>3422</v>
      </c>
      <c r="D240" s="7976" t="s">
        <v>3423</v>
      </c>
      <c r="E240" s="7976" t="s">
        <v>3424</v>
      </c>
      <c r="F240" s="7976" t="s">
        <v>2597</v>
      </c>
      <c r="G240" s="7976" t="s">
        <v>22</v>
      </c>
      <c r="H240" s="7976" t="s">
        <v>22</v>
      </c>
      <c r="I240" s="7976" t="s">
        <v>869</v>
      </c>
    </row>
    <row customHeight="1" ht="11.25">
      <c r="A241" s="7976" t="s">
        <v>2530</v>
      </c>
      <c r="B241" s="7976" t="s">
        <v>16</v>
      </c>
      <c r="C241" s="7976" t="s">
        <v>13</v>
      </c>
      <c r="D241" s="7976" t="s">
        <v>46</v>
      </c>
      <c r="E241" s="7976" t="s">
        <v>49</v>
      </c>
      <c r="F241" s="7976" t="s">
        <v>51</v>
      </c>
      <c r="G241" s="7976" t="s">
        <v>22</v>
      </c>
      <c r="H241" s="7976" t="s">
        <v>22</v>
      </c>
      <c r="I241" s="7976" t="s">
        <v>869</v>
      </c>
    </row>
    <row customHeight="1" ht="11.25">
      <c r="A242" s="7976" t="s">
        <v>2530</v>
      </c>
      <c r="B242" s="7976" t="s">
        <v>16</v>
      </c>
      <c r="C242" s="7976" t="s">
        <v>3425</v>
      </c>
      <c r="D242" s="7976" t="s">
        <v>3426</v>
      </c>
      <c r="E242" s="7976" t="s">
        <v>3427</v>
      </c>
      <c r="F242" s="7976" t="s">
        <v>3428</v>
      </c>
      <c r="G242" s="7976" t="s">
        <v>22</v>
      </c>
      <c r="H242" s="7976" t="s">
        <v>22</v>
      </c>
      <c r="I242" s="7976" t="s">
        <v>869</v>
      </c>
    </row>
    <row customHeight="1" ht="11.25">
      <c r="A243" s="7976" t="s">
        <v>2530</v>
      </c>
      <c r="B243" s="7976" t="s">
        <v>16</v>
      </c>
      <c r="C243" s="7976" t="s">
        <v>3429</v>
      </c>
      <c r="D243" s="7976" t="s">
        <v>3430</v>
      </c>
      <c r="E243" s="7976" t="s">
        <v>3431</v>
      </c>
      <c r="F243" s="7976" t="s">
        <v>2573</v>
      </c>
      <c r="G243" s="7976" t="s">
        <v>22</v>
      </c>
      <c r="H243" s="7976" t="s">
        <v>22</v>
      </c>
      <c r="I243" s="7976" t="s">
        <v>869</v>
      </c>
    </row>
    <row customHeight="1" ht="11.25">
      <c r="A244" s="7976" t="s">
        <v>2530</v>
      </c>
      <c r="B244" s="7976" t="s">
        <v>16</v>
      </c>
      <c r="C244" s="7976" t="s">
        <v>3432</v>
      </c>
      <c r="D244" s="7976" t="s">
        <v>3433</v>
      </c>
      <c r="E244" s="7976" t="s">
        <v>2852</v>
      </c>
      <c r="F244" s="7976" t="s">
        <v>3434</v>
      </c>
      <c r="G244" s="7976" t="s">
        <v>22</v>
      </c>
      <c r="H244" s="7976" t="s">
        <v>22</v>
      </c>
      <c r="I244" s="7976" t="s">
        <v>869</v>
      </c>
    </row>
    <row customHeight="1" ht="11.25">
      <c r="A245" s="7976" t="s">
        <v>2530</v>
      </c>
      <c r="B245" s="7976" t="s">
        <v>16</v>
      </c>
      <c r="C245" s="7976" t="s">
        <v>22</v>
      </c>
      <c r="D245" s="7976" t="s">
        <v>3435</v>
      </c>
      <c r="E245" s="7976" t="s">
        <v>3436</v>
      </c>
      <c r="F245" s="7976" t="s">
        <v>2573</v>
      </c>
      <c r="G245" s="7976" t="s">
        <v>22</v>
      </c>
      <c r="H245" s="7976" t="s">
        <v>22</v>
      </c>
      <c r="I245" s="7976" t="s">
        <v>869</v>
      </c>
    </row>
    <row customHeight="1" ht="11.25">
      <c r="A246" s="7976" t="s">
        <v>2530</v>
      </c>
      <c r="B246" s="7976" t="s">
        <v>16</v>
      </c>
      <c r="C246" s="7976" t="s">
        <v>3437</v>
      </c>
      <c r="D246" s="7976" t="s">
        <v>3438</v>
      </c>
      <c r="E246" s="7976" t="s">
        <v>2813</v>
      </c>
      <c r="F246" s="7976" t="s">
        <v>3439</v>
      </c>
      <c r="G246" s="7976" t="s">
        <v>22</v>
      </c>
      <c r="H246" s="7976" t="s">
        <v>22</v>
      </c>
      <c r="I246" s="7976" t="s">
        <v>869</v>
      </c>
    </row>
    <row customHeight="1" ht="11.25">
      <c r="A247" s="7976" t="s">
        <v>2530</v>
      </c>
      <c r="B247" s="7976" t="s">
        <v>16</v>
      </c>
      <c r="C247" s="7976" t="s">
        <v>3440</v>
      </c>
      <c r="D247" s="7976" t="s">
        <v>3441</v>
      </c>
      <c r="E247" s="7976" t="s">
        <v>3442</v>
      </c>
      <c r="F247" s="7976" t="s">
        <v>2602</v>
      </c>
      <c r="G247" s="7976" t="s">
        <v>22</v>
      </c>
      <c r="H247" s="7976" t="s">
        <v>2621</v>
      </c>
      <c r="I247" s="7976" t="s">
        <v>869</v>
      </c>
    </row>
    <row customHeight="1" ht="11.25">
      <c r="A248" s="7976" t="s">
        <v>2530</v>
      </c>
      <c r="B248" s="7976" t="s">
        <v>16</v>
      </c>
      <c r="C248" s="7976" t="s">
        <v>3443</v>
      </c>
      <c r="D248" s="7976" t="s">
        <v>3444</v>
      </c>
      <c r="E248" s="7976" t="s">
        <v>2813</v>
      </c>
      <c r="F248" s="7976" t="s">
        <v>3445</v>
      </c>
      <c r="G248" s="7976" t="s">
        <v>22</v>
      </c>
      <c r="H248" s="7976" t="s">
        <v>22</v>
      </c>
      <c r="I248" s="7976" t="s">
        <v>869</v>
      </c>
    </row>
    <row customHeight="1" ht="11.25">
      <c r="A249" s="7976" t="s">
        <v>2530</v>
      </c>
      <c r="B249" s="7976" t="s">
        <v>16</v>
      </c>
      <c r="C249" s="7976" t="s">
        <v>3446</v>
      </c>
      <c r="D249" s="7976" t="s">
        <v>3447</v>
      </c>
      <c r="E249" s="7976" t="s">
        <v>3448</v>
      </c>
      <c r="F249" s="7976" t="s">
        <v>2597</v>
      </c>
      <c r="G249" s="7976" t="s">
        <v>22</v>
      </c>
      <c r="H249" s="7976" t="s">
        <v>3104</v>
      </c>
      <c r="I249" s="7976" t="s">
        <v>869</v>
      </c>
    </row>
    <row customHeight="1" ht="11.25">
      <c r="A250" s="7976" t="s">
        <v>2530</v>
      </c>
      <c r="B250" s="7976" t="s">
        <v>16</v>
      </c>
      <c r="C250" s="7976" t="s">
        <v>3449</v>
      </c>
      <c r="D250" s="7976" t="s">
        <v>3450</v>
      </c>
      <c r="E250" s="7976" t="s">
        <v>2813</v>
      </c>
      <c r="F250" s="7976" t="s">
        <v>2573</v>
      </c>
      <c r="G250" s="7976" t="s">
        <v>3451</v>
      </c>
      <c r="H250" s="7976" t="s">
        <v>22</v>
      </c>
      <c r="I250" s="7976" t="s">
        <v>869</v>
      </c>
    </row>
    <row customHeight="1" ht="11.25">
      <c r="A251" s="7976" t="s">
        <v>2530</v>
      </c>
      <c r="B251" s="7976" t="s">
        <v>16</v>
      </c>
      <c r="C251" s="7976" t="s">
        <v>3452</v>
      </c>
      <c r="D251" s="7976" t="s">
        <v>3453</v>
      </c>
      <c r="E251" s="7976" t="s">
        <v>3454</v>
      </c>
      <c r="F251" s="7976" t="s">
        <v>2573</v>
      </c>
      <c r="G251" s="7976" t="s">
        <v>3455</v>
      </c>
      <c r="H251" s="7976" t="s">
        <v>22</v>
      </c>
      <c r="I251" s="7976" t="s">
        <v>869</v>
      </c>
    </row>
    <row customHeight="1" ht="11.25">
      <c r="A252" s="7976" t="s">
        <v>2530</v>
      </c>
      <c r="B252" s="7976" t="s">
        <v>16</v>
      </c>
      <c r="C252" s="7976" t="s">
        <v>3456</v>
      </c>
      <c r="D252" s="7976" t="s">
        <v>3457</v>
      </c>
      <c r="E252" s="7976" t="s">
        <v>3458</v>
      </c>
      <c r="F252" s="7976" t="s">
        <v>51</v>
      </c>
      <c r="G252" s="7976" t="s">
        <v>22</v>
      </c>
      <c r="H252" s="7976" t="s">
        <v>22</v>
      </c>
      <c r="I252" s="7976" t="s">
        <v>869</v>
      </c>
    </row>
    <row customHeight="1" ht="11.25">
      <c r="A253" s="7976" t="s">
        <v>2530</v>
      </c>
      <c r="B253" s="7976" t="s">
        <v>16</v>
      </c>
      <c r="C253" s="7976" t="s">
        <v>3459</v>
      </c>
      <c r="D253" s="7976" t="s">
        <v>3460</v>
      </c>
      <c r="E253" s="7976" t="s">
        <v>3461</v>
      </c>
      <c r="F253" s="7976" t="s">
        <v>3462</v>
      </c>
      <c r="G253" s="7976" t="s">
        <v>22</v>
      </c>
      <c r="H253" s="7976" t="s">
        <v>22</v>
      </c>
      <c r="I253" s="7976" t="s">
        <v>869</v>
      </c>
    </row>
    <row customHeight="1" ht="11.25">
      <c r="A254" s="7976" t="s">
        <v>2530</v>
      </c>
      <c r="B254" s="7976" t="s">
        <v>16</v>
      </c>
      <c r="C254" s="7976" t="s">
        <v>3463</v>
      </c>
      <c r="D254" s="7976" t="s">
        <v>3464</v>
      </c>
      <c r="E254" s="7976" t="s">
        <v>2896</v>
      </c>
      <c r="F254" s="7976" t="s">
        <v>3465</v>
      </c>
      <c r="G254" s="7976" t="s">
        <v>22</v>
      </c>
      <c r="H254" s="7976" t="s">
        <v>22</v>
      </c>
      <c r="I254" s="7976" t="s">
        <v>869</v>
      </c>
    </row>
    <row customHeight="1" ht="11.25">
      <c r="A255" s="7976" t="s">
        <v>2530</v>
      </c>
      <c r="B255" s="7976" t="s">
        <v>16</v>
      </c>
      <c r="C255" s="7976" t="s">
        <v>3466</v>
      </c>
      <c r="D255" s="7976" t="s">
        <v>3467</v>
      </c>
      <c r="E255" s="7976" t="s">
        <v>2896</v>
      </c>
      <c r="F255" s="7976" t="s">
        <v>3468</v>
      </c>
      <c r="G255" s="7976" t="s">
        <v>22</v>
      </c>
      <c r="H255" s="7976" t="s">
        <v>22</v>
      </c>
      <c r="I255" s="7976" t="s">
        <v>869</v>
      </c>
    </row>
    <row customHeight="1" ht="11.25">
      <c r="A256" s="7976" t="s">
        <v>2530</v>
      </c>
      <c r="B256" s="7976" t="s">
        <v>16</v>
      </c>
      <c r="C256" s="7976" t="s">
        <v>3469</v>
      </c>
      <c r="D256" s="7976" t="s">
        <v>3470</v>
      </c>
      <c r="E256" s="7976" t="s">
        <v>3471</v>
      </c>
      <c r="F256" s="7976" t="s">
        <v>2630</v>
      </c>
      <c r="G256" s="7976" t="s">
        <v>22</v>
      </c>
      <c r="H256" s="7976" t="s">
        <v>22</v>
      </c>
      <c r="I256" s="7976" t="s">
        <v>869</v>
      </c>
    </row>
    <row customHeight="1" ht="11.25">
      <c r="A257" s="7976" t="s">
        <v>2530</v>
      </c>
      <c r="B257" s="7976" t="s">
        <v>16</v>
      </c>
      <c r="C257" s="7976" t="s">
        <v>3472</v>
      </c>
      <c r="D257" s="7976" t="s">
        <v>3473</v>
      </c>
      <c r="E257" s="7976" t="s">
        <v>2852</v>
      </c>
      <c r="F257" s="7976" t="s">
        <v>3474</v>
      </c>
      <c r="G257" s="7976" t="s">
        <v>22</v>
      </c>
      <c r="H257" s="7976" t="s">
        <v>22</v>
      </c>
      <c r="I257" s="7976" t="s">
        <v>869</v>
      </c>
    </row>
    <row customHeight="1" ht="11.25">
      <c r="A258" s="7976" t="s">
        <v>2530</v>
      </c>
      <c r="B258" s="7976" t="s">
        <v>16</v>
      </c>
      <c r="C258" s="7976" t="s">
        <v>3475</v>
      </c>
      <c r="D258" s="7976" t="s">
        <v>3476</v>
      </c>
      <c r="E258" s="7976" t="s">
        <v>3477</v>
      </c>
      <c r="F258" s="7976" t="s">
        <v>2670</v>
      </c>
      <c r="G258" s="7976" t="s">
        <v>22</v>
      </c>
      <c r="H258" s="7976" t="s">
        <v>22</v>
      </c>
      <c r="I258" s="7976" t="s">
        <v>869</v>
      </c>
    </row>
    <row customHeight="1" ht="11.25">
      <c r="A259" s="7976" t="s">
        <v>2530</v>
      </c>
      <c r="B259" s="7976" t="s">
        <v>16</v>
      </c>
      <c r="C259" s="7976" t="s">
        <v>2564</v>
      </c>
      <c r="D259" s="7976" t="s">
        <v>2565</v>
      </c>
      <c r="E259" s="7976" t="s">
        <v>2566</v>
      </c>
      <c r="F259" s="7976" t="s">
        <v>2567</v>
      </c>
      <c r="G259" s="7976" t="s">
        <v>22</v>
      </c>
      <c r="H259" s="7976" t="s">
        <v>22</v>
      </c>
      <c r="I259" s="7976" t="s">
        <v>958</v>
      </c>
    </row>
    <row customHeight="1" ht="11.25">
      <c r="A260" s="7976" t="s">
        <v>2530</v>
      </c>
      <c r="B260" s="7976" t="s">
        <v>16</v>
      </c>
      <c r="C260" s="7976" t="s">
        <v>2568</v>
      </c>
      <c r="D260" s="7976" t="s">
        <v>2565</v>
      </c>
      <c r="E260" s="7976" t="s">
        <v>2566</v>
      </c>
      <c r="F260" s="7976" t="s">
        <v>2569</v>
      </c>
      <c r="G260" s="7976" t="s">
        <v>22</v>
      </c>
      <c r="H260" s="7976" t="s">
        <v>22</v>
      </c>
      <c r="I260" s="7976" t="s">
        <v>958</v>
      </c>
    </row>
    <row customHeight="1" ht="11.25">
      <c r="A261" s="7976" t="s">
        <v>2530</v>
      </c>
      <c r="B261" s="7976" t="s">
        <v>16</v>
      </c>
      <c r="C261" s="7976" t="s">
        <v>2570</v>
      </c>
      <c r="D261" s="7976" t="s">
        <v>2571</v>
      </c>
      <c r="E261" s="7976" t="s">
        <v>2572</v>
      </c>
      <c r="F261" s="7976" t="s">
        <v>2573</v>
      </c>
      <c r="G261" s="7976" t="s">
        <v>22</v>
      </c>
      <c r="H261" s="7976" t="s">
        <v>22</v>
      </c>
      <c r="I261" s="7976" t="s">
        <v>958</v>
      </c>
    </row>
    <row customHeight="1" ht="11.25">
      <c r="A262" s="7976" t="s">
        <v>2530</v>
      </c>
      <c r="B262" s="7976" t="s">
        <v>16</v>
      </c>
      <c r="C262" s="7976" t="s">
        <v>2574</v>
      </c>
      <c r="D262" s="7976" t="s">
        <v>2575</v>
      </c>
      <c r="E262" s="7976" t="s">
        <v>2576</v>
      </c>
      <c r="F262" s="7976" t="s">
        <v>2546</v>
      </c>
      <c r="G262" s="7976" t="s">
        <v>22</v>
      </c>
      <c r="H262" s="7976" t="s">
        <v>22</v>
      </c>
      <c r="I262" s="7976" t="s">
        <v>958</v>
      </c>
    </row>
    <row customHeight="1" ht="11.25">
      <c r="A263" s="7976" t="s">
        <v>2530</v>
      </c>
      <c r="B263" s="7976" t="s">
        <v>16</v>
      </c>
      <c r="C263" s="7976" t="s">
        <v>2577</v>
      </c>
      <c r="D263" s="7976" t="s">
        <v>2578</v>
      </c>
      <c r="E263" s="7976" t="s">
        <v>2579</v>
      </c>
      <c r="F263" s="7976" t="s">
        <v>2573</v>
      </c>
      <c r="G263" s="7976" t="s">
        <v>22</v>
      </c>
      <c r="H263" s="7976" t="s">
        <v>22</v>
      </c>
      <c r="I263" s="7976" t="s">
        <v>958</v>
      </c>
    </row>
    <row customHeight="1" ht="11.25">
      <c r="A264" s="7976" t="s">
        <v>2530</v>
      </c>
      <c r="B264" s="7976" t="s">
        <v>16</v>
      </c>
      <c r="C264" s="7976" t="s">
        <v>2580</v>
      </c>
      <c r="D264" s="7976" t="s">
        <v>2581</v>
      </c>
      <c r="E264" s="7976" t="s">
        <v>2582</v>
      </c>
      <c r="F264" s="7976" t="s">
        <v>51</v>
      </c>
      <c r="G264" s="7976" t="s">
        <v>22</v>
      </c>
      <c r="H264" s="7976" t="s">
        <v>22</v>
      </c>
      <c r="I264" s="7976" t="s">
        <v>958</v>
      </c>
    </row>
    <row customHeight="1" ht="11.25">
      <c r="A265" s="7976" t="s">
        <v>2530</v>
      </c>
      <c r="B265" s="7976" t="s">
        <v>16</v>
      </c>
      <c r="C265" s="7976" t="s">
        <v>3478</v>
      </c>
      <c r="D265" s="7976" t="s">
        <v>3479</v>
      </c>
      <c r="E265" s="7976" t="s">
        <v>3480</v>
      </c>
      <c r="F265" s="7976" t="s">
        <v>2630</v>
      </c>
      <c r="G265" s="7976" t="s">
        <v>3481</v>
      </c>
      <c r="H265" s="7976" t="s">
        <v>22</v>
      </c>
      <c r="I265" s="7976" t="s">
        <v>958</v>
      </c>
    </row>
    <row customHeight="1" ht="11.25">
      <c r="A266" s="7976" t="s">
        <v>2530</v>
      </c>
      <c r="B266" s="7976" t="s">
        <v>16</v>
      </c>
      <c r="C266" s="7976" t="s">
        <v>2594</v>
      </c>
      <c r="D266" s="7976" t="s">
        <v>2595</v>
      </c>
      <c r="E266" s="7976" t="s">
        <v>2596</v>
      </c>
      <c r="F266" s="7976" t="s">
        <v>2597</v>
      </c>
      <c r="G266" s="7976" t="s">
        <v>2598</v>
      </c>
      <c r="H266" s="7976" t="s">
        <v>22</v>
      </c>
      <c r="I266" s="7976" t="s">
        <v>958</v>
      </c>
    </row>
    <row customHeight="1" ht="11.25">
      <c r="A267" s="7976" t="s">
        <v>2530</v>
      </c>
      <c r="B267" s="7976" t="s">
        <v>16</v>
      </c>
      <c r="C267" s="7976" t="s">
        <v>2604</v>
      </c>
      <c r="D267" s="7976" t="s">
        <v>2605</v>
      </c>
      <c r="E267" s="7976" t="s">
        <v>2606</v>
      </c>
      <c r="F267" s="7976" t="s">
        <v>2555</v>
      </c>
      <c r="G267" s="7976" t="s">
        <v>2607</v>
      </c>
      <c r="H267" s="7976" t="s">
        <v>22</v>
      </c>
      <c r="I267" s="7976" t="s">
        <v>958</v>
      </c>
    </row>
    <row customHeight="1" ht="11.25">
      <c r="A268" s="7976" t="s">
        <v>2530</v>
      </c>
      <c r="B268" s="7976" t="s">
        <v>16</v>
      </c>
      <c r="C268" s="7976" t="s">
        <v>3482</v>
      </c>
      <c r="D268" s="7976" t="s">
        <v>3483</v>
      </c>
      <c r="E268" s="7976" t="s">
        <v>3484</v>
      </c>
      <c r="F268" s="7976" t="s">
        <v>2743</v>
      </c>
      <c r="G268" s="7976" t="s">
        <v>3485</v>
      </c>
      <c r="H268" s="7976" t="s">
        <v>2744</v>
      </c>
      <c r="I268" s="7976" t="s">
        <v>958</v>
      </c>
    </row>
    <row customHeight="1" ht="11.25">
      <c r="A269" s="7976" t="s">
        <v>2530</v>
      </c>
      <c r="B269" s="7976" t="s">
        <v>16</v>
      </c>
      <c r="C269" s="7976" t="s">
        <v>2613</v>
      </c>
      <c r="D269" s="7976" t="s">
        <v>2614</v>
      </c>
      <c r="E269" s="7976" t="s">
        <v>2615</v>
      </c>
      <c r="F269" s="7976" t="s">
        <v>2616</v>
      </c>
      <c r="G269" s="7976" t="s">
        <v>22</v>
      </c>
      <c r="H269" s="7976" t="s">
        <v>2617</v>
      </c>
      <c r="I269" s="7976" t="s">
        <v>958</v>
      </c>
    </row>
    <row customHeight="1" ht="11.25">
      <c r="A270" s="7976" t="s">
        <v>2530</v>
      </c>
      <c r="B270" s="7976" t="s">
        <v>16</v>
      </c>
      <c r="C270" s="7976" t="s">
        <v>2627</v>
      </c>
      <c r="D270" s="7976" t="s">
        <v>2628</v>
      </c>
      <c r="E270" s="7976" t="s">
        <v>2629</v>
      </c>
      <c r="F270" s="7976" t="s">
        <v>2630</v>
      </c>
      <c r="G270" s="7976" t="s">
        <v>2631</v>
      </c>
      <c r="H270" s="7976" t="s">
        <v>2632</v>
      </c>
      <c r="I270" s="7976" t="s">
        <v>958</v>
      </c>
    </row>
    <row customHeight="1" ht="11.25">
      <c r="A271" s="7976" t="s">
        <v>2530</v>
      </c>
      <c r="B271" s="7976" t="s">
        <v>16</v>
      </c>
      <c r="C271" s="7976" t="s">
        <v>2633</v>
      </c>
      <c r="D271" s="7976" t="s">
        <v>2634</v>
      </c>
      <c r="E271" s="7976" t="s">
        <v>2635</v>
      </c>
      <c r="F271" s="7976" t="s">
        <v>2636</v>
      </c>
      <c r="G271" s="7976" t="s">
        <v>22</v>
      </c>
      <c r="H271" s="7976" t="s">
        <v>2637</v>
      </c>
      <c r="I271" s="7976" t="s">
        <v>958</v>
      </c>
    </row>
    <row customHeight="1" ht="11.25">
      <c r="A272" s="7976" t="s">
        <v>2530</v>
      </c>
      <c r="B272" s="7976" t="s">
        <v>16</v>
      </c>
      <c r="C272" s="7976" t="s">
        <v>3486</v>
      </c>
      <c r="D272" s="7976" t="s">
        <v>3487</v>
      </c>
      <c r="E272" s="7976" t="s">
        <v>3488</v>
      </c>
      <c r="F272" s="7976" t="s">
        <v>2630</v>
      </c>
      <c r="G272" s="7976" t="s">
        <v>3489</v>
      </c>
      <c r="H272" s="7976" t="s">
        <v>2632</v>
      </c>
      <c r="I272" s="7976" t="s">
        <v>958</v>
      </c>
    </row>
    <row customHeight="1" ht="11.25">
      <c r="A273" s="7976" t="s">
        <v>2530</v>
      </c>
      <c r="B273" s="7976" t="s">
        <v>16</v>
      </c>
      <c r="C273" s="7976" t="s">
        <v>2641</v>
      </c>
      <c r="D273" s="7976" t="s">
        <v>2642</v>
      </c>
      <c r="E273" s="7976" t="s">
        <v>2643</v>
      </c>
      <c r="F273" s="7976" t="s">
        <v>2597</v>
      </c>
      <c r="G273" s="7976" t="s">
        <v>22</v>
      </c>
      <c r="H273" s="7976" t="s">
        <v>2644</v>
      </c>
      <c r="I273" s="7976" t="s">
        <v>958</v>
      </c>
    </row>
    <row customHeight="1" ht="11.25">
      <c r="A274" s="7976" t="s">
        <v>2530</v>
      </c>
      <c r="B274" s="7976" t="s">
        <v>16</v>
      </c>
      <c r="C274" s="7976" t="s">
        <v>2663</v>
      </c>
      <c r="D274" s="7976" t="s">
        <v>2664</v>
      </c>
      <c r="E274" s="7976" t="s">
        <v>2665</v>
      </c>
      <c r="F274" s="7976" t="s">
        <v>2648</v>
      </c>
      <c r="G274" s="7976" t="s">
        <v>2666</v>
      </c>
      <c r="H274" s="7976" t="s">
        <v>22</v>
      </c>
      <c r="I274" s="7976" t="s">
        <v>958</v>
      </c>
    </row>
    <row customHeight="1" ht="11.25">
      <c r="A275" s="7976" t="s">
        <v>2530</v>
      </c>
      <c r="B275" s="7976" t="s">
        <v>16</v>
      </c>
      <c r="C275" s="7976" t="s">
        <v>3490</v>
      </c>
      <c r="D275" s="7976" t="s">
        <v>3491</v>
      </c>
      <c r="E275" s="7976" t="s">
        <v>3492</v>
      </c>
      <c r="F275" s="7976" t="s">
        <v>2636</v>
      </c>
      <c r="G275" s="7976" t="s">
        <v>3493</v>
      </c>
      <c r="H275" s="7976" t="s">
        <v>22</v>
      </c>
      <c r="I275" s="7976" t="s">
        <v>958</v>
      </c>
    </row>
    <row customHeight="1" ht="11.25">
      <c r="A276" s="7976" t="s">
        <v>2530</v>
      </c>
      <c r="B276" s="7976" t="s">
        <v>16</v>
      </c>
      <c r="C276" s="7976" t="s">
        <v>2671</v>
      </c>
      <c r="D276" s="7976" t="s">
        <v>2672</v>
      </c>
      <c r="E276" s="7976" t="s">
        <v>2673</v>
      </c>
      <c r="F276" s="7976" t="s">
        <v>2573</v>
      </c>
      <c r="G276" s="7976" t="s">
        <v>2674</v>
      </c>
      <c r="H276" s="7976" t="s">
        <v>22</v>
      </c>
      <c r="I276" s="7976" t="s">
        <v>958</v>
      </c>
    </row>
    <row customHeight="1" ht="11.25">
      <c r="A277" s="7976" t="s">
        <v>2530</v>
      </c>
      <c r="B277" s="7976" t="s">
        <v>16</v>
      </c>
      <c r="C277" s="7976" t="s">
        <v>2697</v>
      </c>
      <c r="D277" s="7976" t="s">
        <v>2698</v>
      </c>
      <c r="E277" s="7976" t="s">
        <v>2699</v>
      </c>
      <c r="F277" s="7976" t="s">
        <v>2561</v>
      </c>
      <c r="G277" s="7976" t="s">
        <v>2700</v>
      </c>
      <c r="H277" s="7976" t="s">
        <v>2563</v>
      </c>
      <c r="I277" s="7976" t="s">
        <v>958</v>
      </c>
    </row>
    <row customHeight="1" ht="11.25">
      <c r="A278" s="7976" t="s">
        <v>2530</v>
      </c>
      <c r="B278" s="7976" t="s">
        <v>16</v>
      </c>
      <c r="C278" s="7976" t="s">
        <v>3494</v>
      </c>
      <c r="D278" s="7976" t="s">
        <v>3495</v>
      </c>
      <c r="E278" s="7976" t="s">
        <v>3496</v>
      </c>
      <c r="F278" s="7976" t="s">
        <v>2670</v>
      </c>
      <c r="G278" s="7976" t="s">
        <v>22</v>
      </c>
      <c r="H278" s="7976" t="s">
        <v>2711</v>
      </c>
      <c r="I278" s="7976" t="s">
        <v>958</v>
      </c>
    </row>
    <row customHeight="1" ht="11.25">
      <c r="A279" s="7976" t="s">
        <v>2530</v>
      </c>
      <c r="B279" s="7976" t="s">
        <v>16</v>
      </c>
      <c r="C279" s="7976" t="s">
        <v>2785</v>
      </c>
      <c r="D279" s="7976" t="s">
        <v>2786</v>
      </c>
      <c r="E279" s="7976" t="s">
        <v>2787</v>
      </c>
      <c r="F279" s="7976" t="s">
        <v>2561</v>
      </c>
      <c r="G279" s="7976" t="s">
        <v>22</v>
      </c>
      <c r="H279" s="7976" t="s">
        <v>22</v>
      </c>
      <c r="I279" s="7976" t="s">
        <v>958</v>
      </c>
    </row>
    <row customHeight="1" ht="11.25">
      <c r="A280" s="7976" t="s">
        <v>2530</v>
      </c>
      <c r="B280" s="7976" t="s">
        <v>16</v>
      </c>
      <c r="C280" s="7976" t="s">
        <v>2795</v>
      </c>
      <c r="D280" s="7976" t="s">
        <v>2796</v>
      </c>
      <c r="E280" s="7976" t="s">
        <v>2797</v>
      </c>
      <c r="F280" s="7976" t="s">
        <v>2573</v>
      </c>
      <c r="G280" s="7976" t="s">
        <v>2798</v>
      </c>
      <c r="H280" s="7976" t="s">
        <v>22</v>
      </c>
      <c r="I280" s="7976" t="s">
        <v>958</v>
      </c>
    </row>
    <row customHeight="1" ht="11.25">
      <c r="A281" s="7976" t="s">
        <v>2530</v>
      </c>
      <c r="B281" s="7976" t="s">
        <v>16</v>
      </c>
      <c r="C281" s="7976" t="s">
        <v>2803</v>
      </c>
      <c r="D281" s="7976" t="s">
        <v>2804</v>
      </c>
      <c r="E281" s="7976" t="s">
        <v>2805</v>
      </c>
      <c r="F281" s="7976" t="s">
        <v>2806</v>
      </c>
      <c r="G281" s="7976" t="s">
        <v>2807</v>
      </c>
      <c r="H281" s="7976" t="s">
        <v>22</v>
      </c>
      <c r="I281" s="7976" t="s">
        <v>958</v>
      </c>
    </row>
    <row customHeight="1" ht="11.25">
      <c r="A282" s="7976" t="s">
        <v>2530</v>
      </c>
      <c r="B282" s="7976" t="s">
        <v>16</v>
      </c>
      <c r="C282" s="7976" t="s">
        <v>2808</v>
      </c>
      <c r="D282" s="7976" t="s">
        <v>2809</v>
      </c>
      <c r="E282" s="7976" t="s">
        <v>2810</v>
      </c>
      <c r="F282" s="7976" t="s">
        <v>2743</v>
      </c>
      <c r="G282" s="7976" t="s">
        <v>22</v>
      </c>
      <c r="H282" s="7976" t="s">
        <v>22</v>
      </c>
      <c r="I282" s="7976" t="s">
        <v>958</v>
      </c>
    </row>
    <row customHeight="1" ht="11.25">
      <c r="A283" s="7976" t="s">
        <v>2530</v>
      </c>
      <c r="B283" s="7976" t="s">
        <v>16</v>
      </c>
      <c r="C283" s="7976" t="s">
        <v>2811</v>
      </c>
      <c r="D283" s="7976" t="s">
        <v>2812</v>
      </c>
      <c r="E283" s="7976" t="s">
        <v>2813</v>
      </c>
      <c r="F283" s="7976" t="s">
        <v>2814</v>
      </c>
      <c r="G283" s="7976" t="s">
        <v>22</v>
      </c>
      <c r="H283" s="7976" t="s">
        <v>22</v>
      </c>
      <c r="I283" s="7976" t="s">
        <v>958</v>
      </c>
    </row>
    <row customHeight="1" ht="11.25">
      <c r="A284" s="7976" t="s">
        <v>2530</v>
      </c>
      <c r="B284" s="7976" t="s">
        <v>16</v>
      </c>
      <c r="C284" s="7976" t="s">
        <v>2842</v>
      </c>
      <c r="D284" s="7976" t="s">
        <v>2843</v>
      </c>
      <c r="E284" s="7976" t="s">
        <v>2844</v>
      </c>
      <c r="F284" s="7976" t="s">
        <v>2845</v>
      </c>
      <c r="G284" s="7976" t="s">
        <v>22</v>
      </c>
      <c r="H284" s="7976" t="s">
        <v>22</v>
      </c>
      <c r="I284" s="7976" t="s">
        <v>958</v>
      </c>
    </row>
    <row customHeight="1" ht="11.25">
      <c r="A285" s="7976" t="s">
        <v>2530</v>
      </c>
      <c r="B285" s="7976" t="s">
        <v>16</v>
      </c>
      <c r="C285" s="7976" t="s">
        <v>2850</v>
      </c>
      <c r="D285" s="7976" t="s">
        <v>2851</v>
      </c>
      <c r="E285" s="7976" t="s">
        <v>2852</v>
      </c>
      <c r="F285" s="7976" t="s">
        <v>2853</v>
      </c>
      <c r="G285" s="7976" t="s">
        <v>22</v>
      </c>
      <c r="H285" s="7976" t="s">
        <v>22</v>
      </c>
      <c r="I285" s="7976" t="s">
        <v>958</v>
      </c>
    </row>
    <row customHeight="1" ht="11.25">
      <c r="A286" s="7976" t="s">
        <v>2530</v>
      </c>
      <c r="B286" s="7976" t="s">
        <v>16</v>
      </c>
      <c r="C286" s="7976" t="s">
        <v>2867</v>
      </c>
      <c r="D286" s="7976" t="s">
        <v>2868</v>
      </c>
      <c r="E286" s="7976" t="s">
        <v>2869</v>
      </c>
      <c r="F286" s="7976" t="s">
        <v>602</v>
      </c>
      <c r="G286" s="7976" t="s">
        <v>2870</v>
      </c>
      <c r="H286" s="7976" t="s">
        <v>22</v>
      </c>
      <c r="I286" s="7976" t="s">
        <v>958</v>
      </c>
    </row>
    <row customHeight="1" ht="11.25">
      <c r="A287" s="7976" t="s">
        <v>2530</v>
      </c>
      <c r="B287" s="7976" t="s">
        <v>16</v>
      </c>
      <c r="C287" s="7976" t="s">
        <v>2875</v>
      </c>
      <c r="D287" s="7976" t="s">
        <v>2876</v>
      </c>
      <c r="E287" s="7976" t="s">
        <v>2877</v>
      </c>
      <c r="F287" s="7976" t="s">
        <v>602</v>
      </c>
      <c r="G287" s="7976" t="s">
        <v>2878</v>
      </c>
      <c r="H287" s="7976" t="s">
        <v>22</v>
      </c>
      <c r="I287" s="7976" t="s">
        <v>958</v>
      </c>
    </row>
    <row customHeight="1" ht="11.25">
      <c r="A288" s="7976" t="s">
        <v>2530</v>
      </c>
      <c r="B288" s="7976" t="s">
        <v>16</v>
      </c>
      <c r="C288" s="7976" t="s">
        <v>2883</v>
      </c>
      <c r="D288" s="7976" t="s">
        <v>2884</v>
      </c>
      <c r="E288" s="7976" t="s">
        <v>2885</v>
      </c>
      <c r="F288" s="7976" t="s">
        <v>602</v>
      </c>
      <c r="G288" s="7976" t="s">
        <v>2886</v>
      </c>
      <c r="H288" s="7976" t="s">
        <v>22</v>
      </c>
      <c r="I288" s="7976" t="s">
        <v>958</v>
      </c>
    </row>
    <row customHeight="1" ht="11.25">
      <c r="A289" s="7976" t="s">
        <v>2530</v>
      </c>
      <c r="B289" s="7976" t="s">
        <v>16</v>
      </c>
      <c r="C289" s="7976" t="s">
        <v>2890</v>
      </c>
      <c r="D289" s="7976" t="s">
        <v>2891</v>
      </c>
      <c r="E289" s="7976" t="s">
        <v>2892</v>
      </c>
      <c r="F289" s="7976" t="s">
        <v>602</v>
      </c>
      <c r="G289" s="7976" t="s">
        <v>2893</v>
      </c>
      <c r="H289" s="7976" t="s">
        <v>22</v>
      </c>
      <c r="I289" s="7976" t="s">
        <v>958</v>
      </c>
    </row>
    <row customHeight="1" ht="11.25">
      <c r="A290" s="7976" t="s">
        <v>2530</v>
      </c>
      <c r="B290" s="7976" t="s">
        <v>16</v>
      </c>
      <c r="C290" s="7976" t="s">
        <v>2894</v>
      </c>
      <c r="D290" s="7976" t="s">
        <v>2895</v>
      </c>
      <c r="E290" s="7976" t="s">
        <v>2896</v>
      </c>
      <c r="F290" s="7976" t="s">
        <v>2897</v>
      </c>
      <c r="G290" s="7976" t="s">
        <v>22</v>
      </c>
      <c r="H290" s="7976" t="s">
        <v>22</v>
      </c>
      <c r="I290" s="7976" t="s">
        <v>958</v>
      </c>
    </row>
    <row customHeight="1" ht="11.25">
      <c r="A291" s="7976" t="s">
        <v>2530</v>
      </c>
      <c r="B291" s="7976" t="s">
        <v>16</v>
      </c>
      <c r="C291" s="7976" t="s">
        <v>2904</v>
      </c>
      <c r="D291" s="7976" t="s">
        <v>2905</v>
      </c>
      <c r="E291" s="7976" t="s">
        <v>2906</v>
      </c>
      <c r="F291" s="7976" t="s">
        <v>2907</v>
      </c>
      <c r="G291" s="7976" t="s">
        <v>2908</v>
      </c>
      <c r="H291" s="7976" t="s">
        <v>22</v>
      </c>
      <c r="I291" s="7976" t="s">
        <v>958</v>
      </c>
    </row>
    <row customHeight="1" ht="11.25">
      <c r="A292" s="7976" t="s">
        <v>2530</v>
      </c>
      <c r="B292" s="7976" t="s">
        <v>16</v>
      </c>
      <c r="C292" s="7976" t="s">
        <v>2909</v>
      </c>
      <c r="D292" s="7976" t="s">
        <v>2910</v>
      </c>
      <c r="E292" s="7976" t="s">
        <v>2911</v>
      </c>
      <c r="F292" s="7976" t="s">
        <v>2561</v>
      </c>
      <c r="G292" s="7976" t="s">
        <v>22</v>
      </c>
      <c r="H292" s="7976" t="s">
        <v>22</v>
      </c>
      <c r="I292" s="7976" t="s">
        <v>958</v>
      </c>
    </row>
    <row customHeight="1" ht="11.25">
      <c r="A293" s="7976" t="s">
        <v>2530</v>
      </c>
      <c r="B293" s="7976" t="s">
        <v>16</v>
      </c>
      <c r="C293" s="7976" t="s">
        <v>2912</v>
      </c>
      <c r="D293" s="7976" t="s">
        <v>2913</v>
      </c>
      <c r="E293" s="7976" t="s">
        <v>2914</v>
      </c>
      <c r="F293" s="7976" t="s">
        <v>2757</v>
      </c>
      <c r="G293" s="7976" t="s">
        <v>2915</v>
      </c>
      <c r="H293" s="7976" t="s">
        <v>22</v>
      </c>
      <c r="I293" s="7976" t="s">
        <v>958</v>
      </c>
    </row>
    <row customHeight="1" ht="11.25">
      <c r="A294" s="7976" t="s">
        <v>2530</v>
      </c>
      <c r="B294" s="7976" t="s">
        <v>16</v>
      </c>
      <c r="C294" s="7976" t="s">
        <v>2924</v>
      </c>
      <c r="D294" s="7976" t="s">
        <v>2925</v>
      </c>
      <c r="E294" s="7976" t="s">
        <v>2926</v>
      </c>
      <c r="F294" s="7976" t="s">
        <v>2652</v>
      </c>
      <c r="G294" s="7976" t="s">
        <v>22</v>
      </c>
      <c r="H294" s="7976" t="s">
        <v>22</v>
      </c>
      <c r="I294" s="7976" t="s">
        <v>958</v>
      </c>
    </row>
    <row customHeight="1" ht="11.25">
      <c r="A295" s="7976" t="s">
        <v>2530</v>
      </c>
      <c r="B295" s="7976" t="s">
        <v>16</v>
      </c>
      <c r="C295" s="7976" t="s">
        <v>2943</v>
      </c>
      <c r="D295" s="7976" t="s">
        <v>2944</v>
      </c>
      <c r="E295" s="7976" t="s">
        <v>2945</v>
      </c>
      <c r="F295" s="7976" t="s">
        <v>2561</v>
      </c>
      <c r="G295" s="7976" t="s">
        <v>22</v>
      </c>
      <c r="H295" s="7976" t="s">
        <v>22</v>
      </c>
      <c r="I295" s="7976" t="s">
        <v>958</v>
      </c>
    </row>
    <row customHeight="1" ht="11.25">
      <c r="A296" s="7976" t="s">
        <v>2530</v>
      </c>
      <c r="B296" s="7976" t="s">
        <v>16</v>
      </c>
      <c r="C296" s="7976" t="s">
        <v>2946</v>
      </c>
      <c r="D296" s="7976" t="s">
        <v>2947</v>
      </c>
      <c r="E296" s="7976" t="s">
        <v>2948</v>
      </c>
      <c r="F296" s="7976" t="s">
        <v>2561</v>
      </c>
      <c r="G296" s="7976" t="s">
        <v>2949</v>
      </c>
      <c r="H296" s="7976" t="s">
        <v>2950</v>
      </c>
      <c r="I296" s="7976" t="s">
        <v>958</v>
      </c>
    </row>
    <row customHeight="1" ht="11.25">
      <c r="A297" s="7976" t="s">
        <v>2530</v>
      </c>
      <c r="B297" s="7976" t="s">
        <v>16</v>
      </c>
      <c r="C297" s="7976" t="s">
        <v>2962</v>
      </c>
      <c r="D297" s="7976" t="s">
        <v>2963</v>
      </c>
      <c r="E297" s="7976" t="s">
        <v>2964</v>
      </c>
      <c r="F297" s="7976" t="s">
        <v>2539</v>
      </c>
      <c r="G297" s="7976" t="s">
        <v>22</v>
      </c>
      <c r="H297" s="7976" t="s">
        <v>22</v>
      </c>
      <c r="I297" s="7976" t="s">
        <v>958</v>
      </c>
    </row>
    <row customHeight="1" ht="11.25">
      <c r="A298" s="7976" t="s">
        <v>2530</v>
      </c>
      <c r="B298" s="7976" t="s">
        <v>16</v>
      </c>
      <c r="C298" s="7976" t="s">
        <v>2971</v>
      </c>
      <c r="D298" s="7976" t="s">
        <v>2972</v>
      </c>
      <c r="E298" s="7976" t="s">
        <v>2973</v>
      </c>
      <c r="F298" s="7976" t="s">
        <v>2539</v>
      </c>
      <c r="G298" s="7976" t="s">
        <v>22</v>
      </c>
      <c r="H298" s="7976" t="s">
        <v>22</v>
      </c>
      <c r="I298" s="7976" t="s">
        <v>958</v>
      </c>
    </row>
    <row customHeight="1" ht="11.25">
      <c r="A299" s="7976" t="s">
        <v>2530</v>
      </c>
      <c r="B299" s="7976" t="s">
        <v>16</v>
      </c>
      <c r="C299" s="7976" t="s">
        <v>2978</v>
      </c>
      <c r="D299" s="7976" t="s">
        <v>2979</v>
      </c>
      <c r="E299" s="7976" t="s">
        <v>2980</v>
      </c>
      <c r="F299" s="7976" t="s">
        <v>2546</v>
      </c>
      <c r="G299" s="7976" t="s">
        <v>22</v>
      </c>
      <c r="H299" s="7976" t="s">
        <v>22</v>
      </c>
      <c r="I299" s="7976" t="s">
        <v>958</v>
      </c>
    </row>
    <row customHeight="1" ht="11.25">
      <c r="A300" s="7976" t="s">
        <v>2530</v>
      </c>
      <c r="B300" s="7976" t="s">
        <v>16</v>
      </c>
      <c r="C300" s="7976" t="s">
        <v>2981</v>
      </c>
      <c r="D300" s="7976" t="s">
        <v>2982</v>
      </c>
      <c r="E300" s="7976" t="s">
        <v>2983</v>
      </c>
      <c r="F300" s="7976" t="s">
        <v>2636</v>
      </c>
      <c r="G300" s="7976" t="s">
        <v>22</v>
      </c>
      <c r="H300" s="7976" t="s">
        <v>2984</v>
      </c>
      <c r="I300" s="7976" t="s">
        <v>958</v>
      </c>
    </row>
    <row customHeight="1" ht="11.25">
      <c r="A301" s="7976" t="s">
        <v>2530</v>
      </c>
      <c r="B301" s="7976" t="s">
        <v>16</v>
      </c>
      <c r="C301" s="7976" t="s">
        <v>2985</v>
      </c>
      <c r="D301" s="7976" t="s">
        <v>2986</v>
      </c>
      <c r="E301" s="7976" t="s">
        <v>2987</v>
      </c>
      <c r="F301" s="7976" t="s">
        <v>2648</v>
      </c>
      <c r="G301" s="7976" t="s">
        <v>2988</v>
      </c>
      <c r="H301" s="7976" t="s">
        <v>22</v>
      </c>
      <c r="I301" s="7976" t="s">
        <v>958</v>
      </c>
    </row>
    <row customHeight="1" ht="11.25">
      <c r="A302" s="7976" t="s">
        <v>2530</v>
      </c>
      <c r="B302" s="7976" t="s">
        <v>16</v>
      </c>
      <c r="C302" s="7976" t="s">
        <v>2989</v>
      </c>
      <c r="D302" s="7976" t="s">
        <v>2990</v>
      </c>
      <c r="E302" s="7976" t="s">
        <v>2991</v>
      </c>
      <c r="F302" s="7976" t="s">
        <v>2616</v>
      </c>
      <c r="G302" s="7976" t="s">
        <v>22</v>
      </c>
      <c r="H302" s="7976" t="s">
        <v>22</v>
      </c>
      <c r="I302" s="7976" t="s">
        <v>958</v>
      </c>
    </row>
    <row customHeight="1" ht="11.25">
      <c r="A303" s="7976" t="s">
        <v>2530</v>
      </c>
      <c r="B303" s="7976" t="s">
        <v>16</v>
      </c>
      <c r="C303" s="7976" t="s">
        <v>3005</v>
      </c>
      <c r="D303" s="7976" t="s">
        <v>3006</v>
      </c>
      <c r="E303" s="7976" t="s">
        <v>3007</v>
      </c>
      <c r="F303" s="7976" t="s">
        <v>2757</v>
      </c>
      <c r="G303" s="7976" t="s">
        <v>22</v>
      </c>
      <c r="H303" s="7976" t="s">
        <v>22</v>
      </c>
      <c r="I303" s="7976" t="s">
        <v>958</v>
      </c>
    </row>
    <row customHeight="1" ht="11.25">
      <c r="A304" s="7976" t="s">
        <v>2530</v>
      </c>
      <c r="B304" s="7976" t="s">
        <v>16</v>
      </c>
      <c r="C304" s="7976" t="s">
        <v>3018</v>
      </c>
      <c r="D304" s="7976" t="s">
        <v>3019</v>
      </c>
      <c r="E304" s="7976" t="s">
        <v>3020</v>
      </c>
      <c r="F304" s="7976" t="s">
        <v>2573</v>
      </c>
      <c r="G304" s="7976" t="s">
        <v>22</v>
      </c>
      <c r="H304" s="7976" t="s">
        <v>22</v>
      </c>
      <c r="I304" s="7976" t="s">
        <v>958</v>
      </c>
    </row>
    <row customHeight="1" ht="11.25">
      <c r="A305" s="7976" t="s">
        <v>2530</v>
      </c>
      <c r="B305" s="7976" t="s">
        <v>16</v>
      </c>
      <c r="C305" s="7976" t="s">
        <v>3024</v>
      </c>
      <c r="D305" s="7976" t="s">
        <v>3025</v>
      </c>
      <c r="E305" s="7976" t="s">
        <v>3026</v>
      </c>
      <c r="F305" s="7976" t="s">
        <v>2743</v>
      </c>
      <c r="G305" s="7976" t="s">
        <v>22</v>
      </c>
      <c r="H305" s="7976" t="s">
        <v>22</v>
      </c>
      <c r="I305" s="7976" t="s">
        <v>958</v>
      </c>
    </row>
    <row customHeight="1" ht="11.25">
      <c r="A306" s="7976" t="s">
        <v>2530</v>
      </c>
      <c r="B306" s="7976" t="s">
        <v>16</v>
      </c>
      <c r="C306" s="7976" t="s">
        <v>3027</v>
      </c>
      <c r="D306" s="7976" t="s">
        <v>3028</v>
      </c>
      <c r="E306" s="7976" t="s">
        <v>3029</v>
      </c>
      <c r="F306" s="7976" t="s">
        <v>2907</v>
      </c>
      <c r="G306" s="7976" t="s">
        <v>3030</v>
      </c>
      <c r="H306" s="7976" t="s">
        <v>22</v>
      </c>
      <c r="I306" s="7976" t="s">
        <v>958</v>
      </c>
    </row>
    <row customHeight="1" ht="11.25">
      <c r="A307" s="7976" t="s">
        <v>2530</v>
      </c>
      <c r="B307" s="7976" t="s">
        <v>16</v>
      </c>
      <c r="C307" s="7976" t="s">
        <v>3031</v>
      </c>
      <c r="D307" s="7976" t="s">
        <v>3032</v>
      </c>
      <c r="E307" s="7976" t="s">
        <v>3033</v>
      </c>
      <c r="F307" s="7976" t="s">
        <v>2907</v>
      </c>
      <c r="G307" s="7976" t="s">
        <v>3034</v>
      </c>
      <c r="H307" s="7976" t="s">
        <v>22</v>
      </c>
      <c r="I307" s="7976" t="s">
        <v>958</v>
      </c>
    </row>
    <row customHeight="1" ht="11.25">
      <c r="A308" s="7976" t="s">
        <v>2530</v>
      </c>
      <c r="B308" s="7976" t="s">
        <v>16</v>
      </c>
      <c r="C308" s="7976" t="s">
        <v>3035</v>
      </c>
      <c r="D308" s="7976" t="s">
        <v>3036</v>
      </c>
      <c r="E308" s="7976" t="s">
        <v>3037</v>
      </c>
      <c r="F308" s="7976" t="s">
        <v>2573</v>
      </c>
      <c r="G308" s="7976" t="s">
        <v>3038</v>
      </c>
      <c r="H308" s="7976" t="s">
        <v>22</v>
      </c>
      <c r="I308" s="7976" t="s">
        <v>958</v>
      </c>
    </row>
    <row customHeight="1" ht="11.25">
      <c r="A309" s="7976" t="s">
        <v>2530</v>
      </c>
      <c r="B309" s="7976" t="s">
        <v>16</v>
      </c>
      <c r="C309" s="7976" t="s">
        <v>3039</v>
      </c>
      <c r="D309" s="7976" t="s">
        <v>3040</v>
      </c>
      <c r="E309" s="7976" t="s">
        <v>3041</v>
      </c>
      <c r="F309" s="7976" t="s">
        <v>2630</v>
      </c>
      <c r="G309" s="7976" t="s">
        <v>3042</v>
      </c>
      <c r="H309" s="7976" t="s">
        <v>22</v>
      </c>
      <c r="I309" s="7976" t="s">
        <v>958</v>
      </c>
    </row>
    <row customHeight="1" ht="11.25">
      <c r="A310" s="7976" t="s">
        <v>2530</v>
      </c>
      <c r="B310" s="7976" t="s">
        <v>16</v>
      </c>
      <c r="C310" s="7976" t="s">
        <v>3043</v>
      </c>
      <c r="D310" s="7976" t="s">
        <v>3044</v>
      </c>
      <c r="E310" s="7976" t="s">
        <v>3045</v>
      </c>
      <c r="F310" s="7976" t="s">
        <v>2573</v>
      </c>
      <c r="G310" s="7976" t="s">
        <v>22</v>
      </c>
      <c r="H310" s="7976" t="s">
        <v>22</v>
      </c>
      <c r="I310" s="7976" t="s">
        <v>958</v>
      </c>
    </row>
    <row customHeight="1" ht="11.25">
      <c r="A311" s="7976" t="s">
        <v>2530</v>
      </c>
      <c r="B311" s="7976" t="s">
        <v>16</v>
      </c>
      <c r="C311" s="7976" t="s">
        <v>3050</v>
      </c>
      <c r="D311" s="7976" t="s">
        <v>3051</v>
      </c>
      <c r="E311" s="7976" t="s">
        <v>3052</v>
      </c>
      <c r="F311" s="7976" t="s">
        <v>2573</v>
      </c>
      <c r="G311" s="7976" t="s">
        <v>22</v>
      </c>
      <c r="H311" s="7976" t="s">
        <v>22</v>
      </c>
      <c r="I311" s="7976" t="s">
        <v>958</v>
      </c>
    </row>
    <row customHeight="1" ht="11.25">
      <c r="A312" s="7976" t="s">
        <v>2530</v>
      </c>
      <c r="B312" s="7976" t="s">
        <v>16</v>
      </c>
      <c r="C312" s="7976" t="s">
        <v>3057</v>
      </c>
      <c r="D312" s="7976" t="s">
        <v>3058</v>
      </c>
      <c r="E312" s="7976" t="s">
        <v>3059</v>
      </c>
      <c r="F312" s="7976" t="s">
        <v>2648</v>
      </c>
      <c r="G312" s="7976" t="s">
        <v>3060</v>
      </c>
      <c r="H312" s="7976" t="s">
        <v>22</v>
      </c>
      <c r="I312" s="7976" t="s">
        <v>958</v>
      </c>
    </row>
    <row customHeight="1" ht="11.25">
      <c r="A313" s="7976" t="s">
        <v>2530</v>
      </c>
      <c r="B313" s="7976" t="s">
        <v>16</v>
      </c>
      <c r="C313" s="7976" t="s">
        <v>3061</v>
      </c>
      <c r="D313" s="7976" t="s">
        <v>3062</v>
      </c>
      <c r="E313" s="7976" t="s">
        <v>3063</v>
      </c>
      <c r="F313" s="7976" t="s">
        <v>2539</v>
      </c>
      <c r="G313" s="7976" t="s">
        <v>3064</v>
      </c>
      <c r="H313" s="7976" t="s">
        <v>22</v>
      </c>
      <c r="I313" s="7976" t="s">
        <v>958</v>
      </c>
    </row>
    <row customHeight="1" ht="11.25">
      <c r="A314" s="7976" t="s">
        <v>2530</v>
      </c>
      <c r="B314" s="7976" t="s">
        <v>16</v>
      </c>
      <c r="C314" s="7976" t="s">
        <v>3068</v>
      </c>
      <c r="D314" s="7976" t="s">
        <v>3069</v>
      </c>
      <c r="E314" s="7976" t="s">
        <v>3070</v>
      </c>
      <c r="F314" s="7976" t="s">
        <v>2636</v>
      </c>
      <c r="G314" s="7976" t="s">
        <v>3071</v>
      </c>
      <c r="H314" s="7976" t="s">
        <v>22</v>
      </c>
      <c r="I314" s="7976" t="s">
        <v>958</v>
      </c>
    </row>
    <row customHeight="1" ht="11.25">
      <c r="A315" s="7976" t="s">
        <v>2530</v>
      </c>
      <c r="B315" s="7976" t="s">
        <v>16</v>
      </c>
      <c r="C315" s="7976" t="s">
        <v>3072</v>
      </c>
      <c r="D315" s="7976" t="s">
        <v>3073</v>
      </c>
      <c r="E315" s="7976" t="s">
        <v>3074</v>
      </c>
      <c r="F315" s="7976" t="s">
        <v>2743</v>
      </c>
      <c r="G315" s="7976" t="s">
        <v>22</v>
      </c>
      <c r="H315" s="7976" t="s">
        <v>22</v>
      </c>
      <c r="I315" s="7976" t="s">
        <v>958</v>
      </c>
    </row>
    <row customHeight="1" ht="11.25">
      <c r="A316" s="7976" t="s">
        <v>2530</v>
      </c>
      <c r="B316" s="7976" t="s">
        <v>16</v>
      </c>
      <c r="C316" s="7976" t="s">
        <v>3075</v>
      </c>
      <c r="D316" s="7976" t="s">
        <v>3076</v>
      </c>
      <c r="E316" s="7976" t="s">
        <v>3077</v>
      </c>
      <c r="F316" s="7976" t="s">
        <v>2573</v>
      </c>
      <c r="G316" s="7976" t="s">
        <v>3078</v>
      </c>
      <c r="H316" s="7976" t="s">
        <v>22</v>
      </c>
      <c r="I316" s="7976" t="s">
        <v>958</v>
      </c>
    </row>
    <row customHeight="1" ht="11.25">
      <c r="A317" s="7976" t="s">
        <v>2530</v>
      </c>
      <c r="B317" s="7976" t="s">
        <v>16</v>
      </c>
      <c r="C317" s="7976" t="s">
        <v>3079</v>
      </c>
      <c r="D317" s="7976" t="s">
        <v>3080</v>
      </c>
      <c r="E317" s="7976" t="s">
        <v>3081</v>
      </c>
      <c r="F317" s="7976" t="s">
        <v>2573</v>
      </c>
      <c r="G317" s="7976" t="s">
        <v>3082</v>
      </c>
      <c r="H317" s="7976" t="s">
        <v>22</v>
      </c>
      <c r="I317" s="7976" t="s">
        <v>958</v>
      </c>
    </row>
    <row customHeight="1" ht="11.25">
      <c r="A318" s="7976" t="s">
        <v>2530</v>
      </c>
      <c r="B318" s="7976" t="s">
        <v>16</v>
      </c>
      <c r="C318" s="7976" t="s">
        <v>3088</v>
      </c>
      <c r="D318" s="7976" t="s">
        <v>3089</v>
      </c>
      <c r="E318" s="7976" t="s">
        <v>3090</v>
      </c>
      <c r="F318" s="7976" t="s">
        <v>3091</v>
      </c>
      <c r="G318" s="7976" t="s">
        <v>3092</v>
      </c>
      <c r="H318" s="7976" t="s">
        <v>22</v>
      </c>
      <c r="I318" s="7976" t="s">
        <v>958</v>
      </c>
    </row>
    <row customHeight="1" ht="11.25">
      <c r="A319" s="7976" t="s">
        <v>2530</v>
      </c>
      <c r="B319" s="7976" t="s">
        <v>16</v>
      </c>
      <c r="C319" s="7976" t="s">
        <v>3093</v>
      </c>
      <c r="D319" s="7976" t="s">
        <v>3094</v>
      </c>
      <c r="E319" s="7976" t="s">
        <v>3095</v>
      </c>
      <c r="F319" s="7976" t="s">
        <v>2573</v>
      </c>
      <c r="G319" s="7976" t="s">
        <v>3096</v>
      </c>
      <c r="H319" s="7976" t="s">
        <v>22</v>
      </c>
      <c r="I319" s="7976" t="s">
        <v>958</v>
      </c>
    </row>
    <row customHeight="1" ht="11.25">
      <c r="A320" s="7976" t="s">
        <v>2530</v>
      </c>
      <c r="B320" s="7976" t="s">
        <v>16</v>
      </c>
      <c r="C320" s="7976" t="s">
        <v>3097</v>
      </c>
      <c r="D320" s="7976" t="s">
        <v>3098</v>
      </c>
      <c r="E320" s="7976" t="s">
        <v>3099</v>
      </c>
      <c r="F320" s="7976" t="s">
        <v>2561</v>
      </c>
      <c r="G320" s="7976" t="s">
        <v>3100</v>
      </c>
      <c r="H320" s="7976" t="s">
        <v>22</v>
      </c>
      <c r="I320" s="7976" t="s">
        <v>958</v>
      </c>
    </row>
    <row customHeight="1" ht="11.25">
      <c r="A321" s="7976" t="s">
        <v>2530</v>
      </c>
      <c r="B321" s="7976" t="s">
        <v>16</v>
      </c>
      <c r="C321" s="7976" t="s">
        <v>3101</v>
      </c>
      <c r="D321" s="7976" t="s">
        <v>3102</v>
      </c>
      <c r="E321" s="7976" t="s">
        <v>3103</v>
      </c>
      <c r="F321" s="7976" t="s">
        <v>2907</v>
      </c>
      <c r="G321" s="7976" t="s">
        <v>3104</v>
      </c>
      <c r="H321" s="7976" t="s">
        <v>22</v>
      </c>
      <c r="I321" s="7976" t="s">
        <v>958</v>
      </c>
    </row>
    <row customHeight="1" ht="11.25">
      <c r="A322" s="7976" t="s">
        <v>2530</v>
      </c>
      <c r="B322" s="7976" t="s">
        <v>16</v>
      </c>
      <c r="C322" s="7976" t="s">
        <v>3116</v>
      </c>
      <c r="D322" s="7976" t="s">
        <v>3117</v>
      </c>
      <c r="E322" s="7976" t="s">
        <v>3118</v>
      </c>
      <c r="F322" s="7976" t="s">
        <v>2573</v>
      </c>
      <c r="G322" s="7976" t="s">
        <v>3119</v>
      </c>
      <c r="H322" s="7976" t="s">
        <v>22</v>
      </c>
      <c r="I322" s="7976" t="s">
        <v>958</v>
      </c>
    </row>
    <row customHeight="1" ht="11.25">
      <c r="A323" s="7976" t="s">
        <v>2530</v>
      </c>
      <c r="B323" s="7976" t="s">
        <v>16</v>
      </c>
      <c r="C323" s="7976" t="s">
        <v>3128</v>
      </c>
      <c r="D323" s="7976" t="s">
        <v>3129</v>
      </c>
      <c r="E323" s="7976" t="s">
        <v>3130</v>
      </c>
      <c r="F323" s="7976" t="s">
        <v>3131</v>
      </c>
      <c r="G323" s="7976" t="s">
        <v>3132</v>
      </c>
      <c r="H323" s="7976" t="s">
        <v>22</v>
      </c>
      <c r="I323" s="7976" t="s">
        <v>958</v>
      </c>
    </row>
    <row customHeight="1" ht="11.25">
      <c r="A324" s="7976" t="s">
        <v>2530</v>
      </c>
      <c r="B324" s="7976" t="s">
        <v>16</v>
      </c>
      <c r="C324" s="7976" t="s">
        <v>3140</v>
      </c>
      <c r="D324" s="7976" t="s">
        <v>3141</v>
      </c>
      <c r="E324" s="7976" t="s">
        <v>3142</v>
      </c>
      <c r="F324" s="7976" t="s">
        <v>2630</v>
      </c>
      <c r="G324" s="7976" t="s">
        <v>3143</v>
      </c>
      <c r="H324" s="7976" t="s">
        <v>22</v>
      </c>
      <c r="I324" s="7976" t="s">
        <v>958</v>
      </c>
    </row>
    <row customHeight="1" ht="11.25">
      <c r="A325" s="7976" t="s">
        <v>2530</v>
      </c>
      <c r="B325" s="7976" t="s">
        <v>16</v>
      </c>
      <c r="C325" s="7976" t="s">
        <v>3148</v>
      </c>
      <c r="D325" s="7976" t="s">
        <v>3149</v>
      </c>
      <c r="E325" s="7976" t="s">
        <v>3150</v>
      </c>
      <c r="F325" s="7976" t="s">
        <v>2573</v>
      </c>
      <c r="G325" s="7976" t="s">
        <v>3151</v>
      </c>
      <c r="H325" s="7976" t="s">
        <v>22</v>
      </c>
      <c r="I325" s="7976" t="s">
        <v>958</v>
      </c>
    </row>
    <row customHeight="1" ht="11.25">
      <c r="A326" s="7976" t="s">
        <v>2530</v>
      </c>
      <c r="B326" s="7976" t="s">
        <v>16</v>
      </c>
      <c r="C326" s="7976" t="s">
        <v>3158</v>
      </c>
      <c r="D326" s="7976" t="s">
        <v>3159</v>
      </c>
      <c r="E326" s="7976" t="s">
        <v>3160</v>
      </c>
      <c r="F326" s="7976" t="s">
        <v>2652</v>
      </c>
      <c r="G326" s="7976" t="s">
        <v>3161</v>
      </c>
      <c r="H326" s="7976" t="s">
        <v>22</v>
      </c>
      <c r="I326" s="7976" t="s">
        <v>958</v>
      </c>
    </row>
    <row customHeight="1" ht="11.25">
      <c r="A327" s="7976" t="s">
        <v>2530</v>
      </c>
      <c r="B327" s="7976" t="s">
        <v>16</v>
      </c>
      <c r="C327" s="7976" t="s">
        <v>3176</v>
      </c>
      <c r="D327" s="7976" t="s">
        <v>3177</v>
      </c>
      <c r="E327" s="7976" t="s">
        <v>3178</v>
      </c>
      <c r="F327" s="7976" t="s">
        <v>2573</v>
      </c>
      <c r="G327" s="7976" t="s">
        <v>22</v>
      </c>
      <c r="H327" s="7976" t="s">
        <v>22</v>
      </c>
      <c r="I327" s="7976" t="s">
        <v>958</v>
      </c>
    </row>
    <row customHeight="1" ht="11.25">
      <c r="A328" s="7976" t="s">
        <v>2530</v>
      </c>
      <c r="B328" s="7976" t="s">
        <v>16</v>
      </c>
      <c r="C328" s="7976" t="s">
        <v>3179</v>
      </c>
      <c r="D328" s="7976" t="s">
        <v>3180</v>
      </c>
      <c r="E328" s="7976" t="s">
        <v>3181</v>
      </c>
      <c r="F328" s="7976" t="s">
        <v>2602</v>
      </c>
      <c r="G328" s="7976" t="s">
        <v>22</v>
      </c>
      <c r="H328" s="7976" t="s">
        <v>22</v>
      </c>
      <c r="I328" s="7976" t="s">
        <v>958</v>
      </c>
    </row>
    <row customHeight="1" ht="11.25">
      <c r="A329" s="7976" t="s">
        <v>2530</v>
      </c>
      <c r="B329" s="7976" t="s">
        <v>16</v>
      </c>
      <c r="C329" s="7976" t="s">
        <v>3182</v>
      </c>
      <c r="D329" s="7976" t="s">
        <v>3183</v>
      </c>
      <c r="E329" s="7976" t="s">
        <v>3184</v>
      </c>
      <c r="F329" s="7976" t="s">
        <v>2802</v>
      </c>
      <c r="G329" s="7976" t="s">
        <v>3185</v>
      </c>
      <c r="H329" s="7976" t="s">
        <v>22</v>
      </c>
      <c r="I329" s="7976" t="s">
        <v>958</v>
      </c>
    </row>
    <row customHeight="1" ht="11.25">
      <c r="A330" s="7976" t="s">
        <v>2530</v>
      </c>
      <c r="B330" s="7976" t="s">
        <v>16</v>
      </c>
      <c r="C330" s="7976" t="s">
        <v>3189</v>
      </c>
      <c r="D330" s="7976" t="s">
        <v>3190</v>
      </c>
      <c r="E330" s="7976" t="s">
        <v>3191</v>
      </c>
      <c r="F330" s="7976" t="s">
        <v>2561</v>
      </c>
      <c r="G330" s="7976" t="s">
        <v>3192</v>
      </c>
      <c r="H330" s="7976" t="s">
        <v>22</v>
      </c>
      <c r="I330" s="7976" t="s">
        <v>958</v>
      </c>
    </row>
    <row customHeight="1" ht="11.25">
      <c r="A331" s="7976" t="s">
        <v>2530</v>
      </c>
      <c r="B331" s="7976" t="s">
        <v>16</v>
      </c>
      <c r="C331" s="7976" t="s">
        <v>3196</v>
      </c>
      <c r="D331" s="7976" t="s">
        <v>3197</v>
      </c>
      <c r="E331" s="7976" t="s">
        <v>3198</v>
      </c>
      <c r="F331" s="7976" t="s">
        <v>2907</v>
      </c>
      <c r="G331" s="7976" t="s">
        <v>22</v>
      </c>
      <c r="H331" s="7976" t="s">
        <v>22</v>
      </c>
      <c r="I331" s="7976" t="s">
        <v>958</v>
      </c>
    </row>
    <row customHeight="1" ht="11.25">
      <c r="A332" s="7976" t="s">
        <v>2530</v>
      </c>
      <c r="B332" s="7976" t="s">
        <v>16</v>
      </c>
      <c r="C332" s="7976" t="s">
        <v>3199</v>
      </c>
      <c r="D332" s="7976" t="s">
        <v>3200</v>
      </c>
      <c r="E332" s="7976" t="s">
        <v>3201</v>
      </c>
      <c r="F332" s="7976" t="s">
        <v>2907</v>
      </c>
      <c r="G332" s="7976" t="s">
        <v>3030</v>
      </c>
      <c r="H332" s="7976" t="s">
        <v>22</v>
      </c>
      <c r="I332" s="7976" t="s">
        <v>958</v>
      </c>
    </row>
    <row customHeight="1" ht="11.25">
      <c r="A333" s="7976" t="s">
        <v>2530</v>
      </c>
      <c r="B333" s="7976" t="s">
        <v>16</v>
      </c>
      <c r="C333" s="7976" t="s">
        <v>3202</v>
      </c>
      <c r="D333" s="7976" t="s">
        <v>3203</v>
      </c>
      <c r="E333" s="7976" t="s">
        <v>3204</v>
      </c>
      <c r="F333" s="7976" t="s">
        <v>3205</v>
      </c>
      <c r="G333" s="7976" t="s">
        <v>3206</v>
      </c>
      <c r="H333" s="7976" t="s">
        <v>22</v>
      </c>
      <c r="I333" s="7976" t="s">
        <v>958</v>
      </c>
    </row>
    <row customHeight="1" ht="11.25">
      <c r="A334" s="7976" t="s">
        <v>2530</v>
      </c>
      <c r="B334" s="7976" t="s">
        <v>16</v>
      </c>
      <c r="C334" s="7976" t="s">
        <v>3207</v>
      </c>
      <c r="D334" s="7976" t="s">
        <v>3208</v>
      </c>
      <c r="E334" s="7976" t="s">
        <v>3209</v>
      </c>
      <c r="F334" s="7976" t="s">
        <v>2551</v>
      </c>
      <c r="G334" s="7976" t="s">
        <v>3210</v>
      </c>
      <c r="H334" s="7976" t="s">
        <v>22</v>
      </c>
      <c r="I334" s="7976" t="s">
        <v>958</v>
      </c>
    </row>
    <row customHeight="1" ht="11.25">
      <c r="A335" s="7976" t="s">
        <v>2530</v>
      </c>
      <c r="B335" s="7976" t="s">
        <v>16</v>
      </c>
      <c r="C335" s="7976" t="s">
        <v>3211</v>
      </c>
      <c r="D335" s="7976" t="s">
        <v>3212</v>
      </c>
      <c r="E335" s="7976" t="s">
        <v>3213</v>
      </c>
      <c r="F335" s="7976" t="s">
        <v>2907</v>
      </c>
      <c r="G335" s="7976" t="s">
        <v>22</v>
      </c>
      <c r="H335" s="7976" t="s">
        <v>22</v>
      </c>
      <c r="I335" s="7976" t="s">
        <v>958</v>
      </c>
    </row>
    <row customHeight="1" ht="11.25">
      <c r="A336" s="7976" t="s">
        <v>2530</v>
      </c>
      <c r="B336" s="7976" t="s">
        <v>16</v>
      </c>
      <c r="C336" s="7976" t="s">
        <v>3214</v>
      </c>
      <c r="D336" s="7976" t="s">
        <v>3215</v>
      </c>
      <c r="E336" s="7976" t="s">
        <v>3216</v>
      </c>
      <c r="F336" s="7976" t="s">
        <v>2907</v>
      </c>
      <c r="G336" s="7976" t="s">
        <v>3030</v>
      </c>
      <c r="H336" s="7976" t="s">
        <v>22</v>
      </c>
      <c r="I336" s="7976" t="s">
        <v>958</v>
      </c>
    </row>
    <row customHeight="1" ht="11.25">
      <c r="A337" s="7976" t="s">
        <v>2530</v>
      </c>
      <c r="B337" s="7976" t="s">
        <v>16</v>
      </c>
      <c r="C337" s="7976" t="s">
        <v>3217</v>
      </c>
      <c r="D337" s="7976" t="s">
        <v>3218</v>
      </c>
      <c r="E337" s="7976" t="s">
        <v>3219</v>
      </c>
      <c r="F337" s="7976" t="s">
        <v>3091</v>
      </c>
      <c r="G337" s="7976" t="s">
        <v>3220</v>
      </c>
      <c r="H337" s="7976" t="s">
        <v>22</v>
      </c>
      <c r="I337" s="7976" t="s">
        <v>958</v>
      </c>
    </row>
    <row customHeight="1" ht="11.25">
      <c r="A338" s="7976" t="s">
        <v>2530</v>
      </c>
      <c r="B338" s="7976" t="s">
        <v>16</v>
      </c>
      <c r="C338" s="7976" t="s">
        <v>3235</v>
      </c>
      <c r="D338" s="7976" t="s">
        <v>3236</v>
      </c>
      <c r="E338" s="7976" t="s">
        <v>3237</v>
      </c>
      <c r="F338" s="7976" t="s">
        <v>2802</v>
      </c>
      <c r="G338" s="7976" t="s">
        <v>22</v>
      </c>
      <c r="H338" s="7976" t="s">
        <v>3238</v>
      </c>
      <c r="I338" s="7976" t="s">
        <v>958</v>
      </c>
    </row>
    <row customHeight="1" ht="11.25">
      <c r="A339" s="7976" t="s">
        <v>2530</v>
      </c>
      <c r="B339" s="7976" t="s">
        <v>16</v>
      </c>
      <c r="C339" s="7976" t="s">
        <v>3239</v>
      </c>
      <c r="D339" s="7976" t="s">
        <v>3240</v>
      </c>
      <c r="E339" s="7976" t="s">
        <v>3241</v>
      </c>
      <c r="F339" s="7976" t="s">
        <v>2539</v>
      </c>
      <c r="G339" s="7976" t="s">
        <v>22</v>
      </c>
      <c r="H339" s="7976" t="s">
        <v>22</v>
      </c>
      <c r="I339" s="7976" t="s">
        <v>958</v>
      </c>
    </row>
    <row customHeight="1" ht="11.25">
      <c r="A340" s="7976" t="s">
        <v>2530</v>
      </c>
      <c r="B340" s="7976" t="s">
        <v>16</v>
      </c>
      <c r="C340" s="7976" t="s">
        <v>3242</v>
      </c>
      <c r="D340" s="7976" t="s">
        <v>3243</v>
      </c>
      <c r="E340" s="7976" t="s">
        <v>3244</v>
      </c>
      <c r="F340" s="7976" t="s">
        <v>2743</v>
      </c>
      <c r="G340" s="7976" t="s">
        <v>22</v>
      </c>
      <c r="H340" s="7976" t="s">
        <v>3245</v>
      </c>
      <c r="I340" s="7976" t="s">
        <v>958</v>
      </c>
    </row>
    <row customHeight="1" ht="11.25">
      <c r="A341" s="7976" t="s">
        <v>2530</v>
      </c>
      <c r="B341" s="7976" t="s">
        <v>16</v>
      </c>
      <c r="C341" s="7976" t="s">
        <v>3246</v>
      </c>
      <c r="D341" s="7976" t="s">
        <v>3243</v>
      </c>
      <c r="E341" s="7976" t="s">
        <v>3247</v>
      </c>
      <c r="F341" s="7976" t="s">
        <v>2954</v>
      </c>
      <c r="G341" s="7976" t="s">
        <v>3248</v>
      </c>
      <c r="H341" s="7976" t="s">
        <v>22</v>
      </c>
      <c r="I341" s="7976" t="s">
        <v>958</v>
      </c>
    </row>
    <row customHeight="1" ht="11.25">
      <c r="A342" s="7976" t="s">
        <v>2530</v>
      </c>
      <c r="B342" s="7976" t="s">
        <v>16</v>
      </c>
      <c r="C342" s="7976" t="s">
        <v>3260</v>
      </c>
      <c r="D342" s="7976" t="s">
        <v>3261</v>
      </c>
      <c r="E342" s="7976" t="s">
        <v>3262</v>
      </c>
      <c r="F342" s="7976" t="s">
        <v>2561</v>
      </c>
      <c r="G342" s="7976" t="s">
        <v>3263</v>
      </c>
      <c r="H342" s="7976" t="s">
        <v>22</v>
      </c>
      <c r="I342" s="7976" t="s">
        <v>958</v>
      </c>
    </row>
    <row customHeight="1" ht="11.25">
      <c r="A343" s="7976" t="s">
        <v>2530</v>
      </c>
      <c r="B343" s="7976" t="s">
        <v>16</v>
      </c>
      <c r="C343" s="7976" t="s">
        <v>3264</v>
      </c>
      <c r="D343" s="7976" t="s">
        <v>3265</v>
      </c>
      <c r="E343" s="7976" t="s">
        <v>3266</v>
      </c>
      <c r="F343" s="7976" t="s">
        <v>2597</v>
      </c>
      <c r="G343" s="7976" t="s">
        <v>22</v>
      </c>
      <c r="H343" s="7976" t="s">
        <v>3267</v>
      </c>
      <c r="I343" s="7976" t="s">
        <v>958</v>
      </c>
    </row>
    <row customHeight="1" ht="11.25">
      <c r="A344" s="7976" t="s">
        <v>2530</v>
      </c>
      <c r="B344" s="7976" t="s">
        <v>16</v>
      </c>
      <c r="C344" s="7976" t="s">
        <v>3271</v>
      </c>
      <c r="D344" s="7976" t="s">
        <v>3272</v>
      </c>
      <c r="E344" s="7976" t="s">
        <v>3273</v>
      </c>
      <c r="F344" s="7976" t="s">
        <v>2652</v>
      </c>
      <c r="G344" s="7976" t="s">
        <v>3274</v>
      </c>
      <c r="H344" s="7976" t="s">
        <v>22</v>
      </c>
      <c r="I344" s="7976" t="s">
        <v>958</v>
      </c>
    </row>
    <row customHeight="1" ht="11.25">
      <c r="A345" s="7976" t="s">
        <v>2530</v>
      </c>
      <c r="B345" s="7976" t="s">
        <v>16</v>
      </c>
      <c r="C345" s="7976" t="s">
        <v>3275</v>
      </c>
      <c r="D345" s="7976" t="s">
        <v>3272</v>
      </c>
      <c r="E345" s="7976" t="s">
        <v>3276</v>
      </c>
      <c r="F345" s="7976" t="s">
        <v>2636</v>
      </c>
      <c r="G345" s="7976" t="s">
        <v>22</v>
      </c>
      <c r="H345" s="7976" t="s">
        <v>22</v>
      </c>
      <c r="I345" s="7976" t="s">
        <v>958</v>
      </c>
    </row>
    <row customHeight="1" ht="11.25">
      <c r="A346" s="7976" t="s">
        <v>2530</v>
      </c>
      <c r="B346" s="7976" t="s">
        <v>16</v>
      </c>
      <c r="C346" s="7976" t="s">
        <v>3280</v>
      </c>
      <c r="D346" s="7976" t="s">
        <v>3281</v>
      </c>
      <c r="E346" s="7976" t="s">
        <v>3282</v>
      </c>
      <c r="F346" s="7976" t="s">
        <v>2573</v>
      </c>
      <c r="G346" s="7976" t="s">
        <v>3283</v>
      </c>
      <c r="H346" s="7976" t="s">
        <v>22</v>
      </c>
      <c r="I346" s="7976" t="s">
        <v>958</v>
      </c>
    </row>
    <row customHeight="1" ht="11.25">
      <c r="A347" s="7976" t="s">
        <v>2530</v>
      </c>
      <c r="B347" s="7976" t="s">
        <v>16</v>
      </c>
      <c r="C347" s="7976" t="s">
        <v>3302</v>
      </c>
      <c r="D347" s="7976" t="s">
        <v>3303</v>
      </c>
      <c r="E347" s="7976" t="s">
        <v>3304</v>
      </c>
      <c r="F347" s="7976" t="s">
        <v>2907</v>
      </c>
      <c r="G347" s="7976" t="s">
        <v>3305</v>
      </c>
      <c r="H347" s="7976" t="s">
        <v>22</v>
      </c>
      <c r="I347" s="7976" t="s">
        <v>958</v>
      </c>
    </row>
    <row customHeight="1" ht="11.25">
      <c r="A348" s="7976" t="s">
        <v>2530</v>
      </c>
      <c r="B348" s="7976" t="s">
        <v>16</v>
      </c>
      <c r="C348" s="7976" t="s">
        <v>3306</v>
      </c>
      <c r="D348" s="7976" t="s">
        <v>3307</v>
      </c>
      <c r="E348" s="7976" t="s">
        <v>3308</v>
      </c>
      <c r="F348" s="7976" t="s">
        <v>2907</v>
      </c>
      <c r="G348" s="7976" t="s">
        <v>3309</v>
      </c>
      <c r="H348" s="7976" t="s">
        <v>22</v>
      </c>
      <c r="I348" s="7976" t="s">
        <v>958</v>
      </c>
    </row>
    <row customHeight="1" ht="11.25">
      <c r="A349" s="7976" t="s">
        <v>2530</v>
      </c>
      <c r="B349" s="7976" t="s">
        <v>16</v>
      </c>
      <c r="C349" s="7976" t="s">
        <v>3310</v>
      </c>
      <c r="D349" s="7976" t="s">
        <v>3311</v>
      </c>
      <c r="E349" s="7976" t="s">
        <v>3312</v>
      </c>
      <c r="F349" s="7976" t="s">
        <v>2907</v>
      </c>
      <c r="G349" s="7976" t="s">
        <v>3309</v>
      </c>
      <c r="H349" s="7976" t="s">
        <v>22</v>
      </c>
      <c r="I349" s="7976" t="s">
        <v>958</v>
      </c>
    </row>
    <row customHeight="1" ht="11.25">
      <c r="A350" s="7976" t="s">
        <v>2530</v>
      </c>
      <c r="B350" s="7976" t="s">
        <v>16</v>
      </c>
      <c r="C350" s="7976" t="s">
        <v>3313</v>
      </c>
      <c r="D350" s="7976" t="s">
        <v>3314</v>
      </c>
      <c r="E350" s="7976" t="s">
        <v>3315</v>
      </c>
      <c r="F350" s="7976" t="s">
        <v>2907</v>
      </c>
      <c r="G350" s="7976" t="s">
        <v>3305</v>
      </c>
      <c r="H350" s="7976" t="s">
        <v>22</v>
      </c>
      <c r="I350" s="7976" t="s">
        <v>958</v>
      </c>
    </row>
    <row customHeight="1" ht="11.25">
      <c r="A351" s="7976" t="s">
        <v>2530</v>
      </c>
      <c r="B351" s="7976" t="s">
        <v>16</v>
      </c>
      <c r="C351" s="7976" t="s">
        <v>3316</v>
      </c>
      <c r="D351" s="7976" t="s">
        <v>3317</v>
      </c>
      <c r="E351" s="7976" t="s">
        <v>3318</v>
      </c>
      <c r="F351" s="7976" t="s">
        <v>2602</v>
      </c>
      <c r="G351" s="7976" t="s">
        <v>3319</v>
      </c>
      <c r="H351" s="7976" t="s">
        <v>22</v>
      </c>
      <c r="I351" s="7976" t="s">
        <v>958</v>
      </c>
    </row>
    <row customHeight="1" ht="11.25">
      <c r="A352" s="7976" t="s">
        <v>2530</v>
      </c>
      <c r="B352" s="7976" t="s">
        <v>16</v>
      </c>
      <c r="C352" s="7976" t="s">
        <v>3328</v>
      </c>
      <c r="D352" s="7976" t="s">
        <v>3329</v>
      </c>
      <c r="E352" s="7976" t="s">
        <v>3330</v>
      </c>
      <c r="F352" s="7976" t="s">
        <v>2561</v>
      </c>
      <c r="G352" s="7976" t="s">
        <v>22</v>
      </c>
      <c r="H352" s="7976" t="s">
        <v>22</v>
      </c>
      <c r="I352" s="7976" t="s">
        <v>958</v>
      </c>
    </row>
    <row customHeight="1" ht="11.25">
      <c r="A353" s="7976" t="s">
        <v>2530</v>
      </c>
      <c r="B353" s="7976" t="s">
        <v>16</v>
      </c>
      <c r="C353" s="7976" t="s">
        <v>3331</v>
      </c>
      <c r="D353" s="7976" t="s">
        <v>3332</v>
      </c>
      <c r="E353" s="7976" t="s">
        <v>3333</v>
      </c>
      <c r="F353" s="7976" t="s">
        <v>2630</v>
      </c>
      <c r="G353" s="7976" t="s">
        <v>22</v>
      </c>
      <c r="H353" s="7976" t="s">
        <v>22</v>
      </c>
      <c r="I353" s="7976" t="s">
        <v>958</v>
      </c>
    </row>
    <row customHeight="1" ht="11.25">
      <c r="A354" s="7976" t="s">
        <v>2530</v>
      </c>
      <c r="B354" s="7976" t="s">
        <v>16</v>
      </c>
      <c r="C354" s="7976" t="s">
        <v>3334</v>
      </c>
      <c r="D354" s="7976" t="s">
        <v>3335</v>
      </c>
      <c r="E354" s="7976" t="s">
        <v>3336</v>
      </c>
      <c r="F354" s="7976" t="s">
        <v>2561</v>
      </c>
      <c r="G354" s="7976" t="s">
        <v>3337</v>
      </c>
      <c r="H354" s="7976" t="s">
        <v>22</v>
      </c>
      <c r="I354" s="7976" t="s">
        <v>958</v>
      </c>
    </row>
    <row customHeight="1" ht="11.25">
      <c r="A355" s="7976" t="s">
        <v>2530</v>
      </c>
      <c r="B355" s="7976" t="s">
        <v>16</v>
      </c>
      <c r="C355" s="7976" t="s">
        <v>3342</v>
      </c>
      <c r="D355" s="7976" t="s">
        <v>3343</v>
      </c>
      <c r="E355" s="7976" t="s">
        <v>3344</v>
      </c>
      <c r="F355" s="7976" t="s">
        <v>2561</v>
      </c>
      <c r="G355" s="7976" t="s">
        <v>22</v>
      </c>
      <c r="H355" s="7976" t="s">
        <v>22</v>
      </c>
      <c r="I355" s="7976" t="s">
        <v>958</v>
      </c>
    </row>
    <row customHeight="1" ht="11.25">
      <c r="A356" s="7976" t="s">
        <v>2530</v>
      </c>
      <c r="B356" s="7976" t="s">
        <v>16</v>
      </c>
      <c r="C356" s="7976" t="s">
        <v>3349</v>
      </c>
      <c r="D356" s="7976" t="s">
        <v>3350</v>
      </c>
      <c r="E356" s="7976" t="s">
        <v>3351</v>
      </c>
      <c r="F356" s="7976" t="s">
        <v>3056</v>
      </c>
      <c r="G356" s="7976" t="s">
        <v>3352</v>
      </c>
      <c r="H356" s="7976" t="s">
        <v>22</v>
      </c>
      <c r="I356" s="7976" t="s">
        <v>958</v>
      </c>
    </row>
    <row customHeight="1" ht="11.25">
      <c r="A357" s="7976" t="s">
        <v>2530</v>
      </c>
      <c r="B357" s="7976" t="s">
        <v>16</v>
      </c>
      <c r="C357" s="7976" t="s">
        <v>3358</v>
      </c>
      <c r="D357" s="7976" t="s">
        <v>3359</v>
      </c>
      <c r="E357" s="7976" t="s">
        <v>3360</v>
      </c>
      <c r="F357" s="7976" t="s">
        <v>2907</v>
      </c>
      <c r="G357" s="7976" t="s">
        <v>3361</v>
      </c>
      <c r="H357" s="7976" t="s">
        <v>22</v>
      </c>
      <c r="I357" s="7976" t="s">
        <v>958</v>
      </c>
    </row>
    <row customHeight="1" ht="11.25">
      <c r="A358" s="7976" t="s">
        <v>2530</v>
      </c>
      <c r="B358" s="7976" t="s">
        <v>16</v>
      </c>
      <c r="C358" s="7976" t="s">
        <v>3362</v>
      </c>
      <c r="D358" s="7976" t="s">
        <v>3363</v>
      </c>
      <c r="E358" s="7976" t="s">
        <v>3364</v>
      </c>
      <c r="F358" s="7976" t="s">
        <v>2907</v>
      </c>
      <c r="G358" s="7976" t="s">
        <v>3365</v>
      </c>
      <c r="H358" s="7976" t="s">
        <v>22</v>
      </c>
      <c r="I358" s="7976" t="s">
        <v>958</v>
      </c>
    </row>
    <row customHeight="1" ht="11.25">
      <c r="A359" s="7976" t="s">
        <v>2530</v>
      </c>
      <c r="B359" s="7976" t="s">
        <v>16</v>
      </c>
      <c r="C359" s="7976" t="s">
        <v>3366</v>
      </c>
      <c r="D359" s="7976" t="s">
        <v>3367</v>
      </c>
      <c r="E359" s="7976" t="s">
        <v>3368</v>
      </c>
      <c r="F359" s="7976" t="s">
        <v>2907</v>
      </c>
      <c r="G359" s="7976" t="s">
        <v>3369</v>
      </c>
      <c r="H359" s="7976" t="s">
        <v>22</v>
      </c>
      <c r="I359" s="7976" t="s">
        <v>958</v>
      </c>
    </row>
    <row customHeight="1" ht="11.25">
      <c r="A360" s="7976" t="s">
        <v>2530</v>
      </c>
      <c r="B360" s="7976" t="s">
        <v>16</v>
      </c>
      <c r="C360" s="7976" t="s">
        <v>3379</v>
      </c>
      <c r="D360" s="7976" t="s">
        <v>3380</v>
      </c>
      <c r="E360" s="7976" t="s">
        <v>3381</v>
      </c>
      <c r="F360" s="7976" t="s">
        <v>2573</v>
      </c>
      <c r="G360" s="7976" t="s">
        <v>22</v>
      </c>
      <c r="H360" s="7976" t="s">
        <v>22</v>
      </c>
      <c r="I360" s="7976" t="s">
        <v>958</v>
      </c>
    </row>
    <row customHeight="1" ht="11.25">
      <c r="A361" s="7976" t="s">
        <v>2530</v>
      </c>
      <c r="B361" s="7976" t="s">
        <v>16</v>
      </c>
      <c r="C361" s="7976" t="s">
        <v>3382</v>
      </c>
      <c r="D361" s="7976" t="s">
        <v>3383</v>
      </c>
      <c r="E361" s="7976" t="s">
        <v>3384</v>
      </c>
      <c r="F361" s="7976" t="s">
        <v>2561</v>
      </c>
      <c r="G361" s="7976" t="s">
        <v>3385</v>
      </c>
      <c r="H361" s="7976" t="s">
        <v>22</v>
      </c>
      <c r="I361" s="7976" t="s">
        <v>958</v>
      </c>
    </row>
    <row customHeight="1" ht="11.25">
      <c r="A362" s="7976" t="s">
        <v>2530</v>
      </c>
      <c r="B362" s="7976" t="s">
        <v>16</v>
      </c>
      <c r="C362" s="7976" t="s">
        <v>3386</v>
      </c>
      <c r="D362" s="7976" t="s">
        <v>3387</v>
      </c>
      <c r="E362" s="7976" t="s">
        <v>3388</v>
      </c>
      <c r="F362" s="7976" t="s">
        <v>2539</v>
      </c>
      <c r="G362" s="7976" t="s">
        <v>3389</v>
      </c>
      <c r="H362" s="7976" t="s">
        <v>22</v>
      </c>
      <c r="I362" s="7976" t="s">
        <v>958</v>
      </c>
    </row>
    <row customHeight="1" ht="11.25">
      <c r="A363" s="7976" t="s">
        <v>2530</v>
      </c>
      <c r="B363" s="7976" t="s">
        <v>16</v>
      </c>
      <c r="C363" s="7976" t="s">
        <v>3397</v>
      </c>
      <c r="D363" s="7976" t="s">
        <v>3398</v>
      </c>
      <c r="E363" s="7976" t="s">
        <v>3399</v>
      </c>
      <c r="F363" s="7976" t="s">
        <v>2670</v>
      </c>
      <c r="G363" s="7976" t="s">
        <v>3400</v>
      </c>
      <c r="H363" s="7976" t="s">
        <v>22</v>
      </c>
      <c r="I363" s="7976" t="s">
        <v>958</v>
      </c>
    </row>
    <row customHeight="1" ht="11.25">
      <c r="A364" s="7976" t="s">
        <v>2530</v>
      </c>
      <c r="B364" s="7976" t="s">
        <v>16</v>
      </c>
      <c r="C364" s="7976" t="s">
        <v>3405</v>
      </c>
      <c r="D364" s="7976" t="s">
        <v>3406</v>
      </c>
      <c r="E364" s="7976" t="s">
        <v>3407</v>
      </c>
      <c r="F364" s="7976" t="s">
        <v>2551</v>
      </c>
      <c r="G364" s="7976" t="s">
        <v>3408</v>
      </c>
      <c r="H364" s="7976" t="s">
        <v>22</v>
      </c>
      <c r="I364" s="7976" t="s">
        <v>958</v>
      </c>
    </row>
    <row customHeight="1" ht="11.25">
      <c r="A365" s="7976" t="s">
        <v>2530</v>
      </c>
      <c r="B365" s="7976" t="s">
        <v>16</v>
      </c>
      <c r="C365" s="7976" t="s">
        <v>3409</v>
      </c>
      <c r="D365" s="7976" t="s">
        <v>3410</v>
      </c>
      <c r="E365" s="7976" t="s">
        <v>3411</v>
      </c>
      <c r="F365" s="7976" t="s">
        <v>2648</v>
      </c>
      <c r="G365" s="7976" t="s">
        <v>22</v>
      </c>
      <c r="H365" s="7976" t="s">
        <v>22</v>
      </c>
      <c r="I365" s="7976" t="s">
        <v>958</v>
      </c>
    </row>
    <row customHeight="1" ht="11.25">
      <c r="A366" s="7976" t="s">
        <v>2530</v>
      </c>
      <c r="B366" s="7976" t="s">
        <v>16</v>
      </c>
      <c r="C366" s="7976" t="s">
        <v>3412</v>
      </c>
      <c r="D366" s="7976" t="s">
        <v>3413</v>
      </c>
      <c r="E366" s="7976" t="s">
        <v>3414</v>
      </c>
      <c r="F366" s="7976" t="s">
        <v>2630</v>
      </c>
      <c r="G366" s="7976" t="s">
        <v>22</v>
      </c>
      <c r="H366" s="7976" t="s">
        <v>22</v>
      </c>
      <c r="I366" s="7976" t="s">
        <v>958</v>
      </c>
    </row>
    <row customHeight="1" ht="11.25">
      <c r="A367" s="7976" t="s">
        <v>2530</v>
      </c>
      <c r="B367" s="7976" t="s">
        <v>16</v>
      </c>
      <c r="C367" s="7976" t="s">
        <v>3415</v>
      </c>
      <c r="D367" s="7976" t="s">
        <v>3416</v>
      </c>
      <c r="E367" s="7976" t="s">
        <v>3417</v>
      </c>
      <c r="F367" s="7976" t="s">
        <v>2802</v>
      </c>
      <c r="G367" s="7976" t="s">
        <v>22</v>
      </c>
      <c r="H367" s="7976" t="s">
        <v>22</v>
      </c>
      <c r="I367" s="7976" t="s">
        <v>958</v>
      </c>
    </row>
    <row customHeight="1" ht="11.25">
      <c r="A368" s="7976" t="s">
        <v>2530</v>
      </c>
      <c r="B368" s="7976" t="s">
        <v>16</v>
      </c>
      <c r="C368" s="7976" t="s">
        <v>3422</v>
      </c>
      <c r="D368" s="7976" t="s">
        <v>3423</v>
      </c>
      <c r="E368" s="7976" t="s">
        <v>3424</v>
      </c>
      <c r="F368" s="7976" t="s">
        <v>2597</v>
      </c>
      <c r="G368" s="7976" t="s">
        <v>22</v>
      </c>
      <c r="H368" s="7976" t="s">
        <v>22</v>
      </c>
      <c r="I368" s="7976" t="s">
        <v>958</v>
      </c>
    </row>
    <row customHeight="1" ht="11.25">
      <c r="A369" s="7976" t="s">
        <v>2530</v>
      </c>
      <c r="B369" s="7976" t="s">
        <v>16</v>
      </c>
      <c r="C369" s="7976" t="s">
        <v>13</v>
      </c>
      <c r="D369" s="7976" t="s">
        <v>46</v>
      </c>
      <c r="E369" s="7976" t="s">
        <v>49</v>
      </c>
      <c r="F369" s="7976" t="s">
        <v>51</v>
      </c>
      <c r="G369" s="7976" t="s">
        <v>22</v>
      </c>
      <c r="H369" s="7976" t="s">
        <v>22</v>
      </c>
      <c r="I369" s="7976" t="s">
        <v>958</v>
      </c>
    </row>
    <row customHeight="1" ht="11.25">
      <c r="A370" s="7976" t="s">
        <v>2530</v>
      </c>
      <c r="B370" s="7976" t="s">
        <v>16</v>
      </c>
      <c r="C370" s="7976" t="s">
        <v>3425</v>
      </c>
      <c r="D370" s="7976" t="s">
        <v>3426</v>
      </c>
      <c r="E370" s="7976" t="s">
        <v>3427</v>
      </c>
      <c r="F370" s="7976" t="s">
        <v>3428</v>
      </c>
      <c r="G370" s="7976" t="s">
        <v>22</v>
      </c>
      <c r="H370" s="7976" t="s">
        <v>22</v>
      </c>
      <c r="I370" s="7976" t="s">
        <v>958</v>
      </c>
    </row>
    <row customHeight="1" ht="11.25">
      <c r="A371" s="7976" t="s">
        <v>2530</v>
      </c>
      <c r="B371" s="7976" t="s">
        <v>16</v>
      </c>
      <c r="C371" s="7976" t="s">
        <v>22</v>
      </c>
      <c r="D371" s="7976" t="s">
        <v>3435</v>
      </c>
      <c r="E371" s="7976" t="s">
        <v>3436</v>
      </c>
      <c r="F371" s="7976" t="s">
        <v>2573</v>
      </c>
      <c r="G371" s="7976" t="s">
        <v>22</v>
      </c>
      <c r="H371" s="7976" t="s">
        <v>22</v>
      </c>
      <c r="I371" s="7976" t="s">
        <v>958</v>
      </c>
    </row>
    <row customHeight="1" ht="11.25">
      <c r="A372" s="7976" t="s">
        <v>2530</v>
      </c>
      <c r="B372" s="7976" t="s">
        <v>16</v>
      </c>
      <c r="C372" s="7976" t="s">
        <v>3437</v>
      </c>
      <c r="D372" s="7976" t="s">
        <v>3438</v>
      </c>
      <c r="E372" s="7976" t="s">
        <v>2813</v>
      </c>
      <c r="F372" s="7976" t="s">
        <v>3439</v>
      </c>
      <c r="G372" s="7976" t="s">
        <v>22</v>
      </c>
      <c r="H372" s="7976" t="s">
        <v>22</v>
      </c>
      <c r="I372" s="7976" t="s">
        <v>958</v>
      </c>
    </row>
    <row customHeight="1" ht="11.25">
      <c r="A373" s="7976" t="s">
        <v>2530</v>
      </c>
      <c r="B373" s="7976" t="s">
        <v>16</v>
      </c>
      <c r="C373" s="7976" t="s">
        <v>3443</v>
      </c>
      <c r="D373" s="7976" t="s">
        <v>3444</v>
      </c>
      <c r="E373" s="7976" t="s">
        <v>2813</v>
      </c>
      <c r="F373" s="7976" t="s">
        <v>3445</v>
      </c>
      <c r="G373" s="7976" t="s">
        <v>22</v>
      </c>
      <c r="H373" s="7976" t="s">
        <v>22</v>
      </c>
      <c r="I373" s="7976" t="s">
        <v>958</v>
      </c>
    </row>
    <row customHeight="1" ht="11.25">
      <c r="A374" s="7976" t="s">
        <v>2530</v>
      </c>
      <c r="B374" s="7976" t="s">
        <v>16</v>
      </c>
      <c r="C374" s="7976" t="s">
        <v>3497</v>
      </c>
      <c r="D374" s="7976" t="s">
        <v>3498</v>
      </c>
      <c r="E374" s="7976" t="s">
        <v>3499</v>
      </c>
      <c r="F374" s="7976" t="s">
        <v>2573</v>
      </c>
      <c r="G374" s="7976" t="s">
        <v>3500</v>
      </c>
      <c r="H374" s="7976" t="s">
        <v>22</v>
      </c>
      <c r="I374" s="7976" t="s">
        <v>958</v>
      </c>
    </row>
    <row customHeight="1" ht="11.25">
      <c r="A375" s="7976" t="s">
        <v>2530</v>
      </c>
      <c r="B375" s="7976" t="s">
        <v>16</v>
      </c>
      <c r="C375" s="7976" t="s">
        <v>3449</v>
      </c>
      <c r="D375" s="7976" t="s">
        <v>3450</v>
      </c>
      <c r="E375" s="7976" t="s">
        <v>2813</v>
      </c>
      <c r="F375" s="7976" t="s">
        <v>2573</v>
      </c>
      <c r="G375" s="7976" t="s">
        <v>3451</v>
      </c>
      <c r="H375" s="7976" t="s">
        <v>22</v>
      </c>
      <c r="I375" s="7976" t="s">
        <v>958</v>
      </c>
    </row>
    <row customHeight="1" ht="11.25">
      <c r="A376" s="7976" t="s">
        <v>2530</v>
      </c>
      <c r="B376" s="7976" t="s">
        <v>16</v>
      </c>
      <c r="C376" s="7976" t="s">
        <v>3452</v>
      </c>
      <c r="D376" s="7976" t="s">
        <v>3453</v>
      </c>
      <c r="E376" s="7976" t="s">
        <v>3454</v>
      </c>
      <c r="F376" s="7976" t="s">
        <v>2573</v>
      </c>
      <c r="G376" s="7976" t="s">
        <v>3455</v>
      </c>
      <c r="H376" s="7976" t="s">
        <v>22</v>
      </c>
      <c r="I376" s="7976" t="s">
        <v>958</v>
      </c>
    </row>
    <row customHeight="1" ht="11.25">
      <c r="A377" s="7976" t="s">
        <v>2530</v>
      </c>
      <c r="B377" s="7976" t="s">
        <v>16</v>
      </c>
      <c r="C377" s="7976" t="s">
        <v>3456</v>
      </c>
      <c r="D377" s="7976" t="s">
        <v>3457</v>
      </c>
      <c r="E377" s="7976" t="s">
        <v>3458</v>
      </c>
      <c r="F377" s="7976" t="s">
        <v>51</v>
      </c>
      <c r="G377" s="7976" t="s">
        <v>22</v>
      </c>
      <c r="H377" s="7976" t="s">
        <v>22</v>
      </c>
      <c r="I377" s="7976" t="s">
        <v>958</v>
      </c>
    </row>
    <row customHeight="1" ht="11.25">
      <c r="A378" s="7976" t="s">
        <v>2530</v>
      </c>
      <c r="B378" s="7976" t="s">
        <v>16</v>
      </c>
      <c r="C378" s="7976" t="s">
        <v>3459</v>
      </c>
      <c r="D378" s="7976" t="s">
        <v>3460</v>
      </c>
      <c r="E378" s="7976" t="s">
        <v>3461</v>
      </c>
      <c r="F378" s="7976" t="s">
        <v>3462</v>
      </c>
      <c r="G378" s="7976" t="s">
        <v>22</v>
      </c>
      <c r="H378" s="7976" t="s">
        <v>22</v>
      </c>
      <c r="I378" s="7976" t="s">
        <v>958</v>
      </c>
    </row>
    <row customHeight="1" ht="11.25">
      <c r="A379" s="7976" t="s">
        <v>2530</v>
      </c>
      <c r="B379" s="7976" t="s">
        <v>16</v>
      </c>
      <c r="C379" s="7976" t="s">
        <v>3463</v>
      </c>
      <c r="D379" s="7976" t="s">
        <v>3464</v>
      </c>
      <c r="E379" s="7976" t="s">
        <v>2896</v>
      </c>
      <c r="F379" s="7976" t="s">
        <v>3465</v>
      </c>
      <c r="G379" s="7976" t="s">
        <v>22</v>
      </c>
      <c r="H379" s="7976" t="s">
        <v>22</v>
      </c>
      <c r="I379" s="7976" t="s">
        <v>958</v>
      </c>
    </row>
    <row customHeight="1" ht="11.25">
      <c r="A380" s="7976" t="s">
        <v>2530</v>
      </c>
      <c r="B380" s="7976" t="s">
        <v>16</v>
      </c>
      <c r="C380" s="7976" t="s">
        <v>3466</v>
      </c>
      <c r="D380" s="7976" t="s">
        <v>3467</v>
      </c>
      <c r="E380" s="7976" t="s">
        <v>2896</v>
      </c>
      <c r="F380" s="7976" t="s">
        <v>3468</v>
      </c>
      <c r="G380" s="7976" t="s">
        <v>22</v>
      </c>
      <c r="H380" s="7976" t="s">
        <v>22</v>
      </c>
      <c r="I380" s="7976" t="s">
        <v>958</v>
      </c>
    </row>
    <row customHeight="1" ht="11.25">
      <c r="A381" s="7976" t="s">
        <v>2530</v>
      </c>
      <c r="B381" s="7976" t="s">
        <v>16</v>
      </c>
      <c r="C381" s="7976" t="s">
        <v>3469</v>
      </c>
      <c r="D381" s="7976" t="s">
        <v>3470</v>
      </c>
      <c r="E381" s="7976" t="s">
        <v>3471</v>
      </c>
      <c r="F381" s="7976" t="s">
        <v>2630</v>
      </c>
      <c r="G381" s="7976" t="s">
        <v>22</v>
      </c>
      <c r="H381" s="7976" t="s">
        <v>22</v>
      </c>
      <c r="I381" s="7976" t="s">
        <v>958</v>
      </c>
    </row>
    <row customHeight="1" ht="11.25">
      <c r="A382" s="7976" t="s">
        <v>2530</v>
      </c>
      <c r="B382" s="7976" t="s">
        <v>16</v>
      </c>
      <c r="C382" s="7976" t="s">
        <v>3501</v>
      </c>
      <c r="D382" s="7976" t="s">
        <v>3502</v>
      </c>
      <c r="E382" s="7976" t="s">
        <v>3503</v>
      </c>
      <c r="F382" s="7976" t="s">
        <v>2534</v>
      </c>
      <c r="G382" s="7976" t="s">
        <v>22</v>
      </c>
      <c r="H382" s="7976" t="s">
        <v>3504</v>
      </c>
      <c r="I382" s="7976" t="s">
        <v>918</v>
      </c>
    </row>
    <row customHeight="1" ht="11.25">
      <c r="A383" s="7976" t="s">
        <v>2530</v>
      </c>
      <c r="B383" s="7976" t="s">
        <v>16</v>
      </c>
      <c r="C383" s="7976" t="s">
        <v>3505</v>
      </c>
      <c r="D383" s="7976" t="s">
        <v>3506</v>
      </c>
      <c r="E383" s="7976" t="s">
        <v>3507</v>
      </c>
      <c r="F383" s="7976" t="s">
        <v>2539</v>
      </c>
      <c r="G383" s="7976" t="s">
        <v>22</v>
      </c>
      <c r="H383" s="7976" t="s">
        <v>22</v>
      </c>
      <c r="I383" s="7976" t="s">
        <v>918</v>
      </c>
    </row>
    <row customHeight="1" ht="11.25">
      <c r="A384" s="7976" t="s">
        <v>2530</v>
      </c>
      <c r="B384" s="7976" t="s">
        <v>16</v>
      </c>
      <c r="C384" s="7976" t="s">
        <v>3508</v>
      </c>
      <c r="D384" s="7976" t="s">
        <v>3509</v>
      </c>
      <c r="E384" s="7976" t="s">
        <v>3510</v>
      </c>
      <c r="F384" s="7976" t="s">
        <v>2539</v>
      </c>
      <c r="G384" s="7976" t="s">
        <v>3511</v>
      </c>
      <c r="H384" s="7976" t="s">
        <v>22</v>
      </c>
      <c r="I384" s="7976" t="s">
        <v>918</v>
      </c>
    </row>
    <row customHeight="1" ht="11.25">
      <c r="A385" s="7976" t="s">
        <v>2530</v>
      </c>
      <c r="B385" s="7976" t="s">
        <v>16</v>
      </c>
      <c r="C385" s="7976" t="s">
        <v>2531</v>
      </c>
      <c r="D385" s="7976" t="s">
        <v>2532</v>
      </c>
      <c r="E385" s="7976" t="s">
        <v>2533</v>
      </c>
      <c r="F385" s="7976" t="s">
        <v>2534</v>
      </c>
      <c r="G385" s="7976" t="s">
        <v>2535</v>
      </c>
      <c r="H385" s="7976" t="s">
        <v>22</v>
      </c>
      <c r="I385" s="7976" t="s">
        <v>918</v>
      </c>
    </row>
    <row customHeight="1" ht="11.25">
      <c r="A386" s="7976" t="s">
        <v>2530</v>
      </c>
      <c r="B386" s="7976" t="s">
        <v>16</v>
      </c>
      <c r="C386" s="7976" t="s">
        <v>2543</v>
      </c>
      <c r="D386" s="7976" t="s">
        <v>2544</v>
      </c>
      <c r="E386" s="7976" t="s">
        <v>2545</v>
      </c>
      <c r="F386" s="7976" t="s">
        <v>2546</v>
      </c>
      <c r="G386" s="7976" t="s">
        <v>2547</v>
      </c>
      <c r="H386" s="7976" t="s">
        <v>22</v>
      </c>
      <c r="I386" s="7976" t="s">
        <v>918</v>
      </c>
    </row>
    <row customHeight="1" ht="11.25">
      <c r="A387" s="7976" t="s">
        <v>2530</v>
      </c>
      <c r="B387" s="7976" t="s">
        <v>16</v>
      </c>
      <c r="C387" s="7976" t="s">
        <v>3512</v>
      </c>
      <c r="D387" s="7976" t="s">
        <v>3513</v>
      </c>
      <c r="E387" s="7976" t="s">
        <v>3514</v>
      </c>
      <c r="F387" s="7976" t="s">
        <v>3515</v>
      </c>
      <c r="G387" s="7976" t="s">
        <v>3516</v>
      </c>
      <c r="H387" s="7976" t="s">
        <v>22</v>
      </c>
      <c r="I387" s="7976" t="s">
        <v>918</v>
      </c>
    </row>
    <row customHeight="1" ht="11.25">
      <c r="A388" s="7976" t="s">
        <v>2530</v>
      </c>
      <c r="B388" s="7976" t="s">
        <v>16</v>
      </c>
      <c r="C388" s="7976" t="s">
        <v>2548</v>
      </c>
      <c r="D388" s="7976" t="s">
        <v>2549</v>
      </c>
      <c r="E388" s="7976" t="s">
        <v>2550</v>
      </c>
      <c r="F388" s="7976" t="s">
        <v>2551</v>
      </c>
      <c r="G388" s="7976" t="s">
        <v>22</v>
      </c>
      <c r="H388" s="7976" t="s">
        <v>22</v>
      </c>
      <c r="I388" s="7976" t="s">
        <v>918</v>
      </c>
    </row>
    <row customHeight="1" ht="11.25">
      <c r="A389" s="7976" t="s">
        <v>2530</v>
      </c>
      <c r="B389" s="7976" t="s">
        <v>16</v>
      </c>
      <c r="C389" s="7976" t="s">
        <v>3517</v>
      </c>
      <c r="D389" s="7976" t="s">
        <v>3518</v>
      </c>
      <c r="E389" s="7976" t="s">
        <v>3519</v>
      </c>
      <c r="F389" s="7976" t="s">
        <v>2636</v>
      </c>
      <c r="G389" s="7976" t="s">
        <v>22</v>
      </c>
      <c r="H389" s="7976" t="s">
        <v>2637</v>
      </c>
      <c r="I389" s="7976" t="s">
        <v>918</v>
      </c>
    </row>
    <row customHeight="1" ht="11.25">
      <c r="A390" s="7976" t="s">
        <v>2530</v>
      </c>
      <c r="B390" s="7976" t="s">
        <v>16</v>
      </c>
      <c r="C390" s="7976" t="s">
        <v>3520</v>
      </c>
      <c r="D390" s="7976" t="s">
        <v>3521</v>
      </c>
      <c r="E390" s="7976" t="s">
        <v>3522</v>
      </c>
      <c r="F390" s="7976" t="s">
        <v>2551</v>
      </c>
      <c r="G390" s="7976" t="s">
        <v>3523</v>
      </c>
      <c r="H390" s="7976" t="s">
        <v>22</v>
      </c>
      <c r="I390" s="7976" t="s">
        <v>918</v>
      </c>
    </row>
    <row customHeight="1" ht="11.25">
      <c r="A391" s="7976" t="s">
        <v>2530</v>
      </c>
      <c r="B391" s="7976" t="s">
        <v>16</v>
      </c>
      <c r="C391" s="7976" t="s">
        <v>3524</v>
      </c>
      <c r="D391" s="7976" t="s">
        <v>3525</v>
      </c>
      <c r="E391" s="7976" t="s">
        <v>3526</v>
      </c>
      <c r="F391" s="7976" t="s">
        <v>2551</v>
      </c>
      <c r="G391" s="7976" t="s">
        <v>2723</v>
      </c>
      <c r="H391" s="7976" t="s">
        <v>22</v>
      </c>
      <c r="I391" s="7976" t="s">
        <v>918</v>
      </c>
    </row>
    <row customHeight="1" ht="11.25">
      <c r="A392" s="7976" t="s">
        <v>2530</v>
      </c>
      <c r="B392" s="7976" t="s">
        <v>16</v>
      </c>
      <c r="C392" s="7976" t="s">
        <v>2558</v>
      </c>
      <c r="D392" s="7976" t="s">
        <v>2559</v>
      </c>
      <c r="E392" s="7976" t="s">
        <v>2560</v>
      </c>
      <c r="F392" s="7976" t="s">
        <v>2561</v>
      </c>
      <c r="G392" s="7976" t="s">
        <v>2562</v>
      </c>
      <c r="H392" s="7976" t="s">
        <v>2563</v>
      </c>
      <c r="I392" s="7976" t="s">
        <v>918</v>
      </c>
    </row>
    <row customHeight="1" ht="11.25">
      <c r="A393" s="7976" t="s">
        <v>2530</v>
      </c>
      <c r="B393" s="7976" t="s">
        <v>16</v>
      </c>
      <c r="C393" s="7976" t="s">
        <v>3527</v>
      </c>
      <c r="D393" s="7976" t="s">
        <v>3528</v>
      </c>
      <c r="E393" s="7976" t="s">
        <v>3529</v>
      </c>
      <c r="F393" s="7976" t="s">
        <v>2573</v>
      </c>
      <c r="G393" s="7976" t="s">
        <v>22</v>
      </c>
      <c r="H393" s="7976" t="s">
        <v>22</v>
      </c>
      <c r="I393" s="7976" t="s">
        <v>918</v>
      </c>
    </row>
    <row customHeight="1" ht="11.25">
      <c r="A394" s="7976" t="s">
        <v>2530</v>
      </c>
      <c r="B394" s="7976" t="s">
        <v>16</v>
      </c>
      <c r="C394" s="7976" t="s">
        <v>2564</v>
      </c>
      <c r="D394" s="7976" t="s">
        <v>2565</v>
      </c>
      <c r="E394" s="7976" t="s">
        <v>2566</v>
      </c>
      <c r="F394" s="7976" t="s">
        <v>2567</v>
      </c>
      <c r="G394" s="7976" t="s">
        <v>22</v>
      </c>
      <c r="H394" s="7976" t="s">
        <v>22</v>
      </c>
      <c r="I394" s="7976" t="s">
        <v>918</v>
      </c>
    </row>
    <row customHeight="1" ht="11.25">
      <c r="A395" s="7976" t="s">
        <v>2530</v>
      </c>
      <c r="B395" s="7976" t="s">
        <v>16</v>
      </c>
      <c r="C395" s="7976" t="s">
        <v>2568</v>
      </c>
      <c r="D395" s="7976" t="s">
        <v>2565</v>
      </c>
      <c r="E395" s="7976" t="s">
        <v>2566</v>
      </c>
      <c r="F395" s="7976" t="s">
        <v>2569</v>
      </c>
      <c r="G395" s="7976" t="s">
        <v>22</v>
      </c>
      <c r="H395" s="7976" t="s">
        <v>22</v>
      </c>
      <c r="I395" s="7976" t="s">
        <v>918</v>
      </c>
    </row>
    <row customHeight="1" ht="11.25">
      <c r="A396" s="7976" t="s">
        <v>2530</v>
      </c>
      <c r="B396" s="7976" t="s">
        <v>16</v>
      </c>
      <c r="C396" s="7976" t="s">
        <v>2570</v>
      </c>
      <c r="D396" s="7976" t="s">
        <v>2571</v>
      </c>
      <c r="E396" s="7976" t="s">
        <v>2572</v>
      </c>
      <c r="F396" s="7976" t="s">
        <v>2573</v>
      </c>
      <c r="G396" s="7976" t="s">
        <v>22</v>
      </c>
      <c r="H396" s="7976" t="s">
        <v>22</v>
      </c>
      <c r="I396" s="7976" t="s">
        <v>918</v>
      </c>
    </row>
    <row customHeight="1" ht="11.25">
      <c r="A397" s="7976" t="s">
        <v>2530</v>
      </c>
      <c r="B397" s="7976" t="s">
        <v>16</v>
      </c>
      <c r="C397" s="7976" t="s">
        <v>2574</v>
      </c>
      <c r="D397" s="7976" t="s">
        <v>2575</v>
      </c>
      <c r="E397" s="7976" t="s">
        <v>2576</v>
      </c>
      <c r="F397" s="7976" t="s">
        <v>2546</v>
      </c>
      <c r="G397" s="7976" t="s">
        <v>22</v>
      </c>
      <c r="H397" s="7976" t="s">
        <v>22</v>
      </c>
      <c r="I397" s="7976" t="s">
        <v>918</v>
      </c>
    </row>
    <row customHeight="1" ht="11.25">
      <c r="A398" s="7976" t="s">
        <v>2530</v>
      </c>
      <c r="B398" s="7976" t="s">
        <v>16</v>
      </c>
      <c r="C398" s="7976" t="s">
        <v>2577</v>
      </c>
      <c r="D398" s="7976" t="s">
        <v>2578</v>
      </c>
      <c r="E398" s="7976" t="s">
        <v>2579</v>
      </c>
      <c r="F398" s="7976" t="s">
        <v>2573</v>
      </c>
      <c r="G398" s="7976" t="s">
        <v>22</v>
      </c>
      <c r="H398" s="7976" t="s">
        <v>22</v>
      </c>
      <c r="I398" s="7976" t="s">
        <v>918</v>
      </c>
    </row>
    <row customHeight="1" ht="11.25">
      <c r="A399" s="7976" t="s">
        <v>2530</v>
      </c>
      <c r="B399" s="7976" t="s">
        <v>16</v>
      </c>
      <c r="C399" s="7976" t="s">
        <v>2580</v>
      </c>
      <c r="D399" s="7976" t="s">
        <v>2581</v>
      </c>
      <c r="E399" s="7976" t="s">
        <v>2582</v>
      </c>
      <c r="F399" s="7976" t="s">
        <v>51</v>
      </c>
      <c r="G399" s="7976" t="s">
        <v>22</v>
      </c>
      <c r="H399" s="7976" t="s">
        <v>22</v>
      </c>
      <c r="I399" s="7976" t="s">
        <v>918</v>
      </c>
    </row>
    <row customHeight="1" ht="11.25">
      <c r="A400" s="7976" t="s">
        <v>2530</v>
      </c>
      <c r="B400" s="7976" t="s">
        <v>16</v>
      </c>
      <c r="C400" s="7976" t="s">
        <v>3530</v>
      </c>
      <c r="D400" s="7976" t="s">
        <v>3531</v>
      </c>
      <c r="E400" s="7976" t="s">
        <v>3532</v>
      </c>
      <c r="F400" s="7976" t="s">
        <v>2757</v>
      </c>
      <c r="G400" s="7976" t="s">
        <v>3533</v>
      </c>
      <c r="H400" s="7976" t="s">
        <v>2758</v>
      </c>
      <c r="I400" s="7976" t="s">
        <v>918</v>
      </c>
    </row>
    <row customHeight="1" ht="11.25">
      <c r="A401" s="7976" t="s">
        <v>2530</v>
      </c>
      <c r="B401" s="7976" t="s">
        <v>16</v>
      </c>
      <c r="C401" s="7976" t="s">
        <v>3534</v>
      </c>
      <c r="D401" s="7976" t="s">
        <v>3535</v>
      </c>
      <c r="E401" s="7976" t="s">
        <v>3536</v>
      </c>
      <c r="F401" s="7976" t="s">
        <v>2757</v>
      </c>
      <c r="G401" s="7976" t="s">
        <v>22</v>
      </c>
      <c r="H401" s="7976" t="s">
        <v>2758</v>
      </c>
      <c r="I401" s="7976" t="s">
        <v>918</v>
      </c>
    </row>
    <row customHeight="1" ht="11.25">
      <c r="A402" s="7976" t="s">
        <v>2530</v>
      </c>
      <c r="B402" s="7976" t="s">
        <v>16</v>
      </c>
      <c r="C402" s="7976" t="s">
        <v>3537</v>
      </c>
      <c r="D402" s="7976" t="s">
        <v>3538</v>
      </c>
      <c r="E402" s="7976" t="s">
        <v>3539</v>
      </c>
      <c r="F402" s="7976" t="s">
        <v>3540</v>
      </c>
      <c r="G402" s="7976" t="s">
        <v>3541</v>
      </c>
      <c r="H402" s="7976" t="s">
        <v>22</v>
      </c>
      <c r="I402" s="7976" t="s">
        <v>918</v>
      </c>
    </row>
    <row customHeight="1" ht="11.25">
      <c r="A403" s="7976" t="s">
        <v>2530</v>
      </c>
      <c r="B403" s="7976" t="s">
        <v>16</v>
      </c>
      <c r="C403" s="7976" t="s">
        <v>2586</v>
      </c>
      <c r="D403" s="7976" t="s">
        <v>2587</v>
      </c>
      <c r="E403" s="7976" t="s">
        <v>2588</v>
      </c>
      <c r="F403" s="7976" t="s">
        <v>2589</v>
      </c>
      <c r="G403" s="7976" t="s">
        <v>22</v>
      </c>
      <c r="H403" s="7976" t="s">
        <v>22</v>
      </c>
      <c r="I403" s="7976" t="s">
        <v>918</v>
      </c>
    </row>
    <row customHeight="1" ht="11.25">
      <c r="A404" s="7976" t="s">
        <v>2530</v>
      </c>
      <c r="B404" s="7976" t="s">
        <v>16</v>
      </c>
      <c r="C404" s="7976" t="s">
        <v>3542</v>
      </c>
      <c r="D404" s="7976" t="s">
        <v>3543</v>
      </c>
      <c r="E404" s="7976" t="s">
        <v>3544</v>
      </c>
      <c r="F404" s="7976" t="s">
        <v>3056</v>
      </c>
      <c r="G404" s="7976" t="s">
        <v>3545</v>
      </c>
      <c r="H404" s="7976" t="s">
        <v>22</v>
      </c>
      <c r="I404" s="7976" t="s">
        <v>918</v>
      </c>
    </row>
    <row customHeight="1" ht="11.25">
      <c r="A405" s="7976" t="s">
        <v>2530</v>
      </c>
      <c r="B405" s="7976" t="s">
        <v>16</v>
      </c>
      <c r="C405" s="7976" t="s">
        <v>2590</v>
      </c>
      <c r="D405" s="7976" t="s">
        <v>2591</v>
      </c>
      <c r="E405" s="7976" t="s">
        <v>2592</v>
      </c>
      <c r="F405" s="7976" t="s">
        <v>2573</v>
      </c>
      <c r="G405" s="7976" t="s">
        <v>2593</v>
      </c>
      <c r="H405" s="7976" t="s">
        <v>22</v>
      </c>
      <c r="I405" s="7976" t="s">
        <v>918</v>
      </c>
    </row>
    <row customHeight="1" ht="11.25">
      <c r="A406" s="7976" t="s">
        <v>2530</v>
      </c>
      <c r="B406" s="7976" t="s">
        <v>16</v>
      </c>
      <c r="C406" s="7976" t="s">
        <v>3546</v>
      </c>
      <c r="D406" s="7976" t="s">
        <v>3547</v>
      </c>
      <c r="E406" s="7976" t="s">
        <v>3548</v>
      </c>
      <c r="F406" s="7976" t="s">
        <v>3131</v>
      </c>
      <c r="G406" s="7976" t="s">
        <v>3549</v>
      </c>
      <c r="H406" s="7976" t="s">
        <v>22</v>
      </c>
      <c r="I406" s="7976" t="s">
        <v>918</v>
      </c>
    </row>
    <row customHeight="1" ht="11.25">
      <c r="A407" s="7976" t="s">
        <v>2530</v>
      </c>
      <c r="B407" s="7976" t="s">
        <v>16</v>
      </c>
      <c r="C407" s="7976" t="s">
        <v>3478</v>
      </c>
      <c r="D407" s="7976" t="s">
        <v>3479</v>
      </c>
      <c r="E407" s="7976" t="s">
        <v>3480</v>
      </c>
      <c r="F407" s="7976" t="s">
        <v>2630</v>
      </c>
      <c r="G407" s="7976" t="s">
        <v>3481</v>
      </c>
      <c r="H407" s="7976" t="s">
        <v>22</v>
      </c>
      <c r="I407" s="7976" t="s">
        <v>918</v>
      </c>
    </row>
    <row customHeight="1" ht="11.25">
      <c r="A408" s="7976" t="s">
        <v>2530</v>
      </c>
      <c r="B408" s="7976" t="s">
        <v>16</v>
      </c>
      <c r="C408" s="7976" t="s">
        <v>2594</v>
      </c>
      <c r="D408" s="7976" t="s">
        <v>2595</v>
      </c>
      <c r="E408" s="7976" t="s">
        <v>2596</v>
      </c>
      <c r="F408" s="7976" t="s">
        <v>2597</v>
      </c>
      <c r="G408" s="7976" t="s">
        <v>2598</v>
      </c>
      <c r="H408" s="7976" t="s">
        <v>22</v>
      </c>
      <c r="I408" s="7976" t="s">
        <v>918</v>
      </c>
    </row>
    <row customHeight="1" ht="11.25">
      <c r="A409" s="7976" t="s">
        <v>2530</v>
      </c>
      <c r="B409" s="7976" t="s">
        <v>16</v>
      </c>
      <c r="C409" s="7976" t="s">
        <v>2599</v>
      </c>
      <c r="D409" s="7976" t="s">
        <v>2600</v>
      </c>
      <c r="E409" s="7976" t="s">
        <v>2601</v>
      </c>
      <c r="F409" s="7976" t="s">
        <v>2602</v>
      </c>
      <c r="G409" s="7976" t="s">
        <v>2603</v>
      </c>
      <c r="H409" s="7976" t="s">
        <v>22</v>
      </c>
      <c r="I409" s="7976" t="s">
        <v>918</v>
      </c>
    </row>
    <row customHeight="1" ht="11.25">
      <c r="A410" s="7976" t="s">
        <v>2530</v>
      </c>
      <c r="B410" s="7976" t="s">
        <v>16</v>
      </c>
      <c r="C410" s="7976" t="s">
        <v>3550</v>
      </c>
      <c r="D410" s="7976" t="s">
        <v>3551</v>
      </c>
      <c r="E410" s="7976" t="s">
        <v>3552</v>
      </c>
      <c r="F410" s="7976" t="s">
        <v>2802</v>
      </c>
      <c r="G410" s="7976" t="s">
        <v>3553</v>
      </c>
      <c r="H410" s="7976" t="s">
        <v>22</v>
      </c>
      <c r="I410" s="7976" t="s">
        <v>918</v>
      </c>
    </row>
    <row customHeight="1" ht="11.25">
      <c r="A411" s="7976" t="s">
        <v>2530</v>
      </c>
      <c r="B411" s="7976" t="s">
        <v>16</v>
      </c>
      <c r="C411" s="7976" t="s">
        <v>2604</v>
      </c>
      <c r="D411" s="7976" t="s">
        <v>2605</v>
      </c>
      <c r="E411" s="7976" t="s">
        <v>2606</v>
      </c>
      <c r="F411" s="7976" t="s">
        <v>2555</v>
      </c>
      <c r="G411" s="7976" t="s">
        <v>2607</v>
      </c>
      <c r="H411" s="7976" t="s">
        <v>22</v>
      </c>
      <c r="I411" s="7976" t="s">
        <v>918</v>
      </c>
    </row>
    <row customHeight="1" ht="11.25">
      <c r="A412" s="7976" t="s">
        <v>2530</v>
      </c>
      <c r="B412" s="7976" t="s">
        <v>16</v>
      </c>
      <c r="C412" s="7976" t="s">
        <v>3482</v>
      </c>
      <c r="D412" s="7976" t="s">
        <v>3483</v>
      </c>
      <c r="E412" s="7976" t="s">
        <v>3484</v>
      </c>
      <c r="F412" s="7976" t="s">
        <v>2743</v>
      </c>
      <c r="G412" s="7976" t="s">
        <v>3485</v>
      </c>
      <c r="H412" s="7976" t="s">
        <v>2744</v>
      </c>
      <c r="I412" s="7976" t="s">
        <v>918</v>
      </c>
    </row>
    <row customHeight="1" ht="11.25">
      <c r="A413" s="7976" t="s">
        <v>2530</v>
      </c>
      <c r="B413" s="7976" t="s">
        <v>16</v>
      </c>
      <c r="C413" s="7976" t="s">
        <v>3554</v>
      </c>
      <c r="D413" s="7976" t="s">
        <v>3555</v>
      </c>
      <c r="E413" s="7976" t="s">
        <v>3556</v>
      </c>
      <c r="F413" s="7976" t="s">
        <v>2743</v>
      </c>
      <c r="G413" s="7976" t="s">
        <v>3557</v>
      </c>
      <c r="H413" s="7976" t="s">
        <v>22</v>
      </c>
      <c r="I413" s="7976" t="s">
        <v>918</v>
      </c>
    </row>
    <row customHeight="1" ht="11.25">
      <c r="A414" s="7976" t="s">
        <v>2530</v>
      </c>
      <c r="B414" s="7976" t="s">
        <v>16</v>
      </c>
      <c r="C414" s="7976" t="s">
        <v>2608</v>
      </c>
      <c r="D414" s="7976" t="s">
        <v>2609</v>
      </c>
      <c r="E414" s="7976" t="s">
        <v>2610</v>
      </c>
      <c r="F414" s="7976" t="s">
        <v>2611</v>
      </c>
      <c r="G414" s="7976" t="s">
        <v>2612</v>
      </c>
      <c r="H414" s="7976" t="s">
        <v>22</v>
      </c>
      <c r="I414" s="7976" t="s">
        <v>918</v>
      </c>
    </row>
    <row customHeight="1" ht="11.25">
      <c r="A415" s="7976" t="s">
        <v>2530</v>
      </c>
      <c r="B415" s="7976" t="s">
        <v>16</v>
      </c>
      <c r="C415" s="7976" t="s">
        <v>2613</v>
      </c>
      <c r="D415" s="7976" t="s">
        <v>2614</v>
      </c>
      <c r="E415" s="7976" t="s">
        <v>2615</v>
      </c>
      <c r="F415" s="7976" t="s">
        <v>2616</v>
      </c>
      <c r="G415" s="7976" t="s">
        <v>22</v>
      </c>
      <c r="H415" s="7976" t="s">
        <v>2617</v>
      </c>
      <c r="I415" s="7976" t="s">
        <v>918</v>
      </c>
    </row>
    <row customHeight="1" ht="11.25">
      <c r="A416" s="7976" t="s">
        <v>2530</v>
      </c>
      <c r="B416" s="7976" t="s">
        <v>16</v>
      </c>
      <c r="C416" s="7976" t="s">
        <v>3558</v>
      </c>
      <c r="D416" s="7976" t="s">
        <v>3559</v>
      </c>
      <c r="E416" s="7976" t="s">
        <v>3560</v>
      </c>
      <c r="F416" s="7976" t="s">
        <v>2602</v>
      </c>
      <c r="G416" s="7976" t="s">
        <v>3561</v>
      </c>
      <c r="H416" s="7976" t="s">
        <v>2621</v>
      </c>
      <c r="I416" s="7976" t="s">
        <v>918</v>
      </c>
    </row>
    <row customHeight="1" ht="11.25">
      <c r="A417" s="7976" t="s">
        <v>2530</v>
      </c>
      <c r="B417" s="7976" t="s">
        <v>16</v>
      </c>
      <c r="C417" s="7976" t="s">
        <v>3562</v>
      </c>
      <c r="D417" s="7976" t="s">
        <v>3563</v>
      </c>
      <c r="E417" s="7976" t="s">
        <v>3564</v>
      </c>
      <c r="F417" s="7976" t="s">
        <v>2602</v>
      </c>
      <c r="G417" s="7976" t="s">
        <v>3565</v>
      </c>
      <c r="H417" s="7976" t="s">
        <v>2621</v>
      </c>
      <c r="I417" s="7976" t="s">
        <v>918</v>
      </c>
    </row>
    <row customHeight="1" ht="11.25">
      <c r="A418" s="7976" t="s">
        <v>2530</v>
      </c>
      <c r="B418" s="7976" t="s">
        <v>16</v>
      </c>
      <c r="C418" s="7976" t="s">
        <v>3566</v>
      </c>
      <c r="D418" s="7976" t="s">
        <v>3567</v>
      </c>
      <c r="E418" s="7976" t="s">
        <v>3568</v>
      </c>
      <c r="F418" s="7976" t="s">
        <v>2602</v>
      </c>
      <c r="G418" s="7976" t="s">
        <v>3565</v>
      </c>
      <c r="H418" s="7976" t="s">
        <v>2621</v>
      </c>
      <c r="I418" s="7976" t="s">
        <v>918</v>
      </c>
    </row>
    <row customHeight="1" ht="11.25">
      <c r="A419" s="7976" t="s">
        <v>2530</v>
      </c>
      <c r="B419" s="7976" t="s">
        <v>16</v>
      </c>
      <c r="C419" s="7976" t="s">
        <v>2618</v>
      </c>
      <c r="D419" s="7976" t="s">
        <v>2619</v>
      </c>
      <c r="E419" s="7976" t="s">
        <v>2620</v>
      </c>
      <c r="F419" s="7976" t="s">
        <v>2602</v>
      </c>
      <c r="G419" s="7976" t="s">
        <v>22</v>
      </c>
      <c r="H419" s="7976" t="s">
        <v>2621</v>
      </c>
      <c r="I419" s="7976" t="s">
        <v>918</v>
      </c>
    </row>
    <row customHeight="1" ht="11.25">
      <c r="A420" s="7976" t="s">
        <v>2530</v>
      </c>
      <c r="B420" s="7976" t="s">
        <v>16</v>
      </c>
      <c r="C420" s="7976" t="s">
        <v>3569</v>
      </c>
      <c r="D420" s="7976" t="s">
        <v>3570</v>
      </c>
      <c r="E420" s="7976" t="s">
        <v>3571</v>
      </c>
      <c r="F420" s="7976" t="s">
        <v>2602</v>
      </c>
      <c r="G420" s="7976" t="s">
        <v>3561</v>
      </c>
      <c r="H420" s="7976" t="s">
        <v>2621</v>
      </c>
      <c r="I420" s="7976" t="s">
        <v>918</v>
      </c>
    </row>
    <row customHeight="1" ht="11.25">
      <c r="A421" s="7976" t="s">
        <v>2530</v>
      </c>
      <c r="B421" s="7976" t="s">
        <v>16</v>
      </c>
      <c r="C421" s="7976" t="s">
        <v>3572</v>
      </c>
      <c r="D421" s="7976" t="s">
        <v>3573</v>
      </c>
      <c r="E421" s="7976" t="s">
        <v>3574</v>
      </c>
      <c r="F421" s="7976" t="s">
        <v>2602</v>
      </c>
      <c r="G421" s="7976" t="s">
        <v>22</v>
      </c>
      <c r="H421" s="7976" t="s">
        <v>2621</v>
      </c>
      <c r="I421" s="7976" t="s">
        <v>918</v>
      </c>
    </row>
    <row customHeight="1" ht="11.25">
      <c r="A422" s="7976" t="s">
        <v>2530</v>
      </c>
      <c r="B422" s="7976" t="s">
        <v>16</v>
      </c>
      <c r="C422" s="7976" t="s">
        <v>3575</v>
      </c>
      <c r="D422" s="7976" t="s">
        <v>3576</v>
      </c>
      <c r="E422" s="7976" t="s">
        <v>3577</v>
      </c>
      <c r="F422" s="7976" t="s">
        <v>2602</v>
      </c>
      <c r="G422" s="7976" t="s">
        <v>3565</v>
      </c>
      <c r="H422" s="7976" t="s">
        <v>2621</v>
      </c>
      <c r="I422" s="7976" t="s">
        <v>918</v>
      </c>
    </row>
    <row customHeight="1" ht="11.25">
      <c r="A423" s="7976" t="s">
        <v>2530</v>
      </c>
      <c r="B423" s="7976" t="s">
        <v>16</v>
      </c>
      <c r="C423" s="7976" t="s">
        <v>3578</v>
      </c>
      <c r="D423" s="7976" t="s">
        <v>3579</v>
      </c>
      <c r="E423" s="7976" t="s">
        <v>3580</v>
      </c>
      <c r="F423" s="7976" t="s">
        <v>2602</v>
      </c>
      <c r="G423" s="7976" t="s">
        <v>3565</v>
      </c>
      <c r="H423" s="7976" t="s">
        <v>2621</v>
      </c>
      <c r="I423" s="7976" t="s">
        <v>918</v>
      </c>
    </row>
    <row customHeight="1" ht="11.25">
      <c r="A424" s="7976" t="s">
        <v>2530</v>
      </c>
      <c r="B424" s="7976" t="s">
        <v>16</v>
      </c>
      <c r="C424" s="7976" t="s">
        <v>3581</v>
      </c>
      <c r="D424" s="7976" t="s">
        <v>3582</v>
      </c>
      <c r="E424" s="7976" t="s">
        <v>3583</v>
      </c>
      <c r="F424" s="7976" t="s">
        <v>2602</v>
      </c>
      <c r="G424" s="7976" t="s">
        <v>22</v>
      </c>
      <c r="H424" s="7976" t="s">
        <v>2621</v>
      </c>
      <c r="I424" s="7976" t="s">
        <v>918</v>
      </c>
    </row>
    <row customHeight="1" ht="11.25">
      <c r="A425" s="7976" t="s">
        <v>2530</v>
      </c>
      <c r="B425" s="7976" t="s">
        <v>16</v>
      </c>
      <c r="C425" s="7976" t="s">
        <v>2633</v>
      </c>
      <c r="D425" s="7976" t="s">
        <v>2634</v>
      </c>
      <c r="E425" s="7976" t="s">
        <v>2635</v>
      </c>
      <c r="F425" s="7976" t="s">
        <v>2636</v>
      </c>
      <c r="G425" s="7976" t="s">
        <v>22</v>
      </c>
      <c r="H425" s="7976" t="s">
        <v>2637</v>
      </c>
      <c r="I425" s="7976" t="s">
        <v>918</v>
      </c>
    </row>
    <row customHeight="1" ht="11.25">
      <c r="A426" s="7976" t="s">
        <v>2530</v>
      </c>
      <c r="B426" s="7976" t="s">
        <v>16</v>
      </c>
      <c r="C426" s="7976" t="s">
        <v>2638</v>
      </c>
      <c r="D426" s="7976" t="s">
        <v>2639</v>
      </c>
      <c r="E426" s="7976" t="s">
        <v>2640</v>
      </c>
      <c r="F426" s="7976" t="s">
        <v>2630</v>
      </c>
      <c r="G426" s="7976" t="s">
        <v>2631</v>
      </c>
      <c r="H426" s="7976" t="s">
        <v>2632</v>
      </c>
      <c r="I426" s="7976" t="s">
        <v>918</v>
      </c>
    </row>
    <row customHeight="1" ht="11.25">
      <c r="A427" s="7976" t="s">
        <v>2530</v>
      </c>
      <c r="B427" s="7976" t="s">
        <v>16</v>
      </c>
      <c r="C427" s="7976" t="s">
        <v>3584</v>
      </c>
      <c r="D427" s="7976" t="s">
        <v>3585</v>
      </c>
      <c r="E427" s="7976" t="s">
        <v>3586</v>
      </c>
      <c r="F427" s="7976" t="s">
        <v>2648</v>
      </c>
      <c r="G427" s="7976" t="s">
        <v>22</v>
      </c>
      <c r="H427" s="7976" t="s">
        <v>22</v>
      </c>
      <c r="I427" s="7976" t="s">
        <v>918</v>
      </c>
    </row>
    <row customHeight="1" ht="11.25">
      <c r="A428" s="7976" t="s">
        <v>2530</v>
      </c>
      <c r="B428" s="7976" t="s">
        <v>16</v>
      </c>
      <c r="C428" s="7976" t="s">
        <v>3587</v>
      </c>
      <c r="D428" s="7976" t="s">
        <v>3588</v>
      </c>
      <c r="E428" s="7976" t="s">
        <v>3589</v>
      </c>
      <c r="F428" s="7976" t="s">
        <v>2589</v>
      </c>
      <c r="G428" s="7976" t="s">
        <v>3590</v>
      </c>
      <c r="H428" s="7976" t="s">
        <v>2626</v>
      </c>
      <c r="I428" s="7976" t="s">
        <v>918</v>
      </c>
    </row>
    <row customHeight="1" ht="11.25">
      <c r="A429" s="7976" t="s">
        <v>2530</v>
      </c>
      <c r="B429" s="7976" t="s">
        <v>16</v>
      </c>
      <c r="C429" s="7976" t="s">
        <v>3486</v>
      </c>
      <c r="D429" s="7976" t="s">
        <v>3487</v>
      </c>
      <c r="E429" s="7976" t="s">
        <v>3488</v>
      </c>
      <c r="F429" s="7976" t="s">
        <v>2630</v>
      </c>
      <c r="G429" s="7976" t="s">
        <v>3489</v>
      </c>
      <c r="H429" s="7976" t="s">
        <v>2632</v>
      </c>
      <c r="I429" s="7976" t="s">
        <v>918</v>
      </c>
    </row>
    <row customHeight="1" ht="11.25">
      <c r="A430" s="7976" t="s">
        <v>2530</v>
      </c>
      <c r="B430" s="7976" t="s">
        <v>16</v>
      </c>
      <c r="C430" s="7976" t="s">
        <v>3591</v>
      </c>
      <c r="D430" s="7976" t="s">
        <v>3592</v>
      </c>
      <c r="E430" s="7976" t="s">
        <v>3593</v>
      </c>
      <c r="F430" s="7976" t="s">
        <v>2630</v>
      </c>
      <c r="G430" s="7976" t="s">
        <v>3594</v>
      </c>
      <c r="H430" s="7976" t="s">
        <v>2632</v>
      </c>
      <c r="I430" s="7976" t="s">
        <v>918</v>
      </c>
    </row>
    <row customHeight="1" ht="11.25">
      <c r="A431" s="7976" t="s">
        <v>2530</v>
      </c>
      <c r="B431" s="7976" t="s">
        <v>16</v>
      </c>
      <c r="C431" s="7976" t="s">
        <v>3595</v>
      </c>
      <c r="D431" s="7976" t="s">
        <v>3596</v>
      </c>
      <c r="E431" s="7976" t="s">
        <v>3597</v>
      </c>
      <c r="F431" s="7976" t="s">
        <v>2690</v>
      </c>
      <c r="G431" s="7976" t="s">
        <v>3598</v>
      </c>
      <c r="H431" s="7976" t="s">
        <v>2692</v>
      </c>
      <c r="I431" s="7976" t="s">
        <v>918</v>
      </c>
    </row>
    <row customHeight="1" ht="11.25">
      <c r="A432" s="7976" t="s">
        <v>2530</v>
      </c>
      <c r="B432" s="7976" t="s">
        <v>16</v>
      </c>
      <c r="C432" s="7976" t="s">
        <v>3599</v>
      </c>
      <c r="D432" s="7976" t="s">
        <v>3600</v>
      </c>
      <c r="E432" s="7976" t="s">
        <v>3601</v>
      </c>
      <c r="F432" s="7976" t="s">
        <v>3056</v>
      </c>
      <c r="G432" s="7976" t="s">
        <v>3602</v>
      </c>
      <c r="H432" s="7976" t="s">
        <v>3603</v>
      </c>
      <c r="I432" s="7976" t="s">
        <v>918</v>
      </c>
    </row>
    <row customHeight="1" ht="11.25">
      <c r="A433" s="7976" t="s">
        <v>2530</v>
      </c>
      <c r="B433" s="7976" t="s">
        <v>16</v>
      </c>
      <c r="C433" s="7976" t="s">
        <v>2641</v>
      </c>
      <c r="D433" s="7976" t="s">
        <v>2642</v>
      </c>
      <c r="E433" s="7976" t="s">
        <v>2643</v>
      </c>
      <c r="F433" s="7976" t="s">
        <v>2597</v>
      </c>
      <c r="G433" s="7976" t="s">
        <v>22</v>
      </c>
      <c r="H433" s="7976" t="s">
        <v>2644</v>
      </c>
      <c r="I433" s="7976" t="s">
        <v>918</v>
      </c>
    </row>
    <row customHeight="1" ht="11.25">
      <c r="A434" s="7976" t="s">
        <v>2530</v>
      </c>
      <c r="B434" s="7976" t="s">
        <v>16</v>
      </c>
      <c r="C434" s="7976" t="s">
        <v>3604</v>
      </c>
      <c r="D434" s="7976" t="s">
        <v>3605</v>
      </c>
      <c r="E434" s="7976" t="s">
        <v>3606</v>
      </c>
      <c r="F434" s="7976" t="s">
        <v>2597</v>
      </c>
      <c r="G434" s="7976" t="s">
        <v>3607</v>
      </c>
      <c r="H434" s="7976" t="s">
        <v>2644</v>
      </c>
      <c r="I434" s="7976" t="s">
        <v>918</v>
      </c>
    </row>
    <row customHeight="1" ht="11.25">
      <c r="A435" s="7976" t="s">
        <v>2530</v>
      </c>
      <c r="B435" s="7976" t="s">
        <v>16</v>
      </c>
      <c r="C435" s="7976" t="s">
        <v>3608</v>
      </c>
      <c r="D435" s="7976" t="s">
        <v>3609</v>
      </c>
      <c r="E435" s="7976" t="s">
        <v>3610</v>
      </c>
      <c r="F435" s="7976" t="s">
        <v>2597</v>
      </c>
      <c r="G435" s="7976" t="s">
        <v>22</v>
      </c>
      <c r="H435" s="7976" t="s">
        <v>2644</v>
      </c>
      <c r="I435" s="7976" t="s">
        <v>918</v>
      </c>
    </row>
    <row customHeight="1" ht="11.25">
      <c r="A436" s="7976" t="s">
        <v>2530</v>
      </c>
      <c r="B436" s="7976" t="s">
        <v>16</v>
      </c>
      <c r="C436" s="7976" t="s">
        <v>2649</v>
      </c>
      <c r="D436" s="7976" t="s">
        <v>2650</v>
      </c>
      <c r="E436" s="7976" t="s">
        <v>2651</v>
      </c>
      <c r="F436" s="7976" t="s">
        <v>2652</v>
      </c>
      <c r="G436" s="7976" t="s">
        <v>2653</v>
      </c>
      <c r="H436" s="7976" t="s">
        <v>22</v>
      </c>
      <c r="I436" s="7976" t="s">
        <v>918</v>
      </c>
    </row>
    <row customHeight="1" ht="11.25">
      <c r="A437" s="7976" t="s">
        <v>2530</v>
      </c>
      <c r="B437" s="7976" t="s">
        <v>16</v>
      </c>
      <c r="C437" s="7976" t="s">
        <v>3611</v>
      </c>
      <c r="D437" s="7976" t="s">
        <v>3612</v>
      </c>
      <c r="E437" s="7976" t="s">
        <v>3613</v>
      </c>
      <c r="F437" s="7976" t="s">
        <v>2954</v>
      </c>
      <c r="G437" s="7976" t="s">
        <v>3614</v>
      </c>
      <c r="H437" s="7976" t="s">
        <v>22</v>
      </c>
      <c r="I437" s="7976" t="s">
        <v>918</v>
      </c>
    </row>
    <row customHeight="1" ht="11.25">
      <c r="A438" s="7976" t="s">
        <v>2530</v>
      </c>
      <c r="B438" s="7976" t="s">
        <v>16</v>
      </c>
      <c r="C438" s="7976" t="s">
        <v>3615</v>
      </c>
      <c r="D438" s="7976" t="s">
        <v>3616</v>
      </c>
      <c r="E438" s="7976" t="s">
        <v>3617</v>
      </c>
      <c r="F438" s="7976" t="s">
        <v>3618</v>
      </c>
      <c r="G438" s="7976" t="s">
        <v>22</v>
      </c>
      <c r="H438" s="7976" t="s">
        <v>22</v>
      </c>
      <c r="I438" s="7976" t="s">
        <v>918</v>
      </c>
    </row>
    <row customHeight="1" ht="11.25">
      <c r="A439" s="7976" t="s">
        <v>2530</v>
      </c>
      <c r="B439" s="7976" t="s">
        <v>16</v>
      </c>
      <c r="C439" s="7976" t="s">
        <v>2663</v>
      </c>
      <c r="D439" s="7976" t="s">
        <v>2664</v>
      </c>
      <c r="E439" s="7976" t="s">
        <v>2665</v>
      </c>
      <c r="F439" s="7976" t="s">
        <v>2648</v>
      </c>
      <c r="G439" s="7976" t="s">
        <v>2666</v>
      </c>
      <c r="H439" s="7976" t="s">
        <v>22</v>
      </c>
      <c r="I439" s="7976" t="s">
        <v>918</v>
      </c>
    </row>
    <row customHeight="1" ht="11.25">
      <c r="A440" s="7976" t="s">
        <v>2530</v>
      </c>
      <c r="B440" s="7976" t="s">
        <v>16</v>
      </c>
      <c r="C440" s="7976" t="s">
        <v>3619</v>
      </c>
      <c r="D440" s="7976" t="s">
        <v>3620</v>
      </c>
      <c r="E440" s="7976" t="s">
        <v>3621</v>
      </c>
      <c r="F440" s="7976" t="s">
        <v>3622</v>
      </c>
      <c r="G440" s="7976" t="s">
        <v>3623</v>
      </c>
      <c r="H440" s="7976" t="s">
        <v>22</v>
      </c>
      <c r="I440" s="7976" t="s">
        <v>918</v>
      </c>
    </row>
    <row customHeight="1" ht="11.25">
      <c r="A441" s="7976" t="s">
        <v>2530</v>
      </c>
      <c r="B441" s="7976" t="s">
        <v>16</v>
      </c>
      <c r="C441" s="7976" t="s">
        <v>2667</v>
      </c>
      <c r="D441" s="7976" t="s">
        <v>2668</v>
      </c>
      <c r="E441" s="7976" t="s">
        <v>2669</v>
      </c>
      <c r="F441" s="7976" t="s">
        <v>2670</v>
      </c>
      <c r="G441" s="7976" t="s">
        <v>22</v>
      </c>
      <c r="H441" s="7976" t="s">
        <v>22</v>
      </c>
      <c r="I441" s="7976" t="s">
        <v>918</v>
      </c>
    </row>
    <row customHeight="1" ht="11.25">
      <c r="A442" s="7976" t="s">
        <v>2530</v>
      </c>
      <c r="B442" s="7976" t="s">
        <v>16</v>
      </c>
      <c r="C442" s="7976" t="s">
        <v>3490</v>
      </c>
      <c r="D442" s="7976" t="s">
        <v>3491</v>
      </c>
      <c r="E442" s="7976" t="s">
        <v>3492</v>
      </c>
      <c r="F442" s="7976" t="s">
        <v>2636</v>
      </c>
      <c r="G442" s="7976" t="s">
        <v>3493</v>
      </c>
      <c r="H442" s="7976" t="s">
        <v>22</v>
      </c>
      <c r="I442" s="7976" t="s">
        <v>918</v>
      </c>
    </row>
    <row customHeight="1" ht="11.25">
      <c r="A443" s="7976" t="s">
        <v>2530</v>
      </c>
      <c r="B443" s="7976" t="s">
        <v>16</v>
      </c>
      <c r="C443" s="7976" t="s">
        <v>2671</v>
      </c>
      <c r="D443" s="7976" t="s">
        <v>2672</v>
      </c>
      <c r="E443" s="7976" t="s">
        <v>2673</v>
      </c>
      <c r="F443" s="7976" t="s">
        <v>2573</v>
      </c>
      <c r="G443" s="7976" t="s">
        <v>2674</v>
      </c>
      <c r="H443" s="7976" t="s">
        <v>22</v>
      </c>
      <c r="I443" s="7976" t="s">
        <v>918</v>
      </c>
    </row>
    <row customHeight="1" ht="11.25">
      <c r="A444" s="7976" t="s">
        <v>2530</v>
      </c>
      <c r="B444" s="7976" t="s">
        <v>16</v>
      </c>
      <c r="C444" s="7976" t="s">
        <v>2675</v>
      </c>
      <c r="D444" s="7976" t="s">
        <v>2676</v>
      </c>
      <c r="E444" s="7976" t="s">
        <v>2677</v>
      </c>
      <c r="F444" s="7976" t="s">
        <v>2616</v>
      </c>
      <c r="G444" s="7976" t="s">
        <v>2678</v>
      </c>
      <c r="H444" s="7976" t="s">
        <v>22</v>
      </c>
      <c r="I444" s="7976" t="s">
        <v>918</v>
      </c>
    </row>
    <row customHeight="1" ht="11.25">
      <c r="A445" s="7976" t="s">
        <v>2530</v>
      </c>
      <c r="B445" s="7976" t="s">
        <v>16</v>
      </c>
      <c r="C445" s="7976" t="s">
        <v>2679</v>
      </c>
      <c r="D445" s="7976" t="s">
        <v>2680</v>
      </c>
      <c r="E445" s="7976" t="s">
        <v>2681</v>
      </c>
      <c r="F445" s="7976" t="s">
        <v>2636</v>
      </c>
      <c r="G445" s="7976" t="s">
        <v>2682</v>
      </c>
      <c r="H445" s="7976" t="s">
        <v>2637</v>
      </c>
      <c r="I445" s="7976" t="s">
        <v>918</v>
      </c>
    </row>
    <row customHeight="1" ht="11.25">
      <c r="A446" s="7976" t="s">
        <v>2530</v>
      </c>
      <c r="B446" s="7976" t="s">
        <v>16</v>
      </c>
      <c r="C446" s="7976" t="s">
        <v>3624</v>
      </c>
      <c r="D446" s="7976" t="s">
        <v>3625</v>
      </c>
      <c r="E446" s="7976" t="s">
        <v>3626</v>
      </c>
      <c r="F446" s="7976" t="s">
        <v>2539</v>
      </c>
      <c r="G446" s="7976" t="s">
        <v>22</v>
      </c>
      <c r="H446" s="7976" t="s">
        <v>22</v>
      </c>
      <c r="I446" s="7976" t="s">
        <v>918</v>
      </c>
    </row>
    <row customHeight="1" ht="11.25">
      <c r="A447" s="7976" t="s">
        <v>2530</v>
      </c>
      <c r="B447" s="7976" t="s">
        <v>16</v>
      </c>
      <c r="C447" s="7976" t="s">
        <v>3627</v>
      </c>
      <c r="D447" s="7976" t="s">
        <v>3628</v>
      </c>
      <c r="E447" s="7976" t="s">
        <v>3629</v>
      </c>
      <c r="F447" s="7976" t="s">
        <v>2597</v>
      </c>
      <c r="G447" s="7976" t="s">
        <v>3607</v>
      </c>
      <c r="H447" s="7976" t="s">
        <v>2644</v>
      </c>
      <c r="I447" s="7976" t="s">
        <v>918</v>
      </c>
    </row>
    <row customHeight="1" ht="11.25">
      <c r="A448" s="7976" t="s">
        <v>2530</v>
      </c>
      <c r="B448" s="7976" t="s">
        <v>16</v>
      </c>
      <c r="C448" s="7976" t="s">
        <v>3630</v>
      </c>
      <c r="D448" s="7976" t="s">
        <v>3631</v>
      </c>
      <c r="E448" s="7976" t="s">
        <v>3632</v>
      </c>
      <c r="F448" s="7976" t="s">
        <v>2743</v>
      </c>
      <c r="G448" s="7976" t="s">
        <v>22</v>
      </c>
      <c r="H448" s="7976" t="s">
        <v>2744</v>
      </c>
      <c r="I448" s="7976" t="s">
        <v>918</v>
      </c>
    </row>
    <row customHeight="1" ht="11.25">
      <c r="A449" s="7976" t="s">
        <v>2530</v>
      </c>
      <c r="B449" s="7976" t="s">
        <v>16</v>
      </c>
      <c r="C449" s="7976" t="s">
        <v>3633</v>
      </c>
      <c r="D449" s="7976" t="s">
        <v>3634</v>
      </c>
      <c r="E449" s="7976" t="s">
        <v>3635</v>
      </c>
      <c r="F449" s="7976" t="s">
        <v>2589</v>
      </c>
      <c r="G449" s="7976" t="s">
        <v>22</v>
      </c>
      <c r="H449" s="7976" t="s">
        <v>2626</v>
      </c>
      <c r="I449" s="7976" t="s">
        <v>918</v>
      </c>
    </row>
    <row customHeight="1" ht="11.25">
      <c r="A450" s="7976" t="s">
        <v>2530</v>
      </c>
      <c r="B450" s="7976" t="s">
        <v>16</v>
      </c>
      <c r="C450" s="7976" t="s">
        <v>3636</v>
      </c>
      <c r="D450" s="7976" t="s">
        <v>3637</v>
      </c>
      <c r="E450" s="7976" t="s">
        <v>3638</v>
      </c>
      <c r="F450" s="7976" t="s">
        <v>2636</v>
      </c>
      <c r="G450" s="7976" t="s">
        <v>22</v>
      </c>
      <c r="H450" s="7976" t="s">
        <v>2637</v>
      </c>
      <c r="I450" s="7976" t="s">
        <v>918</v>
      </c>
    </row>
    <row customHeight="1" ht="11.25">
      <c r="A451" s="7976" t="s">
        <v>2530</v>
      </c>
      <c r="B451" s="7976" t="s">
        <v>16</v>
      </c>
      <c r="C451" s="7976" t="s">
        <v>2687</v>
      </c>
      <c r="D451" s="7976" t="s">
        <v>2688</v>
      </c>
      <c r="E451" s="7976" t="s">
        <v>2689</v>
      </c>
      <c r="F451" s="7976" t="s">
        <v>2690</v>
      </c>
      <c r="G451" s="7976" t="s">
        <v>2691</v>
      </c>
      <c r="H451" s="7976" t="s">
        <v>2692</v>
      </c>
      <c r="I451" s="7976" t="s">
        <v>918</v>
      </c>
    </row>
    <row customHeight="1" ht="11.25">
      <c r="A452" s="7976" t="s">
        <v>2530</v>
      </c>
      <c r="B452" s="7976" t="s">
        <v>16</v>
      </c>
      <c r="C452" s="7976" t="s">
        <v>2693</v>
      </c>
      <c r="D452" s="7976" t="s">
        <v>2694</v>
      </c>
      <c r="E452" s="7976" t="s">
        <v>2695</v>
      </c>
      <c r="F452" s="7976" t="s">
        <v>2690</v>
      </c>
      <c r="G452" s="7976" t="s">
        <v>2696</v>
      </c>
      <c r="H452" s="7976" t="s">
        <v>2692</v>
      </c>
      <c r="I452" s="7976" t="s">
        <v>918</v>
      </c>
    </row>
    <row customHeight="1" ht="11.25">
      <c r="A453" s="7976" t="s">
        <v>2530</v>
      </c>
      <c r="B453" s="7976" t="s">
        <v>16</v>
      </c>
      <c r="C453" s="7976" t="s">
        <v>3639</v>
      </c>
      <c r="D453" s="7976" t="s">
        <v>3640</v>
      </c>
      <c r="E453" s="7976" t="s">
        <v>3641</v>
      </c>
      <c r="F453" s="7976" t="s">
        <v>2597</v>
      </c>
      <c r="G453" s="7976" t="s">
        <v>22</v>
      </c>
      <c r="H453" s="7976" t="s">
        <v>2644</v>
      </c>
      <c r="I453" s="7976" t="s">
        <v>918</v>
      </c>
    </row>
    <row customHeight="1" ht="11.25">
      <c r="A454" s="7976" t="s">
        <v>2530</v>
      </c>
      <c r="B454" s="7976" t="s">
        <v>16</v>
      </c>
      <c r="C454" s="7976" t="s">
        <v>3642</v>
      </c>
      <c r="D454" s="7976" t="s">
        <v>3643</v>
      </c>
      <c r="E454" s="7976" t="s">
        <v>3644</v>
      </c>
      <c r="F454" s="7976" t="s">
        <v>2757</v>
      </c>
      <c r="G454" s="7976" t="s">
        <v>22</v>
      </c>
      <c r="H454" s="7976" t="s">
        <v>2758</v>
      </c>
      <c r="I454" s="7976" t="s">
        <v>918</v>
      </c>
    </row>
    <row customHeight="1" ht="11.25">
      <c r="A455" s="7976" t="s">
        <v>2530</v>
      </c>
      <c r="B455" s="7976" t="s">
        <v>16</v>
      </c>
      <c r="C455" s="7976" t="s">
        <v>3645</v>
      </c>
      <c r="D455" s="7976" t="s">
        <v>3646</v>
      </c>
      <c r="E455" s="7976" t="s">
        <v>3647</v>
      </c>
      <c r="F455" s="7976" t="s">
        <v>2539</v>
      </c>
      <c r="G455" s="7976" t="s">
        <v>3648</v>
      </c>
      <c r="H455" s="7976" t="s">
        <v>22</v>
      </c>
      <c r="I455" s="7976" t="s">
        <v>918</v>
      </c>
    </row>
    <row customHeight="1" ht="11.25">
      <c r="A456" s="7976" t="s">
        <v>2530</v>
      </c>
      <c r="B456" s="7976" t="s">
        <v>16</v>
      </c>
      <c r="C456" s="7976" t="s">
        <v>3649</v>
      </c>
      <c r="D456" s="7976" t="s">
        <v>3650</v>
      </c>
      <c r="E456" s="7976" t="s">
        <v>3651</v>
      </c>
      <c r="F456" s="7976" t="s">
        <v>2555</v>
      </c>
      <c r="G456" s="7976" t="s">
        <v>22</v>
      </c>
      <c r="H456" s="7976" t="s">
        <v>2557</v>
      </c>
      <c r="I456" s="7976" t="s">
        <v>918</v>
      </c>
    </row>
    <row customHeight="1" ht="11.25">
      <c r="A457" s="7976" t="s">
        <v>2530</v>
      </c>
      <c r="B457" s="7976" t="s">
        <v>16</v>
      </c>
      <c r="C457" s="7976" t="s">
        <v>3652</v>
      </c>
      <c r="D457" s="7976" t="s">
        <v>3653</v>
      </c>
      <c r="E457" s="7976" t="s">
        <v>3654</v>
      </c>
      <c r="F457" s="7976" t="s">
        <v>2589</v>
      </c>
      <c r="G457" s="7976" t="s">
        <v>22</v>
      </c>
      <c r="H457" s="7976" t="s">
        <v>2626</v>
      </c>
      <c r="I457" s="7976" t="s">
        <v>918</v>
      </c>
    </row>
    <row customHeight="1" ht="11.25">
      <c r="A458" s="7976" t="s">
        <v>2530</v>
      </c>
      <c r="B458" s="7976" t="s">
        <v>16</v>
      </c>
      <c r="C458" s="7976" t="s">
        <v>3655</v>
      </c>
      <c r="D458" s="7976" t="s">
        <v>3656</v>
      </c>
      <c r="E458" s="7976" t="s">
        <v>3657</v>
      </c>
      <c r="F458" s="7976" t="s">
        <v>2636</v>
      </c>
      <c r="G458" s="7976" t="s">
        <v>22</v>
      </c>
      <c r="H458" s="7976" t="s">
        <v>2637</v>
      </c>
      <c r="I458" s="7976" t="s">
        <v>918</v>
      </c>
    </row>
    <row customHeight="1" ht="11.25">
      <c r="A459" s="7976" t="s">
        <v>2530</v>
      </c>
      <c r="B459" s="7976" t="s">
        <v>16</v>
      </c>
      <c r="C459" s="7976" t="s">
        <v>3658</v>
      </c>
      <c r="D459" s="7976" t="s">
        <v>3659</v>
      </c>
      <c r="E459" s="7976" t="s">
        <v>3660</v>
      </c>
      <c r="F459" s="7976" t="s">
        <v>2690</v>
      </c>
      <c r="G459" s="7976" t="s">
        <v>22</v>
      </c>
      <c r="H459" s="7976" t="s">
        <v>2692</v>
      </c>
      <c r="I459" s="7976" t="s">
        <v>918</v>
      </c>
    </row>
    <row customHeight="1" ht="11.25">
      <c r="A460" s="7976" t="s">
        <v>2530</v>
      </c>
      <c r="B460" s="7976" t="s">
        <v>16</v>
      </c>
      <c r="C460" s="7976" t="s">
        <v>3661</v>
      </c>
      <c r="D460" s="7976" t="s">
        <v>3662</v>
      </c>
      <c r="E460" s="7976" t="s">
        <v>3663</v>
      </c>
      <c r="F460" s="7976" t="s">
        <v>2690</v>
      </c>
      <c r="G460" s="7976" t="s">
        <v>22</v>
      </c>
      <c r="H460" s="7976" t="s">
        <v>2692</v>
      </c>
      <c r="I460" s="7976" t="s">
        <v>918</v>
      </c>
    </row>
    <row customHeight="1" ht="11.25">
      <c r="A461" s="7976" t="s">
        <v>2530</v>
      </c>
      <c r="B461" s="7976" t="s">
        <v>16</v>
      </c>
      <c r="C461" s="7976" t="s">
        <v>3664</v>
      </c>
      <c r="D461" s="7976" t="s">
        <v>3665</v>
      </c>
      <c r="E461" s="7976" t="s">
        <v>3666</v>
      </c>
      <c r="F461" s="7976" t="s">
        <v>2954</v>
      </c>
      <c r="G461" s="7976" t="s">
        <v>22</v>
      </c>
      <c r="H461" s="7976" t="s">
        <v>3667</v>
      </c>
      <c r="I461" s="7976" t="s">
        <v>918</v>
      </c>
    </row>
    <row customHeight="1" ht="11.25">
      <c r="A462" s="7976" t="s">
        <v>2530</v>
      </c>
      <c r="B462" s="7976" t="s">
        <v>16</v>
      </c>
      <c r="C462" s="7976" t="s">
        <v>3668</v>
      </c>
      <c r="D462" s="7976" t="s">
        <v>3669</v>
      </c>
      <c r="E462" s="7976" t="s">
        <v>3670</v>
      </c>
      <c r="F462" s="7976" t="s">
        <v>2648</v>
      </c>
      <c r="G462" s="7976" t="s">
        <v>22</v>
      </c>
      <c r="H462" s="7976" t="s">
        <v>22</v>
      </c>
      <c r="I462" s="7976" t="s">
        <v>918</v>
      </c>
    </row>
    <row customHeight="1" ht="11.25">
      <c r="A463" s="7976" t="s">
        <v>2530</v>
      </c>
      <c r="B463" s="7976" t="s">
        <v>16</v>
      </c>
      <c r="C463" s="7976" t="s">
        <v>3671</v>
      </c>
      <c r="D463" s="7976" t="s">
        <v>3672</v>
      </c>
      <c r="E463" s="7976" t="s">
        <v>3673</v>
      </c>
      <c r="F463" s="7976" t="s">
        <v>3056</v>
      </c>
      <c r="G463" s="7976" t="s">
        <v>22</v>
      </c>
      <c r="H463" s="7976" t="s">
        <v>3603</v>
      </c>
      <c r="I463" s="7976" t="s">
        <v>918</v>
      </c>
    </row>
    <row customHeight="1" ht="11.25">
      <c r="A464" s="7976" t="s">
        <v>2530</v>
      </c>
      <c r="B464" s="7976" t="s">
        <v>16</v>
      </c>
      <c r="C464" s="7976" t="s">
        <v>2701</v>
      </c>
      <c r="D464" s="7976" t="s">
        <v>2702</v>
      </c>
      <c r="E464" s="7976" t="s">
        <v>2703</v>
      </c>
      <c r="F464" s="7976" t="s">
        <v>2690</v>
      </c>
      <c r="G464" s="7976" t="s">
        <v>2704</v>
      </c>
      <c r="H464" s="7976" t="s">
        <v>2692</v>
      </c>
      <c r="I464" s="7976" t="s">
        <v>918</v>
      </c>
    </row>
    <row customHeight="1" ht="11.25">
      <c r="A465" s="7976" t="s">
        <v>2530</v>
      </c>
      <c r="B465" s="7976" t="s">
        <v>16</v>
      </c>
      <c r="C465" s="7976" t="s">
        <v>2705</v>
      </c>
      <c r="D465" s="7976" t="s">
        <v>2706</v>
      </c>
      <c r="E465" s="7976" t="s">
        <v>2707</v>
      </c>
      <c r="F465" s="7976" t="s">
        <v>2690</v>
      </c>
      <c r="G465" s="7976" t="s">
        <v>22</v>
      </c>
      <c r="H465" s="7976" t="s">
        <v>2692</v>
      </c>
      <c r="I465" s="7976" t="s">
        <v>918</v>
      </c>
    </row>
    <row customHeight="1" ht="11.25">
      <c r="A466" s="7976" t="s">
        <v>2530</v>
      </c>
      <c r="B466" s="7976" t="s">
        <v>16</v>
      </c>
      <c r="C466" s="7976" t="s">
        <v>2708</v>
      </c>
      <c r="D466" s="7976" t="s">
        <v>2709</v>
      </c>
      <c r="E466" s="7976" t="s">
        <v>2710</v>
      </c>
      <c r="F466" s="7976" t="s">
        <v>2670</v>
      </c>
      <c r="G466" s="7976" t="s">
        <v>22</v>
      </c>
      <c r="H466" s="7976" t="s">
        <v>2711</v>
      </c>
      <c r="I466" s="7976" t="s">
        <v>918</v>
      </c>
    </row>
    <row customHeight="1" ht="11.25">
      <c r="A467" s="7976" t="s">
        <v>2530</v>
      </c>
      <c r="B467" s="7976" t="s">
        <v>16</v>
      </c>
      <c r="C467" s="7976" t="s">
        <v>3674</v>
      </c>
      <c r="D467" s="7976" t="s">
        <v>3675</v>
      </c>
      <c r="E467" s="7976" t="s">
        <v>3676</v>
      </c>
      <c r="F467" s="7976" t="s">
        <v>2630</v>
      </c>
      <c r="G467" s="7976" t="s">
        <v>22</v>
      </c>
      <c r="H467" s="7976" t="s">
        <v>2632</v>
      </c>
      <c r="I467" s="7976" t="s">
        <v>918</v>
      </c>
    </row>
    <row customHeight="1" ht="11.25">
      <c r="A468" s="7976" t="s">
        <v>2530</v>
      </c>
      <c r="B468" s="7976" t="s">
        <v>16</v>
      </c>
      <c r="C468" s="7976" t="s">
        <v>3677</v>
      </c>
      <c r="D468" s="7976" t="s">
        <v>3678</v>
      </c>
      <c r="E468" s="7976" t="s">
        <v>3679</v>
      </c>
      <c r="F468" s="7976" t="s">
        <v>2636</v>
      </c>
      <c r="G468" s="7976" t="s">
        <v>22</v>
      </c>
      <c r="H468" s="7976" t="s">
        <v>2637</v>
      </c>
      <c r="I468" s="7976" t="s">
        <v>918</v>
      </c>
    </row>
    <row customHeight="1" ht="11.25">
      <c r="A469" s="7976" t="s">
        <v>2530</v>
      </c>
      <c r="B469" s="7976" t="s">
        <v>16</v>
      </c>
      <c r="C469" s="7976" t="s">
        <v>2712</v>
      </c>
      <c r="D469" s="7976" t="s">
        <v>2713</v>
      </c>
      <c r="E469" s="7976" t="s">
        <v>2714</v>
      </c>
      <c r="F469" s="7976" t="s">
        <v>2648</v>
      </c>
      <c r="G469" s="7976" t="s">
        <v>2715</v>
      </c>
      <c r="H469" s="7976" t="s">
        <v>22</v>
      </c>
      <c r="I469" s="7976" t="s">
        <v>918</v>
      </c>
    </row>
    <row customHeight="1" ht="11.25">
      <c r="A470" s="7976" t="s">
        <v>2530</v>
      </c>
      <c r="B470" s="7976" t="s">
        <v>16</v>
      </c>
      <c r="C470" s="7976" t="s">
        <v>3680</v>
      </c>
      <c r="D470" s="7976" t="s">
        <v>3681</v>
      </c>
      <c r="E470" s="7976" t="s">
        <v>3682</v>
      </c>
      <c r="F470" s="7976" t="s">
        <v>2657</v>
      </c>
      <c r="G470" s="7976" t="s">
        <v>22</v>
      </c>
      <c r="H470" s="7976" t="s">
        <v>22</v>
      </c>
      <c r="I470" s="7976" t="s">
        <v>918</v>
      </c>
    </row>
    <row customHeight="1" ht="11.25">
      <c r="A471" s="7976" t="s">
        <v>2530</v>
      </c>
      <c r="B471" s="7976" t="s">
        <v>16</v>
      </c>
      <c r="C471" s="7976" t="s">
        <v>3683</v>
      </c>
      <c r="D471" s="7976" t="s">
        <v>3684</v>
      </c>
      <c r="E471" s="7976" t="s">
        <v>3685</v>
      </c>
      <c r="F471" s="7976" t="s">
        <v>2743</v>
      </c>
      <c r="G471" s="7976" t="s">
        <v>3565</v>
      </c>
      <c r="H471" s="7976" t="s">
        <v>2744</v>
      </c>
      <c r="I471" s="7976" t="s">
        <v>918</v>
      </c>
    </row>
    <row customHeight="1" ht="11.25">
      <c r="A472" s="7976" t="s">
        <v>2530</v>
      </c>
      <c r="B472" s="7976" t="s">
        <v>16</v>
      </c>
      <c r="C472" s="7976" t="s">
        <v>3686</v>
      </c>
      <c r="D472" s="7976" t="s">
        <v>3687</v>
      </c>
      <c r="E472" s="7976" t="s">
        <v>3688</v>
      </c>
      <c r="F472" s="7976" t="s">
        <v>2597</v>
      </c>
      <c r="G472" s="7976" t="s">
        <v>22</v>
      </c>
      <c r="H472" s="7976" t="s">
        <v>2644</v>
      </c>
      <c r="I472" s="7976" t="s">
        <v>918</v>
      </c>
    </row>
    <row customHeight="1" ht="11.25">
      <c r="A473" s="7976" t="s">
        <v>2530</v>
      </c>
      <c r="B473" s="7976" t="s">
        <v>16</v>
      </c>
      <c r="C473" s="7976" t="s">
        <v>3689</v>
      </c>
      <c r="D473" s="7976" t="s">
        <v>3690</v>
      </c>
      <c r="E473" s="7976" t="s">
        <v>3691</v>
      </c>
      <c r="F473" s="7976" t="s">
        <v>2551</v>
      </c>
      <c r="G473" s="7976" t="s">
        <v>22</v>
      </c>
      <c r="H473" s="7976" t="s">
        <v>22</v>
      </c>
      <c r="I473" s="7976" t="s">
        <v>918</v>
      </c>
    </row>
    <row customHeight="1" ht="11.25">
      <c r="A474" s="7976" t="s">
        <v>2530</v>
      </c>
      <c r="B474" s="7976" t="s">
        <v>16</v>
      </c>
      <c r="C474" s="7976" t="s">
        <v>2716</v>
      </c>
      <c r="D474" s="7976" t="s">
        <v>2717</v>
      </c>
      <c r="E474" s="7976" t="s">
        <v>2718</v>
      </c>
      <c r="F474" s="7976" t="s">
        <v>2690</v>
      </c>
      <c r="G474" s="7976" t="s">
        <v>2719</v>
      </c>
      <c r="H474" s="7976" t="s">
        <v>2692</v>
      </c>
      <c r="I474" s="7976" t="s">
        <v>918</v>
      </c>
    </row>
    <row customHeight="1" ht="11.25">
      <c r="A475" s="7976" t="s">
        <v>2530</v>
      </c>
      <c r="B475" s="7976" t="s">
        <v>16</v>
      </c>
      <c r="C475" s="7976" t="s">
        <v>3692</v>
      </c>
      <c r="D475" s="7976" t="s">
        <v>3693</v>
      </c>
      <c r="E475" s="7976" t="s">
        <v>3694</v>
      </c>
      <c r="F475" s="7976" t="s">
        <v>2954</v>
      </c>
      <c r="G475" s="7976" t="s">
        <v>22</v>
      </c>
      <c r="H475" s="7976" t="s">
        <v>3667</v>
      </c>
      <c r="I475" s="7976" t="s">
        <v>918</v>
      </c>
    </row>
    <row customHeight="1" ht="11.25">
      <c r="A476" s="7976" t="s">
        <v>2530</v>
      </c>
      <c r="B476" s="7976" t="s">
        <v>16</v>
      </c>
      <c r="C476" s="7976" t="s">
        <v>3695</v>
      </c>
      <c r="D476" s="7976" t="s">
        <v>3696</v>
      </c>
      <c r="E476" s="7976" t="s">
        <v>3697</v>
      </c>
      <c r="F476" s="7976" t="s">
        <v>2555</v>
      </c>
      <c r="G476" s="7976" t="s">
        <v>22</v>
      </c>
      <c r="H476" s="7976" t="s">
        <v>2557</v>
      </c>
      <c r="I476" s="7976" t="s">
        <v>918</v>
      </c>
    </row>
    <row customHeight="1" ht="11.25">
      <c r="A477" s="7976" t="s">
        <v>2530</v>
      </c>
      <c r="B477" s="7976" t="s">
        <v>16</v>
      </c>
      <c r="C477" s="7976" t="s">
        <v>3698</v>
      </c>
      <c r="D477" s="7976" t="s">
        <v>3699</v>
      </c>
      <c r="E477" s="7976" t="s">
        <v>3700</v>
      </c>
      <c r="F477" s="7976" t="s">
        <v>2551</v>
      </c>
      <c r="G477" s="7976" t="s">
        <v>2723</v>
      </c>
      <c r="H477" s="7976" t="s">
        <v>22</v>
      </c>
      <c r="I477" s="7976" t="s">
        <v>918</v>
      </c>
    </row>
    <row customHeight="1" ht="11.25">
      <c r="A478" s="7976" t="s">
        <v>2530</v>
      </c>
      <c r="B478" s="7976" t="s">
        <v>16</v>
      </c>
      <c r="C478" s="7976" t="s">
        <v>3701</v>
      </c>
      <c r="D478" s="7976" t="s">
        <v>3702</v>
      </c>
      <c r="E478" s="7976" t="s">
        <v>3703</v>
      </c>
      <c r="F478" s="7976" t="s">
        <v>2636</v>
      </c>
      <c r="G478" s="7976" t="s">
        <v>22</v>
      </c>
      <c r="H478" s="7976" t="s">
        <v>2637</v>
      </c>
      <c r="I478" s="7976" t="s">
        <v>918</v>
      </c>
    </row>
    <row customHeight="1" ht="11.25">
      <c r="A479" s="7976" t="s">
        <v>2530</v>
      </c>
      <c r="B479" s="7976" t="s">
        <v>16</v>
      </c>
      <c r="C479" s="7976" t="s">
        <v>3704</v>
      </c>
      <c r="D479" s="7976" t="s">
        <v>3705</v>
      </c>
      <c r="E479" s="7976" t="s">
        <v>3706</v>
      </c>
      <c r="F479" s="7976" t="s">
        <v>2757</v>
      </c>
      <c r="G479" s="7976" t="s">
        <v>22</v>
      </c>
      <c r="H479" s="7976" t="s">
        <v>2758</v>
      </c>
      <c r="I479" s="7976" t="s">
        <v>918</v>
      </c>
    </row>
    <row customHeight="1" ht="11.25">
      <c r="A480" s="7976" t="s">
        <v>2530</v>
      </c>
      <c r="B480" s="7976" t="s">
        <v>16</v>
      </c>
      <c r="C480" s="7976" t="s">
        <v>2724</v>
      </c>
      <c r="D480" s="7976" t="s">
        <v>2725</v>
      </c>
      <c r="E480" s="7976" t="s">
        <v>2726</v>
      </c>
      <c r="F480" s="7976" t="s">
        <v>2670</v>
      </c>
      <c r="G480" s="7976" t="s">
        <v>22</v>
      </c>
      <c r="H480" s="7976" t="s">
        <v>2711</v>
      </c>
      <c r="I480" s="7976" t="s">
        <v>918</v>
      </c>
    </row>
    <row customHeight="1" ht="11.25">
      <c r="A481" s="7976" t="s">
        <v>2530</v>
      </c>
      <c r="B481" s="7976" t="s">
        <v>16</v>
      </c>
      <c r="C481" s="7976" t="s">
        <v>3707</v>
      </c>
      <c r="D481" s="7976" t="s">
        <v>3708</v>
      </c>
      <c r="E481" s="7976" t="s">
        <v>3709</v>
      </c>
      <c r="F481" s="7976" t="s">
        <v>2757</v>
      </c>
      <c r="G481" s="7976" t="s">
        <v>22</v>
      </c>
      <c r="H481" s="7976" t="s">
        <v>2758</v>
      </c>
      <c r="I481" s="7976" t="s">
        <v>918</v>
      </c>
    </row>
    <row customHeight="1" ht="11.25">
      <c r="A482" s="7976" t="s">
        <v>2530</v>
      </c>
      <c r="B482" s="7976" t="s">
        <v>16</v>
      </c>
      <c r="C482" s="7976" t="s">
        <v>3710</v>
      </c>
      <c r="D482" s="7976" t="s">
        <v>3711</v>
      </c>
      <c r="E482" s="7976" t="s">
        <v>3712</v>
      </c>
      <c r="F482" s="7976" t="s">
        <v>2589</v>
      </c>
      <c r="G482" s="7976" t="s">
        <v>22</v>
      </c>
      <c r="H482" s="7976" t="s">
        <v>2626</v>
      </c>
      <c r="I482" s="7976" t="s">
        <v>918</v>
      </c>
    </row>
    <row customHeight="1" ht="11.25">
      <c r="A483" s="7976" t="s">
        <v>2530</v>
      </c>
      <c r="B483" s="7976" t="s">
        <v>16</v>
      </c>
      <c r="C483" s="7976" t="s">
        <v>2727</v>
      </c>
      <c r="D483" s="7976" t="s">
        <v>2728</v>
      </c>
      <c r="E483" s="7976" t="s">
        <v>2729</v>
      </c>
      <c r="F483" s="7976" t="s">
        <v>2555</v>
      </c>
      <c r="G483" s="7976" t="s">
        <v>22</v>
      </c>
      <c r="H483" s="7976" t="s">
        <v>2557</v>
      </c>
      <c r="I483" s="7976" t="s">
        <v>918</v>
      </c>
    </row>
    <row customHeight="1" ht="11.25">
      <c r="A484" s="7976" t="s">
        <v>2530</v>
      </c>
      <c r="B484" s="7976" t="s">
        <v>16</v>
      </c>
      <c r="C484" s="7976" t="s">
        <v>3713</v>
      </c>
      <c r="D484" s="7976" t="s">
        <v>3714</v>
      </c>
      <c r="E484" s="7976" t="s">
        <v>3715</v>
      </c>
      <c r="F484" s="7976" t="s">
        <v>2555</v>
      </c>
      <c r="G484" s="7976" t="s">
        <v>22</v>
      </c>
      <c r="H484" s="7976" t="s">
        <v>2557</v>
      </c>
      <c r="I484" s="7976" t="s">
        <v>918</v>
      </c>
    </row>
    <row customHeight="1" ht="11.25">
      <c r="A485" s="7976" t="s">
        <v>2530</v>
      </c>
      <c r="B485" s="7976" t="s">
        <v>16</v>
      </c>
      <c r="C485" s="7976" t="s">
        <v>2733</v>
      </c>
      <c r="D485" s="7976" t="s">
        <v>2734</v>
      </c>
      <c r="E485" s="7976" t="s">
        <v>2735</v>
      </c>
      <c r="F485" s="7976" t="s">
        <v>2657</v>
      </c>
      <c r="G485" s="7976" t="s">
        <v>2736</v>
      </c>
      <c r="H485" s="7976" t="s">
        <v>22</v>
      </c>
      <c r="I485" s="7976" t="s">
        <v>918</v>
      </c>
    </row>
    <row customHeight="1" ht="11.25">
      <c r="A486" s="7976" t="s">
        <v>2530</v>
      </c>
      <c r="B486" s="7976" t="s">
        <v>16</v>
      </c>
      <c r="C486" s="7976" t="s">
        <v>3716</v>
      </c>
      <c r="D486" s="7976" t="s">
        <v>3717</v>
      </c>
      <c r="E486" s="7976" t="s">
        <v>3718</v>
      </c>
      <c r="F486" s="7976" t="s">
        <v>2597</v>
      </c>
      <c r="G486" s="7976" t="s">
        <v>2625</v>
      </c>
      <c r="H486" s="7976" t="s">
        <v>2644</v>
      </c>
      <c r="I486" s="7976" t="s">
        <v>918</v>
      </c>
    </row>
    <row customHeight="1" ht="11.25">
      <c r="A487" s="7976" t="s">
        <v>2530</v>
      </c>
      <c r="B487" s="7976" t="s">
        <v>16</v>
      </c>
      <c r="C487" s="7976" t="s">
        <v>3719</v>
      </c>
      <c r="D487" s="7976" t="s">
        <v>3720</v>
      </c>
      <c r="E487" s="7976" t="s">
        <v>3721</v>
      </c>
      <c r="F487" s="7976" t="s">
        <v>2534</v>
      </c>
      <c r="G487" s="7976" t="s">
        <v>3607</v>
      </c>
      <c r="H487" s="7976" t="s">
        <v>3504</v>
      </c>
      <c r="I487" s="7976" t="s">
        <v>918</v>
      </c>
    </row>
    <row customHeight="1" ht="11.25">
      <c r="A488" s="7976" t="s">
        <v>2530</v>
      </c>
      <c r="B488" s="7976" t="s">
        <v>16</v>
      </c>
      <c r="C488" s="7976" t="s">
        <v>3722</v>
      </c>
      <c r="D488" s="7976" t="s">
        <v>3723</v>
      </c>
      <c r="E488" s="7976" t="s">
        <v>3724</v>
      </c>
      <c r="F488" s="7976" t="s">
        <v>2954</v>
      </c>
      <c r="G488" s="7976" t="s">
        <v>22</v>
      </c>
      <c r="H488" s="7976" t="s">
        <v>3667</v>
      </c>
      <c r="I488" s="7976" t="s">
        <v>918</v>
      </c>
    </row>
    <row customHeight="1" ht="11.25">
      <c r="A489" s="7976" t="s">
        <v>2530</v>
      </c>
      <c r="B489" s="7976" t="s">
        <v>16</v>
      </c>
      <c r="C489" s="7976" t="s">
        <v>2737</v>
      </c>
      <c r="D489" s="7976" t="s">
        <v>2738</v>
      </c>
      <c r="E489" s="7976" t="s">
        <v>2739</v>
      </c>
      <c r="F489" s="7976" t="s">
        <v>2690</v>
      </c>
      <c r="G489" s="7976" t="s">
        <v>22</v>
      </c>
      <c r="H489" s="7976" t="s">
        <v>2692</v>
      </c>
      <c r="I489" s="7976" t="s">
        <v>918</v>
      </c>
    </row>
    <row customHeight="1" ht="11.25">
      <c r="A490" s="7976" t="s">
        <v>2530</v>
      </c>
      <c r="B490" s="7976" t="s">
        <v>16</v>
      </c>
      <c r="C490" s="7976" t="s">
        <v>3725</v>
      </c>
      <c r="D490" s="7976" t="s">
        <v>3726</v>
      </c>
      <c r="E490" s="7976" t="s">
        <v>3727</v>
      </c>
      <c r="F490" s="7976" t="s">
        <v>3618</v>
      </c>
      <c r="G490" s="7976" t="s">
        <v>3728</v>
      </c>
      <c r="H490" s="7976" t="s">
        <v>22</v>
      </c>
      <c r="I490" s="7976" t="s">
        <v>918</v>
      </c>
    </row>
    <row customHeight="1" ht="11.25">
      <c r="A491" s="7976" t="s">
        <v>2530</v>
      </c>
      <c r="B491" s="7976" t="s">
        <v>16</v>
      </c>
      <c r="C491" s="7976" t="s">
        <v>2745</v>
      </c>
      <c r="D491" s="7976" t="s">
        <v>2746</v>
      </c>
      <c r="E491" s="7976" t="s">
        <v>2747</v>
      </c>
      <c r="F491" s="7976" t="s">
        <v>2636</v>
      </c>
      <c r="G491" s="7976" t="s">
        <v>22</v>
      </c>
      <c r="H491" s="7976" t="s">
        <v>2637</v>
      </c>
      <c r="I491" s="7976" t="s">
        <v>918</v>
      </c>
    </row>
    <row customHeight="1" ht="11.25">
      <c r="A492" s="7976" t="s">
        <v>2530</v>
      </c>
      <c r="B492" s="7976" t="s">
        <v>16</v>
      </c>
      <c r="C492" s="7976" t="s">
        <v>3729</v>
      </c>
      <c r="D492" s="7976" t="s">
        <v>3730</v>
      </c>
      <c r="E492" s="7976" t="s">
        <v>3731</v>
      </c>
      <c r="F492" s="7976" t="s">
        <v>2757</v>
      </c>
      <c r="G492" s="7976" t="s">
        <v>22</v>
      </c>
      <c r="H492" s="7976" t="s">
        <v>2758</v>
      </c>
      <c r="I492" s="7976" t="s">
        <v>918</v>
      </c>
    </row>
    <row customHeight="1" ht="11.25">
      <c r="A493" s="7976" t="s">
        <v>2530</v>
      </c>
      <c r="B493" s="7976" t="s">
        <v>16</v>
      </c>
      <c r="C493" s="7976" t="s">
        <v>3732</v>
      </c>
      <c r="D493" s="7976" t="s">
        <v>3733</v>
      </c>
      <c r="E493" s="7976" t="s">
        <v>3734</v>
      </c>
      <c r="F493" s="7976" t="s">
        <v>2589</v>
      </c>
      <c r="G493" s="7976" t="s">
        <v>3735</v>
      </c>
      <c r="H493" s="7976" t="s">
        <v>2626</v>
      </c>
      <c r="I493" s="7976" t="s">
        <v>918</v>
      </c>
    </row>
    <row customHeight="1" ht="11.25">
      <c r="A494" s="7976" t="s">
        <v>2530</v>
      </c>
      <c r="B494" s="7976" t="s">
        <v>16</v>
      </c>
      <c r="C494" s="7976" t="s">
        <v>3736</v>
      </c>
      <c r="D494" s="7976" t="s">
        <v>3737</v>
      </c>
      <c r="E494" s="7976" t="s">
        <v>3738</v>
      </c>
      <c r="F494" s="7976" t="s">
        <v>2636</v>
      </c>
      <c r="G494" s="7976" t="s">
        <v>22</v>
      </c>
      <c r="H494" s="7976" t="s">
        <v>2637</v>
      </c>
      <c r="I494" s="7976" t="s">
        <v>918</v>
      </c>
    </row>
    <row customHeight="1" ht="11.25">
      <c r="A495" s="7976" t="s">
        <v>2530</v>
      </c>
      <c r="B495" s="7976" t="s">
        <v>16</v>
      </c>
      <c r="C495" s="7976" t="s">
        <v>3739</v>
      </c>
      <c r="D495" s="7976" t="s">
        <v>3740</v>
      </c>
      <c r="E495" s="7976" t="s">
        <v>3741</v>
      </c>
      <c r="F495" s="7976" t="s">
        <v>2551</v>
      </c>
      <c r="G495" s="7976" t="s">
        <v>3742</v>
      </c>
      <c r="H495" s="7976" t="s">
        <v>22</v>
      </c>
      <c r="I495" s="7976" t="s">
        <v>918</v>
      </c>
    </row>
    <row customHeight="1" ht="11.25">
      <c r="A496" s="7976" t="s">
        <v>2530</v>
      </c>
      <c r="B496" s="7976" t="s">
        <v>16</v>
      </c>
      <c r="C496" s="7976" t="s">
        <v>2748</v>
      </c>
      <c r="D496" s="7976" t="s">
        <v>2749</v>
      </c>
      <c r="E496" s="7976" t="s">
        <v>2750</v>
      </c>
      <c r="F496" s="7976" t="s">
        <v>2555</v>
      </c>
      <c r="G496" s="7976" t="s">
        <v>22</v>
      </c>
      <c r="H496" s="7976" t="s">
        <v>2557</v>
      </c>
      <c r="I496" s="7976" t="s">
        <v>918</v>
      </c>
    </row>
    <row customHeight="1" ht="11.25">
      <c r="A497" s="7976" t="s">
        <v>2530</v>
      </c>
      <c r="B497" s="7976" t="s">
        <v>16</v>
      </c>
      <c r="C497" s="7976" t="s">
        <v>3743</v>
      </c>
      <c r="D497" s="7976" t="s">
        <v>3744</v>
      </c>
      <c r="E497" s="7976" t="s">
        <v>3745</v>
      </c>
      <c r="F497" s="7976" t="s">
        <v>2954</v>
      </c>
      <c r="G497" s="7976" t="s">
        <v>2833</v>
      </c>
      <c r="H497" s="7976" t="s">
        <v>3667</v>
      </c>
      <c r="I497" s="7976" t="s">
        <v>918</v>
      </c>
    </row>
    <row customHeight="1" ht="11.25">
      <c r="A498" s="7976" t="s">
        <v>2530</v>
      </c>
      <c r="B498" s="7976" t="s">
        <v>16</v>
      </c>
      <c r="C498" s="7976" t="s">
        <v>3746</v>
      </c>
      <c r="D498" s="7976" t="s">
        <v>3747</v>
      </c>
      <c r="E498" s="7976" t="s">
        <v>3748</v>
      </c>
      <c r="F498" s="7976" t="s">
        <v>2597</v>
      </c>
      <c r="G498" s="7976" t="s">
        <v>22</v>
      </c>
      <c r="H498" s="7976" t="s">
        <v>2644</v>
      </c>
      <c r="I498" s="7976" t="s">
        <v>918</v>
      </c>
    </row>
    <row customHeight="1" ht="11.25">
      <c r="A499" s="7976" t="s">
        <v>2530</v>
      </c>
      <c r="B499" s="7976" t="s">
        <v>16</v>
      </c>
      <c r="C499" s="7976" t="s">
        <v>3749</v>
      </c>
      <c r="D499" s="7976" t="s">
        <v>3750</v>
      </c>
      <c r="E499" s="7976" t="s">
        <v>3751</v>
      </c>
      <c r="F499" s="7976" t="s">
        <v>2757</v>
      </c>
      <c r="G499" s="7976" t="s">
        <v>22</v>
      </c>
      <c r="H499" s="7976" t="s">
        <v>2758</v>
      </c>
      <c r="I499" s="7976" t="s">
        <v>918</v>
      </c>
    </row>
    <row customHeight="1" ht="11.25">
      <c r="A500" s="7976" t="s">
        <v>2530</v>
      </c>
      <c r="B500" s="7976" t="s">
        <v>16</v>
      </c>
      <c r="C500" s="7976" t="s">
        <v>3752</v>
      </c>
      <c r="D500" s="7976" t="s">
        <v>3753</v>
      </c>
      <c r="E500" s="7976" t="s">
        <v>3754</v>
      </c>
      <c r="F500" s="7976" t="s">
        <v>2954</v>
      </c>
      <c r="G500" s="7976" t="s">
        <v>3755</v>
      </c>
      <c r="H500" s="7976" t="s">
        <v>3667</v>
      </c>
      <c r="I500" s="7976" t="s">
        <v>918</v>
      </c>
    </row>
    <row customHeight="1" ht="11.25">
      <c r="A501" s="7976" t="s">
        <v>2530</v>
      </c>
      <c r="B501" s="7976" t="s">
        <v>16</v>
      </c>
      <c r="C501" s="7976" t="s">
        <v>3756</v>
      </c>
      <c r="D501" s="7976" t="s">
        <v>3757</v>
      </c>
      <c r="E501" s="7976" t="s">
        <v>3758</v>
      </c>
      <c r="F501" s="7976" t="s">
        <v>2657</v>
      </c>
      <c r="G501" s="7976" t="s">
        <v>22</v>
      </c>
      <c r="H501" s="7976" t="s">
        <v>22</v>
      </c>
      <c r="I501" s="7976" t="s">
        <v>918</v>
      </c>
    </row>
    <row customHeight="1" ht="11.25">
      <c r="A502" s="7976" t="s">
        <v>2530</v>
      </c>
      <c r="B502" s="7976" t="s">
        <v>16</v>
      </c>
      <c r="C502" s="7976" t="s">
        <v>3759</v>
      </c>
      <c r="D502" s="7976" t="s">
        <v>3760</v>
      </c>
      <c r="E502" s="7976" t="s">
        <v>3761</v>
      </c>
      <c r="F502" s="7976" t="s">
        <v>2657</v>
      </c>
      <c r="G502" s="7976" t="s">
        <v>22</v>
      </c>
      <c r="H502" s="7976" t="s">
        <v>22</v>
      </c>
      <c r="I502" s="7976" t="s">
        <v>918</v>
      </c>
    </row>
    <row customHeight="1" ht="11.25">
      <c r="A503" s="7976" t="s">
        <v>2530</v>
      </c>
      <c r="B503" s="7976" t="s">
        <v>16</v>
      </c>
      <c r="C503" s="7976" t="s">
        <v>2751</v>
      </c>
      <c r="D503" s="7976" t="s">
        <v>2752</v>
      </c>
      <c r="E503" s="7976" t="s">
        <v>2753</v>
      </c>
      <c r="F503" s="7976" t="s">
        <v>2657</v>
      </c>
      <c r="G503" s="7976" t="s">
        <v>22</v>
      </c>
      <c r="H503" s="7976" t="s">
        <v>22</v>
      </c>
      <c r="I503" s="7976" t="s">
        <v>918</v>
      </c>
    </row>
    <row customHeight="1" ht="11.25">
      <c r="A504" s="7976" t="s">
        <v>2530</v>
      </c>
      <c r="B504" s="7976" t="s">
        <v>16</v>
      </c>
      <c r="C504" s="7976" t="s">
        <v>3762</v>
      </c>
      <c r="D504" s="7976" t="s">
        <v>3763</v>
      </c>
      <c r="E504" s="7976" t="s">
        <v>3764</v>
      </c>
      <c r="F504" s="7976" t="s">
        <v>2636</v>
      </c>
      <c r="G504" s="7976" t="s">
        <v>22</v>
      </c>
      <c r="H504" s="7976" t="s">
        <v>2637</v>
      </c>
      <c r="I504" s="7976" t="s">
        <v>918</v>
      </c>
    </row>
    <row customHeight="1" ht="11.25">
      <c r="A505" s="7976" t="s">
        <v>2530</v>
      </c>
      <c r="B505" s="7976" t="s">
        <v>16</v>
      </c>
      <c r="C505" s="7976" t="s">
        <v>2754</v>
      </c>
      <c r="D505" s="7976" t="s">
        <v>2755</v>
      </c>
      <c r="E505" s="7976" t="s">
        <v>2756</v>
      </c>
      <c r="F505" s="7976" t="s">
        <v>2757</v>
      </c>
      <c r="G505" s="7976" t="s">
        <v>22</v>
      </c>
      <c r="H505" s="7976" t="s">
        <v>2758</v>
      </c>
      <c r="I505" s="7976" t="s">
        <v>918</v>
      </c>
    </row>
    <row customHeight="1" ht="11.25">
      <c r="A506" s="7976" t="s">
        <v>2530</v>
      </c>
      <c r="B506" s="7976" t="s">
        <v>16</v>
      </c>
      <c r="C506" s="7976" t="s">
        <v>3765</v>
      </c>
      <c r="D506" s="7976" t="s">
        <v>3766</v>
      </c>
      <c r="E506" s="7976" t="s">
        <v>3767</v>
      </c>
      <c r="F506" s="7976" t="s">
        <v>2757</v>
      </c>
      <c r="G506" s="7976" t="s">
        <v>22</v>
      </c>
      <c r="H506" s="7976" t="s">
        <v>2758</v>
      </c>
      <c r="I506" s="7976" t="s">
        <v>918</v>
      </c>
    </row>
    <row customHeight="1" ht="11.25">
      <c r="A507" s="7976" t="s">
        <v>2530</v>
      </c>
      <c r="B507" s="7976" t="s">
        <v>16</v>
      </c>
      <c r="C507" s="7976" t="s">
        <v>3768</v>
      </c>
      <c r="D507" s="7976" t="s">
        <v>3769</v>
      </c>
      <c r="E507" s="7976" t="s">
        <v>3770</v>
      </c>
      <c r="F507" s="7976" t="s">
        <v>2630</v>
      </c>
      <c r="G507" s="7976" t="s">
        <v>22</v>
      </c>
      <c r="H507" s="7976" t="s">
        <v>2632</v>
      </c>
      <c r="I507" s="7976" t="s">
        <v>918</v>
      </c>
    </row>
    <row customHeight="1" ht="11.25">
      <c r="A508" s="7976" t="s">
        <v>2530</v>
      </c>
      <c r="B508" s="7976" t="s">
        <v>16</v>
      </c>
      <c r="C508" s="7976" t="s">
        <v>3771</v>
      </c>
      <c r="D508" s="7976" t="s">
        <v>3772</v>
      </c>
      <c r="E508" s="7976" t="s">
        <v>3773</v>
      </c>
      <c r="F508" s="7976" t="s">
        <v>2648</v>
      </c>
      <c r="G508" s="7976" t="s">
        <v>22</v>
      </c>
      <c r="H508" s="7976" t="s">
        <v>22</v>
      </c>
      <c r="I508" s="7976" t="s">
        <v>918</v>
      </c>
    </row>
    <row customHeight="1" ht="11.25">
      <c r="A509" s="7976" t="s">
        <v>2530</v>
      </c>
      <c r="B509" s="7976" t="s">
        <v>16</v>
      </c>
      <c r="C509" s="7976" t="s">
        <v>3774</v>
      </c>
      <c r="D509" s="7976" t="s">
        <v>3775</v>
      </c>
      <c r="E509" s="7976" t="s">
        <v>3776</v>
      </c>
      <c r="F509" s="7976" t="s">
        <v>2757</v>
      </c>
      <c r="G509" s="7976" t="s">
        <v>22</v>
      </c>
      <c r="H509" s="7976" t="s">
        <v>2758</v>
      </c>
      <c r="I509" s="7976" t="s">
        <v>918</v>
      </c>
    </row>
    <row customHeight="1" ht="11.25">
      <c r="A510" s="7976" t="s">
        <v>2530</v>
      </c>
      <c r="B510" s="7976" t="s">
        <v>16</v>
      </c>
      <c r="C510" s="7976" t="s">
        <v>2759</v>
      </c>
      <c r="D510" s="7976" t="s">
        <v>2760</v>
      </c>
      <c r="E510" s="7976" t="s">
        <v>2761</v>
      </c>
      <c r="F510" s="7976" t="s">
        <v>2690</v>
      </c>
      <c r="G510" s="7976" t="s">
        <v>2691</v>
      </c>
      <c r="H510" s="7976" t="s">
        <v>2692</v>
      </c>
      <c r="I510" s="7976" t="s">
        <v>918</v>
      </c>
    </row>
    <row customHeight="1" ht="11.25">
      <c r="A511" s="7976" t="s">
        <v>2530</v>
      </c>
      <c r="B511" s="7976" t="s">
        <v>16</v>
      </c>
      <c r="C511" s="7976" t="s">
        <v>3777</v>
      </c>
      <c r="D511" s="7976" t="s">
        <v>3778</v>
      </c>
      <c r="E511" s="7976" t="s">
        <v>3779</v>
      </c>
      <c r="F511" s="7976" t="s">
        <v>2954</v>
      </c>
      <c r="G511" s="7976" t="s">
        <v>2833</v>
      </c>
      <c r="H511" s="7976" t="s">
        <v>3667</v>
      </c>
      <c r="I511" s="7976" t="s">
        <v>918</v>
      </c>
    </row>
    <row customHeight="1" ht="11.25">
      <c r="A512" s="7976" t="s">
        <v>2530</v>
      </c>
      <c r="B512" s="7976" t="s">
        <v>16</v>
      </c>
      <c r="C512" s="7976" t="s">
        <v>3780</v>
      </c>
      <c r="D512" s="7976" t="s">
        <v>3781</v>
      </c>
      <c r="E512" s="7976" t="s">
        <v>3782</v>
      </c>
      <c r="F512" s="7976" t="s">
        <v>2743</v>
      </c>
      <c r="G512" s="7976" t="s">
        <v>22</v>
      </c>
      <c r="H512" s="7976" t="s">
        <v>2744</v>
      </c>
      <c r="I512" s="7976" t="s">
        <v>918</v>
      </c>
    </row>
    <row customHeight="1" ht="11.25">
      <c r="A513" s="7976" t="s">
        <v>2530</v>
      </c>
      <c r="B513" s="7976" t="s">
        <v>16</v>
      </c>
      <c r="C513" s="7976" t="s">
        <v>2762</v>
      </c>
      <c r="D513" s="7976" t="s">
        <v>2763</v>
      </c>
      <c r="E513" s="7976" t="s">
        <v>2764</v>
      </c>
      <c r="F513" s="7976" t="s">
        <v>2690</v>
      </c>
      <c r="G513" s="7976" t="s">
        <v>2765</v>
      </c>
      <c r="H513" s="7976" t="s">
        <v>2692</v>
      </c>
      <c r="I513" s="7976" t="s">
        <v>918</v>
      </c>
    </row>
    <row customHeight="1" ht="11.25">
      <c r="A514" s="7976" t="s">
        <v>2530</v>
      </c>
      <c r="B514" s="7976" t="s">
        <v>16</v>
      </c>
      <c r="C514" s="7976" t="s">
        <v>3783</v>
      </c>
      <c r="D514" s="7976" t="s">
        <v>3784</v>
      </c>
      <c r="E514" s="7976" t="s">
        <v>3785</v>
      </c>
      <c r="F514" s="7976" t="s">
        <v>2954</v>
      </c>
      <c r="G514" s="7976" t="s">
        <v>3786</v>
      </c>
      <c r="H514" s="7976" t="s">
        <v>3667</v>
      </c>
      <c r="I514" s="7976" t="s">
        <v>918</v>
      </c>
    </row>
    <row customHeight="1" ht="11.25">
      <c r="A515" s="7976" t="s">
        <v>2530</v>
      </c>
      <c r="B515" s="7976" t="s">
        <v>16</v>
      </c>
      <c r="C515" s="7976" t="s">
        <v>3787</v>
      </c>
      <c r="D515" s="7976" t="s">
        <v>3788</v>
      </c>
      <c r="E515" s="7976" t="s">
        <v>3789</v>
      </c>
      <c r="F515" s="7976" t="s">
        <v>2534</v>
      </c>
      <c r="G515" s="7976" t="s">
        <v>3790</v>
      </c>
      <c r="H515" s="7976" t="s">
        <v>3504</v>
      </c>
      <c r="I515" s="7976" t="s">
        <v>918</v>
      </c>
    </row>
    <row customHeight="1" ht="11.25">
      <c r="A516" s="7976" t="s">
        <v>2530</v>
      </c>
      <c r="B516" s="7976" t="s">
        <v>16</v>
      </c>
      <c r="C516" s="7976" t="s">
        <v>3791</v>
      </c>
      <c r="D516" s="7976" t="s">
        <v>3792</v>
      </c>
      <c r="E516" s="7976" t="s">
        <v>3793</v>
      </c>
      <c r="F516" s="7976" t="s">
        <v>2657</v>
      </c>
      <c r="G516" s="7976" t="s">
        <v>22</v>
      </c>
      <c r="H516" s="7976" t="s">
        <v>22</v>
      </c>
      <c r="I516" s="7976" t="s">
        <v>918</v>
      </c>
    </row>
    <row customHeight="1" ht="11.25">
      <c r="A517" s="7976" t="s">
        <v>2530</v>
      </c>
      <c r="B517" s="7976" t="s">
        <v>16</v>
      </c>
      <c r="C517" s="7976" t="s">
        <v>3794</v>
      </c>
      <c r="D517" s="7976" t="s">
        <v>3795</v>
      </c>
      <c r="E517" s="7976" t="s">
        <v>3796</v>
      </c>
      <c r="F517" s="7976" t="s">
        <v>2954</v>
      </c>
      <c r="G517" s="7976" t="s">
        <v>3797</v>
      </c>
      <c r="H517" s="7976" t="s">
        <v>3667</v>
      </c>
      <c r="I517" s="7976" t="s">
        <v>918</v>
      </c>
    </row>
    <row customHeight="1" ht="11.25">
      <c r="A518" s="7976" t="s">
        <v>2530</v>
      </c>
      <c r="B518" s="7976" t="s">
        <v>16</v>
      </c>
      <c r="C518" s="7976" t="s">
        <v>3798</v>
      </c>
      <c r="D518" s="7976" t="s">
        <v>3799</v>
      </c>
      <c r="E518" s="7976" t="s">
        <v>3800</v>
      </c>
      <c r="F518" s="7976" t="s">
        <v>2757</v>
      </c>
      <c r="G518" s="7976" t="s">
        <v>22</v>
      </c>
      <c r="H518" s="7976" t="s">
        <v>2758</v>
      </c>
      <c r="I518" s="7976" t="s">
        <v>918</v>
      </c>
    </row>
    <row customHeight="1" ht="11.25">
      <c r="A519" s="7976" t="s">
        <v>2530</v>
      </c>
      <c r="B519" s="7976" t="s">
        <v>16</v>
      </c>
      <c r="C519" s="7976" t="s">
        <v>3801</v>
      </c>
      <c r="D519" s="7976" t="s">
        <v>3802</v>
      </c>
      <c r="E519" s="7976" t="s">
        <v>3803</v>
      </c>
      <c r="F519" s="7976" t="s">
        <v>2534</v>
      </c>
      <c r="G519" s="7976" t="s">
        <v>22</v>
      </c>
      <c r="H519" s="7976" t="s">
        <v>3504</v>
      </c>
      <c r="I519" s="7976" t="s">
        <v>918</v>
      </c>
    </row>
    <row customHeight="1" ht="11.25">
      <c r="A520" s="7976" t="s">
        <v>2530</v>
      </c>
      <c r="B520" s="7976" t="s">
        <v>16</v>
      </c>
      <c r="C520" s="7976" t="s">
        <v>3804</v>
      </c>
      <c r="D520" s="7976" t="s">
        <v>3805</v>
      </c>
      <c r="E520" s="7976" t="s">
        <v>3806</v>
      </c>
      <c r="F520" s="7976" t="s">
        <v>2589</v>
      </c>
      <c r="G520" s="7976" t="s">
        <v>22</v>
      </c>
      <c r="H520" s="7976" t="s">
        <v>2626</v>
      </c>
      <c r="I520" s="7976" t="s">
        <v>918</v>
      </c>
    </row>
    <row customHeight="1" ht="11.25">
      <c r="A521" s="7976" t="s">
        <v>2530</v>
      </c>
      <c r="B521" s="7976" t="s">
        <v>16</v>
      </c>
      <c r="C521" s="7976" t="s">
        <v>3807</v>
      </c>
      <c r="D521" s="7976" t="s">
        <v>3808</v>
      </c>
      <c r="E521" s="7976" t="s">
        <v>3809</v>
      </c>
      <c r="F521" s="7976" t="s">
        <v>2534</v>
      </c>
      <c r="G521" s="7976" t="s">
        <v>22</v>
      </c>
      <c r="H521" s="7976" t="s">
        <v>3504</v>
      </c>
      <c r="I521" s="7976" t="s">
        <v>918</v>
      </c>
    </row>
    <row customHeight="1" ht="11.25">
      <c r="A522" s="7976" t="s">
        <v>2530</v>
      </c>
      <c r="B522" s="7976" t="s">
        <v>16</v>
      </c>
      <c r="C522" s="7976" t="s">
        <v>2766</v>
      </c>
      <c r="D522" s="7976" t="s">
        <v>2767</v>
      </c>
      <c r="E522" s="7976" t="s">
        <v>2768</v>
      </c>
      <c r="F522" s="7976" t="s">
        <v>2670</v>
      </c>
      <c r="G522" s="7976" t="s">
        <v>22</v>
      </c>
      <c r="H522" s="7976" t="s">
        <v>2711</v>
      </c>
      <c r="I522" s="7976" t="s">
        <v>918</v>
      </c>
    </row>
    <row customHeight="1" ht="11.25">
      <c r="A523" s="7976" t="s">
        <v>2530</v>
      </c>
      <c r="B523" s="7976" t="s">
        <v>16</v>
      </c>
      <c r="C523" s="7976" t="s">
        <v>3494</v>
      </c>
      <c r="D523" s="7976" t="s">
        <v>3495</v>
      </c>
      <c r="E523" s="7976" t="s">
        <v>3496</v>
      </c>
      <c r="F523" s="7976" t="s">
        <v>2670</v>
      </c>
      <c r="G523" s="7976" t="s">
        <v>22</v>
      </c>
      <c r="H523" s="7976" t="s">
        <v>2711</v>
      </c>
      <c r="I523" s="7976" t="s">
        <v>918</v>
      </c>
    </row>
    <row customHeight="1" ht="11.25">
      <c r="A524" s="7976" t="s">
        <v>2530</v>
      </c>
      <c r="B524" s="7976" t="s">
        <v>16</v>
      </c>
      <c r="C524" s="7976" t="s">
        <v>3810</v>
      </c>
      <c r="D524" s="7976" t="s">
        <v>3811</v>
      </c>
      <c r="E524" s="7976" t="s">
        <v>3812</v>
      </c>
      <c r="F524" s="7976" t="s">
        <v>2636</v>
      </c>
      <c r="G524" s="7976" t="s">
        <v>3813</v>
      </c>
      <c r="H524" s="7976" t="s">
        <v>22</v>
      </c>
      <c r="I524" s="7976" t="s">
        <v>918</v>
      </c>
    </row>
    <row customHeight="1" ht="11.25">
      <c r="A525" s="7976" t="s">
        <v>2530</v>
      </c>
      <c r="B525" s="7976" t="s">
        <v>16</v>
      </c>
      <c r="C525" s="7976" t="s">
        <v>2782</v>
      </c>
      <c r="D525" s="7976" t="s">
        <v>2783</v>
      </c>
      <c r="E525" s="7976" t="s">
        <v>2784</v>
      </c>
      <c r="F525" s="7976" t="s">
        <v>2551</v>
      </c>
      <c r="G525" s="7976" t="s">
        <v>22</v>
      </c>
      <c r="H525" s="7976" t="s">
        <v>22</v>
      </c>
      <c r="I525" s="7976" t="s">
        <v>918</v>
      </c>
    </row>
    <row customHeight="1" ht="11.25">
      <c r="A526" s="7976" t="s">
        <v>2530</v>
      </c>
      <c r="B526" s="7976" t="s">
        <v>16</v>
      </c>
      <c r="C526" s="7976" t="s">
        <v>2785</v>
      </c>
      <c r="D526" s="7976" t="s">
        <v>2786</v>
      </c>
      <c r="E526" s="7976" t="s">
        <v>2787</v>
      </c>
      <c r="F526" s="7976" t="s">
        <v>2561</v>
      </c>
      <c r="G526" s="7976" t="s">
        <v>22</v>
      </c>
      <c r="H526" s="7976" t="s">
        <v>22</v>
      </c>
      <c r="I526" s="7976" t="s">
        <v>918</v>
      </c>
    </row>
    <row customHeight="1" ht="11.25">
      <c r="A527" s="7976" t="s">
        <v>2530</v>
      </c>
      <c r="B527" s="7976" t="s">
        <v>16</v>
      </c>
      <c r="C527" s="7976" t="s">
        <v>3814</v>
      </c>
      <c r="D527" s="7976" t="s">
        <v>3815</v>
      </c>
      <c r="E527" s="7976" t="s">
        <v>3816</v>
      </c>
      <c r="F527" s="7976" t="s">
        <v>2561</v>
      </c>
      <c r="G527" s="7976" t="s">
        <v>22</v>
      </c>
      <c r="H527" s="7976" t="s">
        <v>22</v>
      </c>
      <c r="I527" s="7976" t="s">
        <v>918</v>
      </c>
    </row>
    <row customHeight="1" ht="11.25">
      <c r="A528" s="7976" t="s">
        <v>2530</v>
      </c>
      <c r="B528" s="7976" t="s">
        <v>16</v>
      </c>
      <c r="C528" s="7976" t="s">
        <v>2788</v>
      </c>
      <c r="D528" s="7976" t="s">
        <v>2789</v>
      </c>
      <c r="E528" s="7976" t="s">
        <v>2790</v>
      </c>
      <c r="F528" s="7976" t="s">
        <v>2757</v>
      </c>
      <c r="G528" s="7976" t="s">
        <v>22</v>
      </c>
      <c r="H528" s="7976" t="s">
        <v>22</v>
      </c>
      <c r="I528" s="7976" t="s">
        <v>918</v>
      </c>
    </row>
    <row customHeight="1" ht="11.25">
      <c r="A529" s="7976" t="s">
        <v>2530</v>
      </c>
      <c r="B529" s="7976" t="s">
        <v>16</v>
      </c>
      <c r="C529" s="7976" t="s">
        <v>2791</v>
      </c>
      <c r="D529" s="7976" t="s">
        <v>2792</v>
      </c>
      <c r="E529" s="7976" t="s">
        <v>2793</v>
      </c>
      <c r="F529" s="7976" t="s">
        <v>2573</v>
      </c>
      <c r="G529" s="7976" t="s">
        <v>2794</v>
      </c>
      <c r="H529" s="7976" t="s">
        <v>22</v>
      </c>
      <c r="I529" s="7976" t="s">
        <v>918</v>
      </c>
    </row>
    <row customHeight="1" ht="11.25">
      <c r="A530" s="7976" t="s">
        <v>2530</v>
      </c>
      <c r="B530" s="7976" t="s">
        <v>16</v>
      </c>
      <c r="C530" s="7976" t="s">
        <v>2795</v>
      </c>
      <c r="D530" s="7976" t="s">
        <v>2796</v>
      </c>
      <c r="E530" s="7976" t="s">
        <v>2797</v>
      </c>
      <c r="F530" s="7976" t="s">
        <v>2573</v>
      </c>
      <c r="G530" s="7976" t="s">
        <v>2798</v>
      </c>
      <c r="H530" s="7976" t="s">
        <v>22</v>
      </c>
      <c r="I530" s="7976" t="s">
        <v>918</v>
      </c>
    </row>
    <row customHeight="1" ht="11.25">
      <c r="A531" s="7976" t="s">
        <v>2530</v>
      </c>
      <c r="B531" s="7976" t="s">
        <v>16</v>
      </c>
      <c r="C531" s="7976" t="s">
        <v>2803</v>
      </c>
      <c r="D531" s="7976" t="s">
        <v>2804</v>
      </c>
      <c r="E531" s="7976" t="s">
        <v>2805</v>
      </c>
      <c r="F531" s="7976" t="s">
        <v>2806</v>
      </c>
      <c r="G531" s="7976" t="s">
        <v>2807</v>
      </c>
      <c r="H531" s="7976" t="s">
        <v>22</v>
      </c>
      <c r="I531" s="7976" t="s">
        <v>918</v>
      </c>
    </row>
    <row customHeight="1" ht="11.25">
      <c r="A532" s="7976" t="s">
        <v>2530</v>
      </c>
      <c r="B532" s="7976" t="s">
        <v>16</v>
      </c>
      <c r="C532" s="7976" t="s">
        <v>2808</v>
      </c>
      <c r="D532" s="7976" t="s">
        <v>2809</v>
      </c>
      <c r="E532" s="7976" t="s">
        <v>2810</v>
      </c>
      <c r="F532" s="7976" t="s">
        <v>2743</v>
      </c>
      <c r="G532" s="7976" t="s">
        <v>22</v>
      </c>
      <c r="H532" s="7976" t="s">
        <v>22</v>
      </c>
      <c r="I532" s="7976" t="s">
        <v>918</v>
      </c>
    </row>
    <row customHeight="1" ht="11.25">
      <c r="A533" s="7976" t="s">
        <v>2530</v>
      </c>
      <c r="B533" s="7976" t="s">
        <v>16</v>
      </c>
      <c r="C533" s="7976" t="s">
        <v>3817</v>
      </c>
      <c r="D533" s="7976" t="s">
        <v>3818</v>
      </c>
      <c r="E533" s="7976" t="s">
        <v>3819</v>
      </c>
      <c r="F533" s="7976" t="s">
        <v>2573</v>
      </c>
      <c r="G533" s="7976" t="s">
        <v>3820</v>
      </c>
      <c r="H533" s="7976" t="s">
        <v>22</v>
      </c>
      <c r="I533" s="7976" t="s">
        <v>918</v>
      </c>
    </row>
    <row customHeight="1" ht="11.25">
      <c r="A534" s="7976" t="s">
        <v>2530</v>
      </c>
      <c r="B534" s="7976" t="s">
        <v>16</v>
      </c>
      <c r="C534" s="7976" t="s">
        <v>2811</v>
      </c>
      <c r="D534" s="7976" t="s">
        <v>2812</v>
      </c>
      <c r="E534" s="7976" t="s">
        <v>2813</v>
      </c>
      <c r="F534" s="7976" t="s">
        <v>2814</v>
      </c>
      <c r="G534" s="7976" t="s">
        <v>22</v>
      </c>
      <c r="H534" s="7976" t="s">
        <v>22</v>
      </c>
      <c r="I534" s="7976" t="s">
        <v>918</v>
      </c>
    </row>
    <row customHeight="1" ht="11.25">
      <c r="A535" s="7976" t="s">
        <v>2530</v>
      </c>
      <c r="B535" s="7976" t="s">
        <v>16</v>
      </c>
      <c r="C535" s="7976" t="s">
        <v>2821</v>
      </c>
      <c r="D535" s="7976" t="s">
        <v>2822</v>
      </c>
      <c r="E535" s="7976" t="s">
        <v>2823</v>
      </c>
      <c r="F535" s="7976" t="s">
        <v>2824</v>
      </c>
      <c r="G535" s="7976" t="s">
        <v>2825</v>
      </c>
      <c r="H535" s="7976" t="s">
        <v>22</v>
      </c>
      <c r="I535" s="7976" t="s">
        <v>918</v>
      </c>
    </row>
    <row customHeight="1" ht="11.25">
      <c r="A536" s="7976" t="s">
        <v>2530</v>
      </c>
      <c r="B536" s="7976" t="s">
        <v>16</v>
      </c>
      <c r="C536" s="7976" t="s">
        <v>2830</v>
      </c>
      <c r="D536" s="7976" t="s">
        <v>2831</v>
      </c>
      <c r="E536" s="7976" t="s">
        <v>2832</v>
      </c>
      <c r="F536" s="7976" t="s">
        <v>2561</v>
      </c>
      <c r="G536" s="7976" t="s">
        <v>2833</v>
      </c>
      <c r="H536" s="7976" t="s">
        <v>22</v>
      </c>
      <c r="I536" s="7976" t="s">
        <v>918</v>
      </c>
    </row>
    <row customHeight="1" ht="11.25">
      <c r="A537" s="7976" t="s">
        <v>2530</v>
      </c>
      <c r="B537" s="7976" t="s">
        <v>16</v>
      </c>
      <c r="C537" s="7976" t="s">
        <v>2842</v>
      </c>
      <c r="D537" s="7976" t="s">
        <v>2843</v>
      </c>
      <c r="E537" s="7976" t="s">
        <v>2844</v>
      </c>
      <c r="F537" s="7976" t="s">
        <v>2845</v>
      </c>
      <c r="G537" s="7976" t="s">
        <v>22</v>
      </c>
      <c r="H537" s="7976" t="s">
        <v>22</v>
      </c>
      <c r="I537" s="7976" t="s">
        <v>918</v>
      </c>
    </row>
    <row customHeight="1" ht="11.25">
      <c r="A538" s="7976" t="s">
        <v>2530</v>
      </c>
      <c r="B538" s="7976" t="s">
        <v>16</v>
      </c>
      <c r="C538" s="7976" t="s">
        <v>2850</v>
      </c>
      <c r="D538" s="7976" t="s">
        <v>2851</v>
      </c>
      <c r="E538" s="7976" t="s">
        <v>2852</v>
      </c>
      <c r="F538" s="7976" t="s">
        <v>2853</v>
      </c>
      <c r="G538" s="7976" t="s">
        <v>22</v>
      </c>
      <c r="H538" s="7976" t="s">
        <v>22</v>
      </c>
      <c r="I538" s="7976" t="s">
        <v>918</v>
      </c>
    </row>
    <row customHeight="1" ht="11.25">
      <c r="A539" s="7976" t="s">
        <v>2530</v>
      </c>
      <c r="B539" s="7976" t="s">
        <v>16</v>
      </c>
      <c r="C539" s="7976" t="s">
        <v>3821</v>
      </c>
      <c r="D539" s="7976" t="s">
        <v>3822</v>
      </c>
      <c r="E539" s="7976" t="s">
        <v>3823</v>
      </c>
      <c r="F539" s="7976" t="s">
        <v>602</v>
      </c>
      <c r="G539" s="7976" t="s">
        <v>3824</v>
      </c>
      <c r="H539" s="7976" t="s">
        <v>22</v>
      </c>
      <c r="I539" s="7976" t="s">
        <v>918</v>
      </c>
    </row>
    <row customHeight="1" ht="11.25">
      <c r="A540" s="7976" t="s">
        <v>2530</v>
      </c>
      <c r="B540" s="7976" t="s">
        <v>16</v>
      </c>
      <c r="C540" s="7976" t="s">
        <v>3825</v>
      </c>
      <c r="D540" s="7976" t="s">
        <v>3826</v>
      </c>
      <c r="E540" s="7976" t="s">
        <v>3827</v>
      </c>
      <c r="F540" s="7976" t="s">
        <v>602</v>
      </c>
      <c r="G540" s="7976" t="s">
        <v>22</v>
      </c>
      <c r="H540" s="7976" t="s">
        <v>3828</v>
      </c>
      <c r="I540" s="7976" t="s">
        <v>918</v>
      </c>
    </row>
    <row customHeight="1" ht="11.25">
      <c r="A541" s="7976" t="s">
        <v>2530</v>
      </c>
      <c r="B541" s="7976" t="s">
        <v>16</v>
      </c>
      <c r="C541" s="7976" t="s">
        <v>3829</v>
      </c>
      <c r="D541" s="7976" t="s">
        <v>3830</v>
      </c>
      <c r="E541" s="7976" t="s">
        <v>3831</v>
      </c>
      <c r="F541" s="7976" t="s">
        <v>602</v>
      </c>
      <c r="G541" s="7976" t="s">
        <v>22</v>
      </c>
      <c r="H541" s="7976" t="s">
        <v>22</v>
      </c>
      <c r="I541" s="7976" t="s">
        <v>918</v>
      </c>
    </row>
    <row customHeight="1" ht="11.25">
      <c r="A542" s="7976" t="s">
        <v>2530</v>
      </c>
      <c r="B542" s="7976" t="s">
        <v>16</v>
      </c>
      <c r="C542" s="7976" t="s">
        <v>3832</v>
      </c>
      <c r="D542" s="7976" t="s">
        <v>3833</v>
      </c>
      <c r="E542" s="7976" t="s">
        <v>3834</v>
      </c>
      <c r="F542" s="7976" t="s">
        <v>602</v>
      </c>
      <c r="G542" s="7976" t="s">
        <v>3835</v>
      </c>
      <c r="H542" s="7976" t="s">
        <v>22</v>
      </c>
      <c r="I542" s="7976" t="s">
        <v>918</v>
      </c>
    </row>
    <row customHeight="1" ht="11.25">
      <c r="A543" s="7976" t="s">
        <v>2530</v>
      </c>
      <c r="B543" s="7976" t="s">
        <v>16</v>
      </c>
      <c r="C543" s="7976" t="s">
        <v>3836</v>
      </c>
      <c r="D543" s="7976" t="s">
        <v>3837</v>
      </c>
      <c r="E543" s="7976" t="s">
        <v>3838</v>
      </c>
      <c r="F543" s="7976" t="s">
        <v>602</v>
      </c>
      <c r="G543" s="7976" t="s">
        <v>3839</v>
      </c>
      <c r="H543" s="7976" t="s">
        <v>22</v>
      </c>
      <c r="I543" s="7976" t="s">
        <v>918</v>
      </c>
    </row>
    <row customHeight="1" ht="11.25">
      <c r="A544" s="7976" t="s">
        <v>2530</v>
      </c>
      <c r="B544" s="7976" t="s">
        <v>16</v>
      </c>
      <c r="C544" s="7976" t="s">
        <v>3840</v>
      </c>
      <c r="D544" s="7976" t="s">
        <v>3841</v>
      </c>
      <c r="E544" s="7976" t="s">
        <v>3842</v>
      </c>
      <c r="F544" s="7976" t="s">
        <v>602</v>
      </c>
      <c r="G544" s="7976" t="s">
        <v>3843</v>
      </c>
      <c r="H544" s="7976" t="s">
        <v>3844</v>
      </c>
      <c r="I544" s="7976" t="s">
        <v>918</v>
      </c>
    </row>
    <row customHeight="1" ht="11.25">
      <c r="A545" s="7976" t="s">
        <v>2530</v>
      </c>
      <c r="B545" s="7976" t="s">
        <v>16</v>
      </c>
      <c r="C545" s="7976" t="s">
        <v>3845</v>
      </c>
      <c r="D545" s="7976" t="s">
        <v>3846</v>
      </c>
      <c r="E545" s="7976" t="s">
        <v>3847</v>
      </c>
      <c r="F545" s="7976" t="s">
        <v>602</v>
      </c>
      <c r="G545" s="7976" t="s">
        <v>3848</v>
      </c>
      <c r="H545" s="7976" t="s">
        <v>3849</v>
      </c>
      <c r="I545" s="7976" t="s">
        <v>918</v>
      </c>
    </row>
    <row customHeight="1" ht="11.25">
      <c r="A546" s="7976" t="s">
        <v>2530</v>
      </c>
      <c r="B546" s="7976" t="s">
        <v>16</v>
      </c>
      <c r="C546" s="7976" t="s">
        <v>2864</v>
      </c>
      <c r="D546" s="7976" t="s">
        <v>2865</v>
      </c>
      <c r="E546" s="7976" t="s">
        <v>2866</v>
      </c>
      <c r="F546" s="7976" t="s">
        <v>602</v>
      </c>
      <c r="G546" s="7976" t="s">
        <v>22</v>
      </c>
      <c r="H546" s="7976" t="s">
        <v>22</v>
      </c>
      <c r="I546" s="7976" t="s">
        <v>918</v>
      </c>
    </row>
    <row customHeight="1" ht="11.25">
      <c r="A547" s="7976" t="s">
        <v>2530</v>
      </c>
      <c r="B547" s="7976" t="s">
        <v>16</v>
      </c>
      <c r="C547" s="7976" t="s">
        <v>2867</v>
      </c>
      <c r="D547" s="7976" t="s">
        <v>2868</v>
      </c>
      <c r="E547" s="7976" t="s">
        <v>2869</v>
      </c>
      <c r="F547" s="7976" t="s">
        <v>602</v>
      </c>
      <c r="G547" s="7976" t="s">
        <v>2870</v>
      </c>
      <c r="H547" s="7976" t="s">
        <v>22</v>
      </c>
      <c r="I547" s="7976" t="s">
        <v>918</v>
      </c>
    </row>
    <row customHeight="1" ht="11.25">
      <c r="A548" s="7976" t="s">
        <v>2530</v>
      </c>
      <c r="B548" s="7976" t="s">
        <v>16</v>
      </c>
      <c r="C548" s="7976" t="s">
        <v>2871</v>
      </c>
      <c r="D548" s="7976" t="s">
        <v>2872</v>
      </c>
      <c r="E548" s="7976" t="s">
        <v>2873</v>
      </c>
      <c r="F548" s="7976" t="s">
        <v>602</v>
      </c>
      <c r="G548" s="7976" t="s">
        <v>2874</v>
      </c>
      <c r="H548" s="7976" t="s">
        <v>22</v>
      </c>
      <c r="I548" s="7976" t="s">
        <v>918</v>
      </c>
    </row>
    <row customHeight="1" ht="11.25">
      <c r="A549" s="7976" t="s">
        <v>2530</v>
      </c>
      <c r="B549" s="7976" t="s">
        <v>16</v>
      </c>
      <c r="C549" s="7976" t="s">
        <v>3850</v>
      </c>
      <c r="D549" s="7976" t="s">
        <v>3851</v>
      </c>
      <c r="E549" s="7976" t="s">
        <v>3852</v>
      </c>
      <c r="F549" s="7976" t="s">
        <v>602</v>
      </c>
      <c r="G549" s="7976" t="s">
        <v>22</v>
      </c>
      <c r="H549" s="7976" t="s">
        <v>3853</v>
      </c>
      <c r="I549" s="7976" t="s">
        <v>918</v>
      </c>
    </row>
    <row customHeight="1" ht="11.25">
      <c r="A550" s="7976" t="s">
        <v>2530</v>
      </c>
      <c r="B550" s="7976" t="s">
        <v>16</v>
      </c>
      <c r="C550" s="7976" t="s">
        <v>3854</v>
      </c>
      <c r="D550" s="7976" t="s">
        <v>3855</v>
      </c>
      <c r="E550" s="7976" t="s">
        <v>3856</v>
      </c>
      <c r="F550" s="7976" t="s">
        <v>602</v>
      </c>
      <c r="G550" s="7976" t="s">
        <v>3857</v>
      </c>
      <c r="H550" s="7976" t="s">
        <v>3858</v>
      </c>
      <c r="I550" s="7976" t="s">
        <v>918</v>
      </c>
    </row>
    <row customHeight="1" ht="11.25">
      <c r="A551" s="7976" t="s">
        <v>2530</v>
      </c>
      <c r="B551" s="7976" t="s">
        <v>16</v>
      </c>
      <c r="C551" s="7976" t="s">
        <v>3859</v>
      </c>
      <c r="D551" s="7976" t="s">
        <v>3860</v>
      </c>
      <c r="E551" s="7976" t="s">
        <v>3861</v>
      </c>
      <c r="F551" s="7976" t="s">
        <v>602</v>
      </c>
      <c r="G551" s="7976" t="s">
        <v>3862</v>
      </c>
      <c r="H551" s="7976" t="s">
        <v>22</v>
      </c>
      <c r="I551" s="7976" t="s">
        <v>918</v>
      </c>
    </row>
    <row customHeight="1" ht="11.25">
      <c r="A552" s="7976" t="s">
        <v>2530</v>
      </c>
      <c r="B552" s="7976" t="s">
        <v>16</v>
      </c>
      <c r="C552" s="7976" t="s">
        <v>3863</v>
      </c>
      <c r="D552" s="7976" t="s">
        <v>3864</v>
      </c>
      <c r="E552" s="7976" t="s">
        <v>3865</v>
      </c>
      <c r="F552" s="7976" t="s">
        <v>602</v>
      </c>
      <c r="G552" s="7976" t="s">
        <v>22</v>
      </c>
      <c r="H552" s="7976" t="s">
        <v>22</v>
      </c>
      <c r="I552" s="7976" t="s">
        <v>918</v>
      </c>
    </row>
    <row customHeight="1" ht="11.25">
      <c r="A553" s="7976" t="s">
        <v>2530</v>
      </c>
      <c r="B553" s="7976" t="s">
        <v>16</v>
      </c>
      <c r="C553" s="7976" t="s">
        <v>3866</v>
      </c>
      <c r="D553" s="7976" t="s">
        <v>3867</v>
      </c>
      <c r="E553" s="7976" t="s">
        <v>3868</v>
      </c>
      <c r="F553" s="7976" t="s">
        <v>602</v>
      </c>
      <c r="G553" s="7976" t="s">
        <v>22</v>
      </c>
      <c r="H553" s="7976" t="s">
        <v>22</v>
      </c>
      <c r="I553" s="7976" t="s">
        <v>918</v>
      </c>
    </row>
    <row customHeight="1" ht="11.25">
      <c r="A554" s="7976" t="s">
        <v>2530</v>
      </c>
      <c r="B554" s="7976" t="s">
        <v>16</v>
      </c>
      <c r="C554" s="7976" t="s">
        <v>3869</v>
      </c>
      <c r="D554" s="7976" t="s">
        <v>3870</v>
      </c>
      <c r="E554" s="7976" t="s">
        <v>3871</v>
      </c>
      <c r="F554" s="7976" t="s">
        <v>602</v>
      </c>
      <c r="G554" s="7976" t="s">
        <v>3872</v>
      </c>
      <c r="H554" s="7976" t="s">
        <v>22</v>
      </c>
      <c r="I554" s="7976" t="s">
        <v>918</v>
      </c>
    </row>
    <row customHeight="1" ht="11.25">
      <c r="A555" s="7976" t="s">
        <v>2530</v>
      </c>
      <c r="B555" s="7976" t="s">
        <v>16</v>
      </c>
      <c r="C555" s="7976" t="s">
        <v>3873</v>
      </c>
      <c r="D555" s="7976" t="s">
        <v>3874</v>
      </c>
      <c r="E555" s="7976" t="s">
        <v>3875</v>
      </c>
      <c r="F555" s="7976" t="s">
        <v>602</v>
      </c>
      <c r="G555" s="7976" t="s">
        <v>22</v>
      </c>
      <c r="H555" s="7976" t="s">
        <v>22</v>
      </c>
      <c r="I555" s="7976" t="s">
        <v>918</v>
      </c>
    </row>
    <row customHeight="1" ht="11.25">
      <c r="A556" s="7976" t="s">
        <v>2530</v>
      </c>
      <c r="B556" s="7976" t="s">
        <v>16</v>
      </c>
      <c r="C556" s="7976" t="s">
        <v>3876</v>
      </c>
      <c r="D556" s="7976" t="s">
        <v>3877</v>
      </c>
      <c r="E556" s="7976" t="s">
        <v>3878</v>
      </c>
      <c r="F556" s="7976" t="s">
        <v>602</v>
      </c>
      <c r="G556" s="7976" t="s">
        <v>22</v>
      </c>
      <c r="H556" s="7976" t="s">
        <v>22</v>
      </c>
      <c r="I556" s="7976" t="s">
        <v>918</v>
      </c>
    </row>
    <row customHeight="1" ht="11.25">
      <c r="A557" s="7976" t="s">
        <v>2530</v>
      </c>
      <c r="B557" s="7976" t="s">
        <v>16</v>
      </c>
      <c r="C557" s="7976" t="s">
        <v>3879</v>
      </c>
      <c r="D557" s="7976" t="s">
        <v>3880</v>
      </c>
      <c r="E557" s="7976" t="s">
        <v>3881</v>
      </c>
      <c r="F557" s="7976" t="s">
        <v>602</v>
      </c>
      <c r="G557" s="7976" t="s">
        <v>22</v>
      </c>
      <c r="H557" s="7976" t="s">
        <v>22</v>
      </c>
      <c r="I557" s="7976" t="s">
        <v>918</v>
      </c>
    </row>
    <row customHeight="1" ht="11.25">
      <c r="A558" s="7976" t="s">
        <v>2530</v>
      </c>
      <c r="B558" s="7976" t="s">
        <v>16</v>
      </c>
      <c r="C558" s="7976" t="s">
        <v>2875</v>
      </c>
      <c r="D558" s="7976" t="s">
        <v>2876</v>
      </c>
      <c r="E558" s="7976" t="s">
        <v>2877</v>
      </c>
      <c r="F558" s="7976" t="s">
        <v>602</v>
      </c>
      <c r="G558" s="7976" t="s">
        <v>2878</v>
      </c>
      <c r="H558" s="7976" t="s">
        <v>22</v>
      </c>
      <c r="I558" s="7976" t="s">
        <v>918</v>
      </c>
    </row>
    <row customHeight="1" ht="11.25">
      <c r="A559" s="7976" t="s">
        <v>2530</v>
      </c>
      <c r="B559" s="7976" t="s">
        <v>16</v>
      </c>
      <c r="C559" s="7976" t="s">
        <v>2879</v>
      </c>
      <c r="D559" s="7976" t="s">
        <v>2880</v>
      </c>
      <c r="E559" s="7976" t="s">
        <v>2881</v>
      </c>
      <c r="F559" s="7976" t="s">
        <v>602</v>
      </c>
      <c r="G559" s="7976" t="s">
        <v>2882</v>
      </c>
      <c r="H559" s="7976" t="s">
        <v>22</v>
      </c>
      <c r="I559" s="7976" t="s">
        <v>918</v>
      </c>
    </row>
    <row customHeight="1" ht="11.25">
      <c r="A560" s="7976" t="s">
        <v>2530</v>
      </c>
      <c r="B560" s="7976" t="s">
        <v>16</v>
      </c>
      <c r="C560" s="7976" t="s">
        <v>2883</v>
      </c>
      <c r="D560" s="7976" t="s">
        <v>2884</v>
      </c>
      <c r="E560" s="7976" t="s">
        <v>2885</v>
      </c>
      <c r="F560" s="7976" t="s">
        <v>602</v>
      </c>
      <c r="G560" s="7976" t="s">
        <v>2886</v>
      </c>
      <c r="H560" s="7976" t="s">
        <v>22</v>
      </c>
      <c r="I560" s="7976" t="s">
        <v>918</v>
      </c>
    </row>
    <row customHeight="1" ht="11.25">
      <c r="A561" s="7976" t="s">
        <v>2530</v>
      </c>
      <c r="B561" s="7976" t="s">
        <v>16</v>
      </c>
      <c r="C561" s="7976" t="s">
        <v>3882</v>
      </c>
      <c r="D561" s="7976" t="s">
        <v>3883</v>
      </c>
      <c r="E561" s="7976" t="s">
        <v>3884</v>
      </c>
      <c r="F561" s="7976" t="s">
        <v>602</v>
      </c>
      <c r="G561" s="7976" t="s">
        <v>22</v>
      </c>
      <c r="H561" s="7976" t="s">
        <v>22</v>
      </c>
      <c r="I561" s="7976" t="s">
        <v>918</v>
      </c>
    </row>
    <row customHeight="1" ht="11.25">
      <c r="A562" s="7976" t="s">
        <v>2530</v>
      </c>
      <c r="B562" s="7976" t="s">
        <v>16</v>
      </c>
      <c r="C562" s="7976" t="s">
        <v>3885</v>
      </c>
      <c r="D562" s="7976" t="s">
        <v>3886</v>
      </c>
      <c r="E562" s="7976" t="s">
        <v>3887</v>
      </c>
      <c r="F562" s="7976" t="s">
        <v>602</v>
      </c>
      <c r="G562" s="7976" t="s">
        <v>3888</v>
      </c>
      <c r="H562" s="7976" t="s">
        <v>22</v>
      </c>
      <c r="I562" s="7976" t="s">
        <v>918</v>
      </c>
    </row>
    <row customHeight="1" ht="11.25">
      <c r="A563" s="7976" t="s">
        <v>2530</v>
      </c>
      <c r="B563" s="7976" t="s">
        <v>16</v>
      </c>
      <c r="C563" s="7976" t="s">
        <v>2887</v>
      </c>
      <c r="D563" s="7976" t="s">
        <v>2888</v>
      </c>
      <c r="E563" s="7976" t="s">
        <v>2889</v>
      </c>
      <c r="F563" s="7976" t="s">
        <v>602</v>
      </c>
      <c r="G563" s="7976" t="s">
        <v>2700</v>
      </c>
      <c r="H563" s="7976" t="s">
        <v>22</v>
      </c>
      <c r="I563" s="7976" t="s">
        <v>918</v>
      </c>
    </row>
    <row customHeight="1" ht="11.25">
      <c r="A564" s="7976" t="s">
        <v>2530</v>
      </c>
      <c r="B564" s="7976" t="s">
        <v>16</v>
      </c>
      <c r="C564" s="7976" t="s">
        <v>3889</v>
      </c>
      <c r="D564" s="7976" t="s">
        <v>3890</v>
      </c>
      <c r="E564" s="7976" t="s">
        <v>3891</v>
      </c>
      <c r="F564" s="7976" t="s">
        <v>602</v>
      </c>
      <c r="G564" s="7976" t="s">
        <v>3042</v>
      </c>
      <c r="H564" s="7976" t="s">
        <v>22</v>
      </c>
      <c r="I564" s="7976" t="s">
        <v>918</v>
      </c>
    </row>
    <row customHeight="1" ht="11.25">
      <c r="A565" s="7976" t="s">
        <v>2530</v>
      </c>
      <c r="B565" s="7976" t="s">
        <v>16</v>
      </c>
      <c r="C565" s="7976" t="s">
        <v>3892</v>
      </c>
      <c r="D565" s="7976" t="s">
        <v>3893</v>
      </c>
      <c r="E565" s="7976" t="s">
        <v>3894</v>
      </c>
      <c r="F565" s="7976" t="s">
        <v>602</v>
      </c>
      <c r="G565" s="7976" t="s">
        <v>22</v>
      </c>
      <c r="H565" s="7976" t="s">
        <v>22</v>
      </c>
      <c r="I565" s="7976" t="s">
        <v>918</v>
      </c>
    </row>
    <row customHeight="1" ht="11.25">
      <c r="A566" s="7976" t="s">
        <v>2530</v>
      </c>
      <c r="B566" s="7976" t="s">
        <v>16</v>
      </c>
      <c r="C566" s="7976" t="s">
        <v>3895</v>
      </c>
      <c r="D566" s="7976" t="s">
        <v>3896</v>
      </c>
      <c r="E566" s="7976" t="s">
        <v>3897</v>
      </c>
      <c r="F566" s="7976" t="s">
        <v>602</v>
      </c>
      <c r="G566" s="7976" t="s">
        <v>3898</v>
      </c>
      <c r="H566" s="7976" t="s">
        <v>22</v>
      </c>
      <c r="I566" s="7976" t="s">
        <v>918</v>
      </c>
    </row>
    <row customHeight="1" ht="11.25">
      <c r="A567" s="7976" t="s">
        <v>2530</v>
      </c>
      <c r="B567" s="7976" t="s">
        <v>16</v>
      </c>
      <c r="C567" s="7976" t="s">
        <v>2890</v>
      </c>
      <c r="D567" s="7976" t="s">
        <v>2891</v>
      </c>
      <c r="E567" s="7976" t="s">
        <v>2892</v>
      </c>
      <c r="F567" s="7976" t="s">
        <v>602</v>
      </c>
      <c r="G567" s="7976" t="s">
        <v>2893</v>
      </c>
      <c r="H567" s="7976" t="s">
        <v>22</v>
      </c>
      <c r="I567" s="7976" t="s">
        <v>918</v>
      </c>
    </row>
    <row customHeight="1" ht="11.25">
      <c r="A568" s="7976" t="s">
        <v>2530</v>
      </c>
      <c r="B568" s="7976" t="s">
        <v>16</v>
      </c>
      <c r="C568" s="7976" t="s">
        <v>3899</v>
      </c>
      <c r="D568" s="7976" t="s">
        <v>3900</v>
      </c>
      <c r="E568" s="7976" t="s">
        <v>3901</v>
      </c>
      <c r="F568" s="7976" t="s">
        <v>602</v>
      </c>
      <c r="G568" s="7976" t="s">
        <v>3902</v>
      </c>
      <c r="H568" s="7976" t="s">
        <v>22</v>
      </c>
      <c r="I568" s="7976" t="s">
        <v>918</v>
      </c>
    </row>
    <row customHeight="1" ht="11.25">
      <c r="A569" s="7976" t="s">
        <v>2530</v>
      </c>
      <c r="B569" s="7976" t="s">
        <v>16</v>
      </c>
      <c r="C569" s="7976" t="s">
        <v>2894</v>
      </c>
      <c r="D569" s="7976" t="s">
        <v>2895</v>
      </c>
      <c r="E569" s="7976" t="s">
        <v>2896</v>
      </c>
      <c r="F569" s="7976" t="s">
        <v>2897</v>
      </c>
      <c r="G569" s="7976" t="s">
        <v>22</v>
      </c>
      <c r="H569" s="7976" t="s">
        <v>22</v>
      </c>
      <c r="I569" s="7976" t="s">
        <v>918</v>
      </c>
    </row>
    <row customHeight="1" ht="11.25">
      <c r="A570" s="7976" t="s">
        <v>2530</v>
      </c>
      <c r="B570" s="7976" t="s">
        <v>16</v>
      </c>
      <c r="C570" s="7976" t="s">
        <v>3903</v>
      </c>
      <c r="D570" s="7976" t="s">
        <v>3904</v>
      </c>
      <c r="E570" s="7976" t="s">
        <v>3905</v>
      </c>
      <c r="F570" s="7976" t="s">
        <v>3056</v>
      </c>
      <c r="G570" s="7976" t="s">
        <v>3906</v>
      </c>
      <c r="H570" s="7976" t="s">
        <v>22</v>
      </c>
      <c r="I570" s="7976" t="s">
        <v>918</v>
      </c>
    </row>
    <row customHeight="1" ht="11.25">
      <c r="A571" s="7976" t="s">
        <v>2530</v>
      </c>
      <c r="B571" s="7976" t="s">
        <v>16</v>
      </c>
      <c r="C571" s="7976" t="s">
        <v>2901</v>
      </c>
      <c r="D571" s="7976" t="s">
        <v>2902</v>
      </c>
      <c r="E571" s="7976" t="s">
        <v>2903</v>
      </c>
      <c r="F571" s="7976" t="s">
        <v>2534</v>
      </c>
      <c r="G571" s="7976" t="s">
        <v>22</v>
      </c>
      <c r="H571" s="7976" t="s">
        <v>22</v>
      </c>
      <c r="I571" s="7976" t="s">
        <v>918</v>
      </c>
    </row>
    <row customHeight="1" ht="11.25">
      <c r="A572" s="7976" t="s">
        <v>2530</v>
      </c>
      <c r="B572" s="7976" t="s">
        <v>16</v>
      </c>
      <c r="C572" s="7976" t="s">
        <v>3907</v>
      </c>
      <c r="D572" s="7976" t="s">
        <v>3908</v>
      </c>
      <c r="E572" s="7976" t="s">
        <v>3909</v>
      </c>
      <c r="F572" s="7976" t="s">
        <v>2954</v>
      </c>
      <c r="G572" s="7976" t="s">
        <v>3910</v>
      </c>
      <c r="H572" s="7976" t="s">
        <v>22</v>
      </c>
      <c r="I572" s="7976" t="s">
        <v>918</v>
      </c>
    </row>
    <row customHeight="1" ht="11.25">
      <c r="A573" s="7976" t="s">
        <v>2530</v>
      </c>
      <c r="B573" s="7976" t="s">
        <v>16</v>
      </c>
      <c r="C573" s="7976" t="s">
        <v>2904</v>
      </c>
      <c r="D573" s="7976" t="s">
        <v>2905</v>
      </c>
      <c r="E573" s="7976" t="s">
        <v>2906</v>
      </c>
      <c r="F573" s="7976" t="s">
        <v>2907</v>
      </c>
      <c r="G573" s="7976" t="s">
        <v>2908</v>
      </c>
      <c r="H573" s="7976" t="s">
        <v>22</v>
      </c>
      <c r="I573" s="7976" t="s">
        <v>918</v>
      </c>
    </row>
    <row customHeight="1" ht="11.25">
      <c r="A574" s="7976" t="s">
        <v>2530</v>
      </c>
      <c r="B574" s="7976" t="s">
        <v>16</v>
      </c>
      <c r="C574" s="7976" t="s">
        <v>3911</v>
      </c>
      <c r="D574" s="7976" t="s">
        <v>3912</v>
      </c>
      <c r="E574" s="7976" t="s">
        <v>3913</v>
      </c>
      <c r="F574" s="7976" t="s">
        <v>2907</v>
      </c>
      <c r="G574" s="7976" t="s">
        <v>3914</v>
      </c>
      <c r="H574" s="7976" t="s">
        <v>22</v>
      </c>
      <c r="I574" s="7976" t="s">
        <v>918</v>
      </c>
    </row>
    <row customHeight="1" ht="11.25">
      <c r="A575" s="7976" t="s">
        <v>2530</v>
      </c>
      <c r="B575" s="7976" t="s">
        <v>16</v>
      </c>
      <c r="C575" s="7976" t="s">
        <v>3915</v>
      </c>
      <c r="D575" s="7976" t="s">
        <v>3912</v>
      </c>
      <c r="E575" s="7976" t="s">
        <v>3916</v>
      </c>
      <c r="F575" s="7976" t="s">
        <v>2611</v>
      </c>
      <c r="G575" s="7976" t="s">
        <v>3917</v>
      </c>
      <c r="H575" s="7976" t="s">
        <v>22</v>
      </c>
      <c r="I575" s="7976" t="s">
        <v>918</v>
      </c>
    </row>
    <row customHeight="1" ht="11.25">
      <c r="A576" s="7976" t="s">
        <v>2530</v>
      </c>
      <c r="B576" s="7976" t="s">
        <v>16</v>
      </c>
      <c r="C576" s="7976" t="s">
        <v>3918</v>
      </c>
      <c r="D576" s="7976" t="s">
        <v>3919</v>
      </c>
      <c r="E576" s="7976" t="s">
        <v>3920</v>
      </c>
      <c r="F576" s="7976" t="s">
        <v>2670</v>
      </c>
      <c r="G576" s="7976" t="s">
        <v>3921</v>
      </c>
      <c r="H576" s="7976" t="s">
        <v>22</v>
      </c>
      <c r="I576" s="7976" t="s">
        <v>918</v>
      </c>
    </row>
    <row customHeight="1" ht="11.25">
      <c r="A577" s="7976" t="s">
        <v>2530</v>
      </c>
      <c r="B577" s="7976" t="s">
        <v>16</v>
      </c>
      <c r="C577" s="7976" t="s">
        <v>2909</v>
      </c>
      <c r="D577" s="7976" t="s">
        <v>2910</v>
      </c>
      <c r="E577" s="7976" t="s">
        <v>2911</v>
      </c>
      <c r="F577" s="7976" t="s">
        <v>2561</v>
      </c>
      <c r="G577" s="7976" t="s">
        <v>22</v>
      </c>
      <c r="H577" s="7976" t="s">
        <v>22</v>
      </c>
      <c r="I577" s="7976" t="s">
        <v>918</v>
      </c>
    </row>
    <row customHeight="1" ht="11.25">
      <c r="A578" s="7976" t="s">
        <v>2530</v>
      </c>
      <c r="B578" s="7976" t="s">
        <v>16</v>
      </c>
      <c r="C578" s="7976" t="s">
        <v>3922</v>
      </c>
      <c r="D578" s="7976" t="s">
        <v>3923</v>
      </c>
      <c r="E578" s="7976" t="s">
        <v>3924</v>
      </c>
      <c r="F578" s="7976" t="s">
        <v>2589</v>
      </c>
      <c r="G578" s="7976" t="s">
        <v>3925</v>
      </c>
      <c r="H578" s="7976" t="s">
        <v>22</v>
      </c>
      <c r="I578" s="7976" t="s">
        <v>918</v>
      </c>
    </row>
    <row customHeight="1" ht="11.25">
      <c r="A579" s="7976" t="s">
        <v>2530</v>
      </c>
      <c r="B579" s="7976" t="s">
        <v>16</v>
      </c>
      <c r="C579" s="7976" t="s">
        <v>3926</v>
      </c>
      <c r="D579" s="7976" t="s">
        <v>3927</v>
      </c>
      <c r="E579" s="7976" t="s">
        <v>3928</v>
      </c>
      <c r="F579" s="7976" t="s">
        <v>2907</v>
      </c>
      <c r="G579" s="7976" t="s">
        <v>3929</v>
      </c>
      <c r="H579" s="7976" t="s">
        <v>22</v>
      </c>
      <c r="I579" s="7976" t="s">
        <v>918</v>
      </c>
    </row>
    <row customHeight="1" ht="11.25">
      <c r="A580" s="7976" t="s">
        <v>2530</v>
      </c>
      <c r="B580" s="7976" t="s">
        <v>16</v>
      </c>
      <c r="C580" s="7976" t="s">
        <v>3930</v>
      </c>
      <c r="D580" s="7976" t="s">
        <v>3931</v>
      </c>
      <c r="E580" s="7976" t="s">
        <v>3932</v>
      </c>
      <c r="F580" s="7976" t="s">
        <v>2657</v>
      </c>
      <c r="G580" s="7976" t="s">
        <v>22</v>
      </c>
      <c r="H580" s="7976" t="s">
        <v>22</v>
      </c>
      <c r="I580" s="7976" t="s">
        <v>918</v>
      </c>
    </row>
    <row customHeight="1" ht="11.25">
      <c r="A581" s="7976" t="s">
        <v>2530</v>
      </c>
      <c r="B581" s="7976" t="s">
        <v>16</v>
      </c>
      <c r="C581" s="7976" t="s">
        <v>2920</v>
      </c>
      <c r="D581" s="7976" t="s">
        <v>2921</v>
      </c>
      <c r="E581" s="7976" t="s">
        <v>2922</v>
      </c>
      <c r="F581" s="7976" t="s">
        <v>2907</v>
      </c>
      <c r="G581" s="7976" t="s">
        <v>2923</v>
      </c>
      <c r="H581" s="7976" t="s">
        <v>22</v>
      </c>
      <c r="I581" s="7976" t="s">
        <v>918</v>
      </c>
    </row>
    <row customHeight="1" ht="11.25">
      <c r="A582" s="7976" t="s">
        <v>2530</v>
      </c>
      <c r="B582" s="7976" t="s">
        <v>16</v>
      </c>
      <c r="C582" s="7976" t="s">
        <v>3933</v>
      </c>
      <c r="D582" s="7976" t="s">
        <v>3934</v>
      </c>
      <c r="E582" s="7976" t="s">
        <v>3935</v>
      </c>
      <c r="F582" s="7976" t="s">
        <v>2907</v>
      </c>
      <c r="G582" s="7976" t="s">
        <v>3936</v>
      </c>
      <c r="H582" s="7976" t="s">
        <v>22</v>
      </c>
      <c r="I582" s="7976" t="s">
        <v>918</v>
      </c>
    </row>
    <row customHeight="1" ht="11.25">
      <c r="A583" s="7976" t="s">
        <v>2530</v>
      </c>
      <c r="B583" s="7976" t="s">
        <v>16</v>
      </c>
      <c r="C583" s="7976" t="s">
        <v>3937</v>
      </c>
      <c r="D583" s="7976" t="s">
        <v>3938</v>
      </c>
      <c r="E583" s="7976" t="s">
        <v>3939</v>
      </c>
      <c r="F583" s="7976" t="s">
        <v>2907</v>
      </c>
      <c r="G583" s="7976" t="s">
        <v>3940</v>
      </c>
      <c r="H583" s="7976" t="s">
        <v>22</v>
      </c>
      <c r="I583" s="7976" t="s">
        <v>918</v>
      </c>
    </row>
    <row customHeight="1" ht="11.25">
      <c r="A584" s="7976" t="s">
        <v>2530</v>
      </c>
      <c r="B584" s="7976" t="s">
        <v>16</v>
      </c>
      <c r="C584" s="7976" t="s">
        <v>3941</v>
      </c>
      <c r="D584" s="7976" t="s">
        <v>3938</v>
      </c>
      <c r="E584" s="7976" t="s">
        <v>3942</v>
      </c>
      <c r="F584" s="7976" t="s">
        <v>2907</v>
      </c>
      <c r="G584" s="7976" t="s">
        <v>3943</v>
      </c>
      <c r="H584" s="7976" t="s">
        <v>22</v>
      </c>
      <c r="I584" s="7976" t="s">
        <v>918</v>
      </c>
    </row>
    <row customHeight="1" ht="11.25">
      <c r="A585" s="7976" t="s">
        <v>2530</v>
      </c>
      <c r="B585" s="7976" t="s">
        <v>16</v>
      </c>
      <c r="C585" s="7976" t="s">
        <v>3944</v>
      </c>
      <c r="D585" s="7976" t="s">
        <v>3938</v>
      </c>
      <c r="E585" s="7976" t="s">
        <v>3945</v>
      </c>
      <c r="F585" s="7976" t="s">
        <v>2589</v>
      </c>
      <c r="G585" s="7976" t="s">
        <v>3946</v>
      </c>
      <c r="H585" s="7976" t="s">
        <v>22</v>
      </c>
      <c r="I585" s="7976" t="s">
        <v>918</v>
      </c>
    </row>
    <row customHeight="1" ht="11.25">
      <c r="A586" s="7976" t="s">
        <v>2530</v>
      </c>
      <c r="B586" s="7976" t="s">
        <v>16</v>
      </c>
      <c r="C586" s="7976" t="s">
        <v>3947</v>
      </c>
      <c r="D586" s="7976" t="s">
        <v>3948</v>
      </c>
      <c r="E586" s="7976" t="s">
        <v>3949</v>
      </c>
      <c r="F586" s="7976" t="s">
        <v>2907</v>
      </c>
      <c r="G586" s="7976" t="s">
        <v>3950</v>
      </c>
      <c r="H586" s="7976" t="s">
        <v>22</v>
      </c>
      <c r="I586" s="7976" t="s">
        <v>918</v>
      </c>
    </row>
    <row customHeight="1" ht="11.25">
      <c r="A587" s="7976" t="s">
        <v>2530</v>
      </c>
      <c r="B587" s="7976" t="s">
        <v>16</v>
      </c>
      <c r="C587" s="7976" t="s">
        <v>2924</v>
      </c>
      <c r="D587" s="7976" t="s">
        <v>2925</v>
      </c>
      <c r="E587" s="7976" t="s">
        <v>2926</v>
      </c>
      <c r="F587" s="7976" t="s">
        <v>2652</v>
      </c>
      <c r="G587" s="7976" t="s">
        <v>22</v>
      </c>
      <c r="H587" s="7976" t="s">
        <v>22</v>
      </c>
      <c r="I587" s="7976" t="s">
        <v>918</v>
      </c>
    </row>
    <row customHeight="1" ht="11.25">
      <c r="A588" s="7976" t="s">
        <v>2530</v>
      </c>
      <c r="B588" s="7976" t="s">
        <v>16</v>
      </c>
      <c r="C588" s="7976" t="s">
        <v>2940</v>
      </c>
      <c r="D588" s="7976" t="s">
        <v>2941</v>
      </c>
      <c r="E588" s="7976" t="s">
        <v>2942</v>
      </c>
      <c r="F588" s="7976" t="s">
        <v>2589</v>
      </c>
      <c r="G588" s="7976" t="s">
        <v>22</v>
      </c>
      <c r="H588" s="7976" t="s">
        <v>22</v>
      </c>
      <c r="I588" s="7976" t="s">
        <v>918</v>
      </c>
    </row>
    <row customHeight="1" ht="11.25">
      <c r="A589" s="7976" t="s">
        <v>2530</v>
      </c>
      <c r="B589" s="7976" t="s">
        <v>16</v>
      </c>
      <c r="C589" s="7976" t="s">
        <v>2943</v>
      </c>
      <c r="D589" s="7976" t="s">
        <v>2944</v>
      </c>
      <c r="E589" s="7976" t="s">
        <v>2945</v>
      </c>
      <c r="F589" s="7976" t="s">
        <v>2561</v>
      </c>
      <c r="G589" s="7976" t="s">
        <v>22</v>
      </c>
      <c r="H589" s="7976" t="s">
        <v>22</v>
      </c>
      <c r="I589" s="7976" t="s">
        <v>918</v>
      </c>
    </row>
    <row customHeight="1" ht="11.25">
      <c r="A590" s="7976" t="s">
        <v>2530</v>
      </c>
      <c r="B590" s="7976" t="s">
        <v>16</v>
      </c>
      <c r="C590" s="7976" t="s">
        <v>2946</v>
      </c>
      <c r="D590" s="7976" t="s">
        <v>2947</v>
      </c>
      <c r="E590" s="7976" t="s">
        <v>2948</v>
      </c>
      <c r="F590" s="7976" t="s">
        <v>2561</v>
      </c>
      <c r="G590" s="7976" t="s">
        <v>2949</v>
      </c>
      <c r="H590" s="7976" t="s">
        <v>2950</v>
      </c>
      <c r="I590" s="7976" t="s">
        <v>918</v>
      </c>
    </row>
    <row customHeight="1" ht="11.25">
      <c r="A591" s="7976" t="s">
        <v>2530</v>
      </c>
      <c r="B591" s="7976" t="s">
        <v>16</v>
      </c>
      <c r="C591" s="7976" t="s">
        <v>2951</v>
      </c>
      <c r="D591" s="7976" t="s">
        <v>2952</v>
      </c>
      <c r="E591" s="7976" t="s">
        <v>2953</v>
      </c>
      <c r="F591" s="7976" t="s">
        <v>2954</v>
      </c>
      <c r="G591" s="7976" t="s">
        <v>22</v>
      </c>
      <c r="H591" s="7976" t="s">
        <v>22</v>
      </c>
      <c r="I591" s="7976" t="s">
        <v>918</v>
      </c>
    </row>
    <row customHeight="1" ht="11.25">
      <c r="A592" s="7976" t="s">
        <v>2530</v>
      </c>
      <c r="B592" s="7976" t="s">
        <v>16</v>
      </c>
      <c r="C592" s="7976" t="s">
        <v>3951</v>
      </c>
      <c r="D592" s="7976" t="s">
        <v>3952</v>
      </c>
      <c r="E592" s="7976" t="s">
        <v>3953</v>
      </c>
      <c r="F592" s="7976" t="s">
        <v>2824</v>
      </c>
      <c r="G592" s="7976" t="s">
        <v>3954</v>
      </c>
      <c r="H592" s="7976" t="s">
        <v>22</v>
      </c>
      <c r="I592" s="7976" t="s">
        <v>918</v>
      </c>
    </row>
    <row customHeight="1" ht="11.25">
      <c r="A593" s="7976" t="s">
        <v>2530</v>
      </c>
      <c r="B593" s="7976" t="s">
        <v>16</v>
      </c>
      <c r="C593" s="7976" t="s">
        <v>3955</v>
      </c>
      <c r="D593" s="7976" t="s">
        <v>3956</v>
      </c>
      <c r="E593" s="7976" t="s">
        <v>3957</v>
      </c>
      <c r="F593" s="7976" t="s">
        <v>2616</v>
      </c>
      <c r="G593" s="7976" t="s">
        <v>3958</v>
      </c>
      <c r="H593" s="7976" t="s">
        <v>22</v>
      </c>
      <c r="I593" s="7976" t="s">
        <v>918</v>
      </c>
    </row>
    <row customHeight="1" ht="11.25">
      <c r="A594" s="7976" t="s">
        <v>2530</v>
      </c>
      <c r="B594" s="7976" t="s">
        <v>16</v>
      </c>
      <c r="C594" s="7976" t="s">
        <v>3959</v>
      </c>
      <c r="D594" s="7976" t="s">
        <v>3960</v>
      </c>
      <c r="E594" s="7976" t="s">
        <v>3961</v>
      </c>
      <c r="F594" s="7976" t="s">
        <v>2636</v>
      </c>
      <c r="G594" s="7976" t="s">
        <v>22</v>
      </c>
      <c r="H594" s="7976" t="s">
        <v>3962</v>
      </c>
      <c r="I594" s="7976" t="s">
        <v>918</v>
      </c>
    </row>
    <row customHeight="1" ht="11.25">
      <c r="A595" s="7976" t="s">
        <v>2530</v>
      </c>
      <c r="B595" s="7976" t="s">
        <v>16</v>
      </c>
      <c r="C595" s="7976" t="s">
        <v>2962</v>
      </c>
      <c r="D595" s="7976" t="s">
        <v>2963</v>
      </c>
      <c r="E595" s="7976" t="s">
        <v>2964</v>
      </c>
      <c r="F595" s="7976" t="s">
        <v>2539</v>
      </c>
      <c r="G595" s="7976" t="s">
        <v>22</v>
      </c>
      <c r="H595" s="7976" t="s">
        <v>22</v>
      </c>
      <c r="I595" s="7976" t="s">
        <v>918</v>
      </c>
    </row>
    <row customHeight="1" ht="11.25">
      <c r="A596" s="7976" t="s">
        <v>2530</v>
      </c>
      <c r="B596" s="7976" t="s">
        <v>16</v>
      </c>
      <c r="C596" s="7976" t="s">
        <v>2965</v>
      </c>
      <c r="D596" s="7976" t="s">
        <v>2966</v>
      </c>
      <c r="E596" s="7976" t="s">
        <v>2967</v>
      </c>
      <c r="F596" s="7976" t="s">
        <v>2551</v>
      </c>
      <c r="G596" s="7976" t="s">
        <v>22</v>
      </c>
      <c r="H596" s="7976" t="s">
        <v>2744</v>
      </c>
      <c r="I596" s="7976" t="s">
        <v>918</v>
      </c>
    </row>
    <row customHeight="1" ht="11.25">
      <c r="A597" s="7976" t="s">
        <v>2530</v>
      </c>
      <c r="B597" s="7976" t="s">
        <v>16</v>
      </c>
      <c r="C597" s="7976" t="s">
        <v>2968</v>
      </c>
      <c r="D597" s="7976" t="s">
        <v>2969</v>
      </c>
      <c r="E597" s="7976" t="s">
        <v>2970</v>
      </c>
      <c r="F597" s="7976" t="s">
        <v>2670</v>
      </c>
      <c r="G597" s="7976" t="s">
        <v>22</v>
      </c>
      <c r="H597" s="7976" t="s">
        <v>22</v>
      </c>
      <c r="I597" s="7976" t="s">
        <v>918</v>
      </c>
    </row>
    <row customHeight="1" ht="11.25">
      <c r="A598" s="7976" t="s">
        <v>2530</v>
      </c>
      <c r="B598" s="7976" t="s">
        <v>16</v>
      </c>
      <c r="C598" s="7976" t="s">
        <v>3963</v>
      </c>
      <c r="D598" s="7976" t="s">
        <v>3964</v>
      </c>
      <c r="E598" s="7976" t="s">
        <v>3965</v>
      </c>
      <c r="F598" s="7976" t="s">
        <v>2589</v>
      </c>
      <c r="G598" s="7976" t="s">
        <v>3966</v>
      </c>
      <c r="H598" s="7976" t="s">
        <v>22</v>
      </c>
      <c r="I598" s="7976" t="s">
        <v>918</v>
      </c>
    </row>
    <row customHeight="1" ht="11.25">
      <c r="A599" s="7976" t="s">
        <v>2530</v>
      </c>
      <c r="B599" s="7976" t="s">
        <v>16</v>
      </c>
      <c r="C599" s="7976" t="s">
        <v>2971</v>
      </c>
      <c r="D599" s="7976" t="s">
        <v>2972</v>
      </c>
      <c r="E599" s="7976" t="s">
        <v>2973</v>
      </c>
      <c r="F599" s="7976" t="s">
        <v>2539</v>
      </c>
      <c r="G599" s="7976" t="s">
        <v>22</v>
      </c>
      <c r="H599" s="7976" t="s">
        <v>22</v>
      </c>
      <c r="I599" s="7976" t="s">
        <v>918</v>
      </c>
    </row>
    <row customHeight="1" ht="11.25">
      <c r="A600" s="7976" t="s">
        <v>2530</v>
      </c>
      <c r="B600" s="7976" t="s">
        <v>16</v>
      </c>
      <c r="C600" s="7976" t="s">
        <v>2974</v>
      </c>
      <c r="D600" s="7976" t="s">
        <v>2975</v>
      </c>
      <c r="E600" s="7976" t="s">
        <v>2976</v>
      </c>
      <c r="F600" s="7976" t="s">
        <v>2652</v>
      </c>
      <c r="G600" s="7976" t="s">
        <v>2977</v>
      </c>
      <c r="H600" s="7976" t="s">
        <v>22</v>
      </c>
      <c r="I600" s="7976" t="s">
        <v>918</v>
      </c>
    </row>
    <row customHeight="1" ht="11.25">
      <c r="A601" s="7976" t="s">
        <v>2530</v>
      </c>
      <c r="B601" s="7976" t="s">
        <v>16</v>
      </c>
      <c r="C601" s="7976" t="s">
        <v>3967</v>
      </c>
      <c r="D601" s="7976" t="s">
        <v>3968</v>
      </c>
      <c r="E601" s="7976" t="s">
        <v>3969</v>
      </c>
      <c r="F601" s="7976" t="s">
        <v>2555</v>
      </c>
      <c r="G601" s="7976" t="s">
        <v>3970</v>
      </c>
      <c r="H601" s="7976" t="s">
        <v>3971</v>
      </c>
      <c r="I601" s="7976" t="s">
        <v>918</v>
      </c>
    </row>
    <row customHeight="1" ht="11.25">
      <c r="A602" s="7976" t="s">
        <v>2530</v>
      </c>
      <c r="B602" s="7976" t="s">
        <v>16</v>
      </c>
      <c r="C602" s="7976" t="s">
        <v>2978</v>
      </c>
      <c r="D602" s="7976" t="s">
        <v>2979</v>
      </c>
      <c r="E602" s="7976" t="s">
        <v>2980</v>
      </c>
      <c r="F602" s="7976" t="s">
        <v>2546</v>
      </c>
      <c r="G602" s="7976" t="s">
        <v>22</v>
      </c>
      <c r="H602" s="7976" t="s">
        <v>22</v>
      </c>
      <c r="I602" s="7976" t="s">
        <v>918</v>
      </c>
    </row>
    <row customHeight="1" ht="11.25">
      <c r="A603" s="7976" t="s">
        <v>2530</v>
      </c>
      <c r="B603" s="7976" t="s">
        <v>16</v>
      </c>
      <c r="C603" s="7976" t="s">
        <v>2981</v>
      </c>
      <c r="D603" s="7976" t="s">
        <v>2982</v>
      </c>
      <c r="E603" s="7976" t="s">
        <v>2983</v>
      </c>
      <c r="F603" s="7976" t="s">
        <v>2636</v>
      </c>
      <c r="G603" s="7976" t="s">
        <v>22</v>
      </c>
      <c r="H603" s="7976" t="s">
        <v>2984</v>
      </c>
      <c r="I603" s="7976" t="s">
        <v>918</v>
      </c>
    </row>
    <row customHeight="1" ht="11.25">
      <c r="A604" s="7976" t="s">
        <v>2530</v>
      </c>
      <c r="B604" s="7976" t="s">
        <v>16</v>
      </c>
      <c r="C604" s="7976" t="s">
        <v>2985</v>
      </c>
      <c r="D604" s="7976" t="s">
        <v>2986</v>
      </c>
      <c r="E604" s="7976" t="s">
        <v>2987</v>
      </c>
      <c r="F604" s="7976" t="s">
        <v>2648</v>
      </c>
      <c r="G604" s="7976" t="s">
        <v>2988</v>
      </c>
      <c r="H604" s="7976" t="s">
        <v>22</v>
      </c>
      <c r="I604" s="7976" t="s">
        <v>918</v>
      </c>
    </row>
    <row customHeight="1" ht="11.25">
      <c r="A605" s="7976" t="s">
        <v>2530</v>
      </c>
      <c r="B605" s="7976" t="s">
        <v>16</v>
      </c>
      <c r="C605" s="7976" t="s">
        <v>2989</v>
      </c>
      <c r="D605" s="7976" t="s">
        <v>2990</v>
      </c>
      <c r="E605" s="7976" t="s">
        <v>2991</v>
      </c>
      <c r="F605" s="7976" t="s">
        <v>2616</v>
      </c>
      <c r="G605" s="7976" t="s">
        <v>22</v>
      </c>
      <c r="H605" s="7976" t="s">
        <v>22</v>
      </c>
      <c r="I605" s="7976" t="s">
        <v>918</v>
      </c>
    </row>
    <row customHeight="1" ht="11.25">
      <c r="A606" s="7976" t="s">
        <v>2530</v>
      </c>
      <c r="B606" s="7976" t="s">
        <v>16</v>
      </c>
      <c r="C606" s="7976" t="s">
        <v>3005</v>
      </c>
      <c r="D606" s="7976" t="s">
        <v>3006</v>
      </c>
      <c r="E606" s="7976" t="s">
        <v>3007</v>
      </c>
      <c r="F606" s="7976" t="s">
        <v>2757</v>
      </c>
      <c r="G606" s="7976" t="s">
        <v>22</v>
      </c>
      <c r="H606" s="7976" t="s">
        <v>22</v>
      </c>
      <c r="I606" s="7976" t="s">
        <v>918</v>
      </c>
    </row>
    <row customHeight="1" ht="11.25">
      <c r="A607" s="7976" t="s">
        <v>2530</v>
      </c>
      <c r="B607" s="7976" t="s">
        <v>16</v>
      </c>
      <c r="C607" s="7976" t="s">
        <v>3008</v>
      </c>
      <c r="D607" s="7976" t="s">
        <v>3009</v>
      </c>
      <c r="E607" s="7976" t="s">
        <v>3010</v>
      </c>
      <c r="F607" s="7976" t="s">
        <v>2690</v>
      </c>
      <c r="G607" s="7976" t="s">
        <v>22</v>
      </c>
      <c r="H607" s="7976" t="s">
        <v>22</v>
      </c>
      <c r="I607" s="7976" t="s">
        <v>918</v>
      </c>
    </row>
    <row customHeight="1" ht="11.25">
      <c r="A608" s="7976" t="s">
        <v>2530</v>
      </c>
      <c r="B608" s="7976" t="s">
        <v>16</v>
      </c>
      <c r="C608" s="7976" t="s">
        <v>3018</v>
      </c>
      <c r="D608" s="7976" t="s">
        <v>3019</v>
      </c>
      <c r="E608" s="7976" t="s">
        <v>3020</v>
      </c>
      <c r="F608" s="7976" t="s">
        <v>2573</v>
      </c>
      <c r="G608" s="7976" t="s">
        <v>22</v>
      </c>
      <c r="H608" s="7976" t="s">
        <v>22</v>
      </c>
      <c r="I608" s="7976" t="s">
        <v>918</v>
      </c>
    </row>
    <row customHeight="1" ht="11.25">
      <c r="A609" s="7976" t="s">
        <v>2530</v>
      </c>
      <c r="B609" s="7976" t="s">
        <v>16</v>
      </c>
      <c r="C609" s="7976" t="s">
        <v>3024</v>
      </c>
      <c r="D609" s="7976" t="s">
        <v>3025</v>
      </c>
      <c r="E609" s="7976" t="s">
        <v>3026</v>
      </c>
      <c r="F609" s="7976" t="s">
        <v>2743</v>
      </c>
      <c r="G609" s="7976" t="s">
        <v>22</v>
      </c>
      <c r="H609" s="7976" t="s">
        <v>22</v>
      </c>
      <c r="I609" s="7976" t="s">
        <v>918</v>
      </c>
    </row>
    <row customHeight="1" ht="11.25">
      <c r="A610" s="7976" t="s">
        <v>2530</v>
      </c>
      <c r="B610" s="7976" t="s">
        <v>16</v>
      </c>
      <c r="C610" s="7976" t="s">
        <v>3972</v>
      </c>
      <c r="D610" s="7976" t="s">
        <v>3973</v>
      </c>
      <c r="E610" s="7976" t="s">
        <v>3974</v>
      </c>
      <c r="F610" s="7976" t="s">
        <v>2907</v>
      </c>
      <c r="G610" s="7976" t="s">
        <v>3030</v>
      </c>
      <c r="H610" s="7976" t="s">
        <v>22</v>
      </c>
      <c r="I610" s="7976" t="s">
        <v>918</v>
      </c>
    </row>
    <row customHeight="1" ht="11.25">
      <c r="A611" s="7976" t="s">
        <v>2530</v>
      </c>
      <c r="B611" s="7976" t="s">
        <v>16</v>
      </c>
      <c r="C611" s="7976" t="s">
        <v>3027</v>
      </c>
      <c r="D611" s="7976" t="s">
        <v>3028</v>
      </c>
      <c r="E611" s="7976" t="s">
        <v>3029</v>
      </c>
      <c r="F611" s="7976" t="s">
        <v>2907</v>
      </c>
      <c r="G611" s="7976" t="s">
        <v>3030</v>
      </c>
      <c r="H611" s="7976" t="s">
        <v>22</v>
      </c>
      <c r="I611" s="7976" t="s">
        <v>918</v>
      </c>
    </row>
    <row customHeight="1" ht="11.25">
      <c r="A612" s="7976" t="s">
        <v>2530</v>
      </c>
      <c r="B612" s="7976" t="s">
        <v>16</v>
      </c>
      <c r="C612" s="7976" t="s">
        <v>3031</v>
      </c>
      <c r="D612" s="7976" t="s">
        <v>3032</v>
      </c>
      <c r="E612" s="7976" t="s">
        <v>3033</v>
      </c>
      <c r="F612" s="7976" t="s">
        <v>2907</v>
      </c>
      <c r="G612" s="7976" t="s">
        <v>3034</v>
      </c>
      <c r="H612" s="7976" t="s">
        <v>22</v>
      </c>
      <c r="I612" s="7976" t="s">
        <v>918</v>
      </c>
    </row>
    <row customHeight="1" ht="11.25">
      <c r="A613" s="7976" t="s">
        <v>2530</v>
      </c>
      <c r="B613" s="7976" t="s">
        <v>16</v>
      </c>
      <c r="C613" s="7976" t="s">
        <v>3035</v>
      </c>
      <c r="D613" s="7976" t="s">
        <v>3036</v>
      </c>
      <c r="E613" s="7976" t="s">
        <v>3037</v>
      </c>
      <c r="F613" s="7976" t="s">
        <v>2573</v>
      </c>
      <c r="G613" s="7976" t="s">
        <v>3038</v>
      </c>
      <c r="H613" s="7976" t="s">
        <v>22</v>
      </c>
      <c r="I613" s="7976" t="s">
        <v>918</v>
      </c>
    </row>
    <row customHeight="1" ht="11.25">
      <c r="A614" s="7976" t="s">
        <v>2530</v>
      </c>
      <c r="B614" s="7976" t="s">
        <v>16</v>
      </c>
      <c r="C614" s="7976" t="s">
        <v>3039</v>
      </c>
      <c r="D614" s="7976" t="s">
        <v>3040</v>
      </c>
      <c r="E614" s="7976" t="s">
        <v>3041</v>
      </c>
      <c r="F614" s="7976" t="s">
        <v>2630</v>
      </c>
      <c r="G614" s="7976" t="s">
        <v>3042</v>
      </c>
      <c r="H614" s="7976" t="s">
        <v>22</v>
      </c>
      <c r="I614" s="7976" t="s">
        <v>918</v>
      </c>
    </row>
    <row customHeight="1" ht="11.25">
      <c r="A615" s="7976" t="s">
        <v>2530</v>
      </c>
      <c r="B615" s="7976" t="s">
        <v>16</v>
      </c>
      <c r="C615" s="7976" t="s">
        <v>3043</v>
      </c>
      <c r="D615" s="7976" t="s">
        <v>3044</v>
      </c>
      <c r="E615" s="7976" t="s">
        <v>3045</v>
      </c>
      <c r="F615" s="7976" t="s">
        <v>2573</v>
      </c>
      <c r="G615" s="7976" t="s">
        <v>22</v>
      </c>
      <c r="H615" s="7976" t="s">
        <v>22</v>
      </c>
      <c r="I615" s="7976" t="s">
        <v>918</v>
      </c>
    </row>
    <row customHeight="1" ht="11.25">
      <c r="A616" s="7976" t="s">
        <v>2530</v>
      </c>
      <c r="B616" s="7976" t="s">
        <v>16</v>
      </c>
      <c r="C616" s="7976" t="s">
        <v>3046</v>
      </c>
      <c r="D616" s="7976" t="s">
        <v>3047</v>
      </c>
      <c r="E616" s="7976" t="s">
        <v>3048</v>
      </c>
      <c r="F616" s="7976" t="s">
        <v>2573</v>
      </c>
      <c r="G616" s="7976" t="s">
        <v>3049</v>
      </c>
      <c r="H616" s="7976" t="s">
        <v>22</v>
      </c>
      <c r="I616" s="7976" t="s">
        <v>918</v>
      </c>
    </row>
    <row customHeight="1" ht="11.25">
      <c r="A617" s="7976" t="s">
        <v>2530</v>
      </c>
      <c r="B617" s="7976" t="s">
        <v>16</v>
      </c>
      <c r="C617" s="7976" t="s">
        <v>3050</v>
      </c>
      <c r="D617" s="7976" t="s">
        <v>3051</v>
      </c>
      <c r="E617" s="7976" t="s">
        <v>3052</v>
      </c>
      <c r="F617" s="7976" t="s">
        <v>2573</v>
      </c>
      <c r="G617" s="7976" t="s">
        <v>22</v>
      </c>
      <c r="H617" s="7976" t="s">
        <v>22</v>
      </c>
      <c r="I617" s="7976" t="s">
        <v>918</v>
      </c>
    </row>
    <row customHeight="1" ht="11.25">
      <c r="A618" s="7976" t="s">
        <v>2530</v>
      </c>
      <c r="B618" s="7976" t="s">
        <v>16</v>
      </c>
      <c r="C618" s="7976" t="s">
        <v>3975</v>
      </c>
      <c r="D618" s="7976" t="s">
        <v>3976</v>
      </c>
      <c r="E618" s="7976" t="s">
        <v>3977</v>
      </c>
      <c r="F618" s="7976" t="s">
        <v>3056</v>
      </c>
      <c r="G618" s="7976" t="s">
        <v>3978</v>
      </c>
      <c r="H618" s="7976" t="s">
        <v>22</v>
      </c>
      <c r="I618" s="7976" t="s">
        <v>918</v>
      </c>
    </row>
    <row customHeight="1" ht="11.25">
      <c r="A619" s="7976" t="s">
        <v>2530</v>
      </c>
      <c r="B619" s="7976" t="s">
        <v>16</v>
      </c>
      <c r="C619" s="7976" t="s">
        <v>3057</v>
      </c>
      <c r="D619" s="7976" t="s">
        <v>3058</v>
      </c>
      <c r="E619" s="7976" t="s">
        <v>3059</v>
      </c>
      <c r="F619" s="7976" t="s">
        <v>2648</v>
      </c>
      <c r="G619" s="7976" t="s">
        <v>3060</v>
      </c>
      <c r="H619" s="7976" t="s">
        <v>22</v>
      </c>
      <c r="I619" s="7976" t="s">
        <v>918</v>
      </c>
    </row>
    <row customHeight="1" ht="11.25">
      <c r="A620" s="7976" t="s">
        <v>2530</v>
      </c>
      <c r="B620" s="7976" t="s">
        <v>16</v>
      </c>
      <c r="C620" s="7976" t="s">
        <v>3061</v>
      </c>
      <c r="D620" s="7976" t="s">
        <v>3062</v>
      </c>
      <c r="E620" s="7976" t="s">
        <v>3063</v>
      </c>
      <c r="F620" s="7976" t="s">
        <v>2539</v>
      </c>
      <c r="G620" s="7976" t="s">
        <v>3064</v>
      </c>
      <c r="H620" s="7976" t="s">
        <v>22</v>
      </c>
      <c r="I620" s="7976" t="s">
        <v>918</v>
      </c>
    </row>
    <row customHeight="1" ht="11.25">
      <c r="A621" s="7976" t="s">
        <v>2530</v>
      </c>
      <c r="B621" s="7976" t="s">
        <v>16</v>
      </c>
      <c r="C621" s="7976" t="s">
        <v>3068</v>
      </c>
      <c r="D621" s="7976" t="s">
        <v>3069</v>
      </c>
      <c r="E621" s="7976" t="s">
        <v>3070</v>
      </c>
      <c r="F621" s="7976" t="s">
        <v>2636</v>
      </c>
      <c r="G621" s="7976" t="s">
        <v>3071</v>
      </c>
      <c r="H621" s="7976" t="s">
        <v>22</v>
      </c>
      <c r="I621" s="7976" t="s">
        <v>918</v>
      </c>
    </row>
    <row customHeight="1" ht="11.25">
      <c r="A622" s="7976" t="s">
        <v>2530</v>
      </c>
      <c r="B622" s="7976" t="s">
        <v>16</v>
      </c>
      <c r="C622" s="7976" t="s">
        <v>3072</v>
      </c>
      <c r="D622" s="7976" t="s">
        <v>3073</v>
      </c>
      <c r="E622" s="7976" t="s">
        <v>3074</v>
      </c>
      <c r="F622" s="7976" t="s">
        <v>2743</v>
      </c>
      <c r="G622" s="7976" t="s">
        <v>22</v>
      </c>
      <c r="H622" s="7976" t="s">
        <v>22</v>
      </c>
      <c r="I622" s="7976" t="s">
        <v>918</v>
      </c>
    </row>
    <row customHeight="1" ht="11.25">
      <c r="A623" s="7976" t="s">
        <v>2530</v>
      </c>
      <c r="B623" s="7976" t="s">
        <v>16</v>
      </c>
      <c r="C623" s="7976" t="s">
        <v>3979</v>
      </c>
      <c r="D623" s="7976" t="s">
        <v>3980</v>
      </c>
      <c r="E623" s="7976" t="s">
        <v>3981</v>
      </c>
      <c r="F623" s="7976" t="s">
        <v>2743</v>
      </c>
      <c r="G623" s="7976" t="s">
        <v>3982</v>
      </c>
      <c r="H623" s="7976" t="s">
        <v>22</v>
      </c>
      <c r="I623" s="7976" t="s">
        <v>918</v>
      </c>
    </row>
    <row customHeight="1" ht="11.25">
      <c r="A624" s="7976" t="s">
        <v>2530</v>
      </c>
      <c r="B624" s="7976" t="s">
        <v>16</v>
      </c>
      <c r="C624" s="7976" t="s">
        <v>3075</v>
      </c>
      <c r="D624" s="7976" t="s">
        <v>3076</v>
      </c>
      <c r="E624" s="7976" t="s">
        <v>3077</v>
      </c>
      <c r="F624" s="7976" t="s">
        <v>2573</v>
      </c>
      <c r="G624" s="7976" t="s">
        <v>3078</v>
      </c>
      <c r="H624" s="7976" t="s">
        <v>22</v>
      </c>
      <c r="I624" s="7976" t="s">
        <v>918</v>
      </c>
    </row>
    <row customHeight="1" ht="11.25">
      <c r="A625" s="7976" t="s">
        <v>2530</v>
      </c>
      <c r="B625" s="7976" t="s">
        <v>16</v>
      </c>
      <c r="C625" s="7976" t="s">
        <v>3079</v>
      </c>
      <c r="D625" s="7976" t="s">
        <v>3080</v>
      </c>
      <c r="E625" s="7976" t="s">
        <v>3081</v>
      </c>
      <c r="F625" s="7976" t="s">
        <v>2573</v>
      </c>
      <c r="G625" s="7976" t="s">
        <v>3082</v>
      </c>
      <c r="H625" s="7976" t="s">
        <v>22</v>
      </c>
      <c r="I625" s="7976" t="s">
        <v>918</v>
      </c>
    </row>
    <row customHeight="1" ht="11.25">
      <c r="A626" s="7976" t="s">
        <v>2530</v>
      </c>
      <c r="B626" s="7976" t="s">
        <v>16</v>
      </c>
      <c r="C626" s="7976" t="s">
        <v>3088</v>
      </c>
      <c r="D626" s="7976" t="s">
        <v>3089</v>
      </c>
      <c r="E626" s="7976" t="s">
        <v>3090</v>
      </c>
      <c r="F626" s="7976" t="s">
        <v>3091</v>
      </c>
      <c r="G626" s="7976" t="s">
        <v>3092</v>
      </c>
      <c r="H626" s="7976" t="s">
        <v>22</v>
      </c>
      <c r="I626" s="7976" t="s">
        <v>918</v>
      </c>
    </row>
    <row customHeight="1" ht="11.25">
      <c r="A627" s="7976" t="s">
        <v>2530</v>
      </c>
      <c r="B627" s="7976" t="s">
        <v>16</v>
      </c>
      <c r="C627" s="7976" t="s">
        <v>3093</v>
      </c>
      <c r="D627" s="7976" t="s">
        <v>3094</v>
      </c>
      <c r="E627" s="7976" t="s">
        <v>3095</v>
      </c>
      <c r="F627" s="7976" t="s">
        <v>2573</v>
      </c>
      <c r="G627" s="7976" t="s">
        <v>3096</v>
      </c>
      <c r="H627" s="7976" t="s">
        <v>22</v>
      </c>
      <c r="I627" s="7976" t="s">
        <v>918</v>
      </c>
    </row>
    <row customHeight="1" ht="11.25">
      <c r="A628" s="7976" t="s">
        <v>2530</v>
      </c>
      <c r="B628" s="7976" t="s">
        <v>16</v>
      </c>
      <c r="C628" s="7976" t="s">
        <v>3097</v>
      </c>
      <c r="D628" s="7976" t="s">
        <v>3098</v>
      </c>
      <c r="E628" s="7976" t="s">
        <v>3099</v>
      </c>
      <c r="F628" s="7976" t="s">
        <v>2561</v>
      </c>
      <c r="G628" s="7976" t="s">
        <v>3100</v>
      </c>
      <c r="H628" s="7976" t="s">
        <v>22</v>
      </c>
      <c r="I628" s="7976" t="s">
        <v>918</v>
      </c>
    </row>
    <row customHeight="1" ht="11.25">
      <c r="A629" s="7976" t="s">
        <v>2530</v>
      </c>
      <c r="B629" s="7976" t="s">
        <v>16</v>
      </c>
      <c r="C629" s="7976" t="s">
        <v>3101</v>
      </c>
      <c r="D629" s="7976" t="s">
        <v>3102</v>
      </c>
      <c r="E629" s="7976" t="s">
        <v>3103</v>
      </c>
      <c r="F629" s="7976" t="s">
        <v>2907</v>
      </c>
      <c r="G629" s="7976" t="s">
        <v>3104</v>
      </c>
      <c r="H629" s="7976" t="s">
        <v>22</v>
      </c>
      <c r="I629" s="7976" t="s">
        <v>918</v>
      </c>
    </row>
    <row customHeight="1" ht="11.25">
      <c r="A630" s="7976" t="s">
        <v>2530</v>
      </c>
      <c r="B630" s="7976" t="s">
        <v>16</v>
      </c>
      <c r="C630" s="7976" t="s">
        <v>3105</v>
      </c>
      <c r="D630" s="7976" t="s">
        <v>3106</v>
      </c>
      <c r="E630" s="7976" t="s">
        <v>3107</v>
      </c>
      <c r="F630" s="7976" t="s">
        <v>2802</v>
      </c>
      <c r="G630" s="7976" t="s">
        <v>3108</v>
      </c>
      <c r="H630" s="7976" t="s">
        <v>22</v>
      </c>
      <c r="I630" s="7976" t="s">
        <v>918</v>
      </c>
    </row>
    <row customHeight="1" ht="11.25">
      <c r="A631" s="7976" t="s">
        <v>2530</v>
      </c>
      <c r="B631" s="7976" t="s">
        <v>16</v>
      </c>
      <c r="C631" s="7976" t="s">
        <v>3109</v>
      </c>
      <c r="D631" s="7976" t="s">
        <v>3110</v>
      </c>
      <c r="E631" s="7976" t="s">
        <v>3111</v>
      </c>
      <c r="F631" s="7976" t="s">
        <v>2573</v>
      </c>
      <c r="G631" s="7976" t="s">
        <v>22</v>
      </c>
      <c r="H631" s="7976" t="s">
        <v>22</v>
      </c>
      <c r="I631" s="7976" t="s">
        <v>918</v>
      </c>
    </row>
    <row customHeight="1" ht="11.25">
      <c r="A632" s="7976" t="s">
        <v>2530</v>
      </c>
      <c r="B632" s="7976" t="s">
        <v>16</v>
      </c>
      <c r="C632" s="7976" t="s">
        <v>3983</v>
      </c>
      <c r="D632" s="7976" t="s">
        <v>3984</v>
      </c>
      <c r="E632" s="7976" t="s">
        <v>3985</v>
      </c>
      <c r="F632" s="7976" t="s">
        <v>2757</v>
      </c>
      <c r="G632" s="7976" t="s">
        <v>22</v>
      </c>
      <c r="H632" s="7976" t="s">
        <v>22</v>
      </c>
      <c r="I632" s="7976" t="s">
        <v>918</v>
      </c>
    </row>
    <row customHeight="1" ht="11.25">
      <c r="A633" s="7976" t="s">
        <v>2530</v>
      </c>
      <c r="B633" s="7976" t="s">
        <v>16</v>
      </c>
      <c r="C633" s="7976" t="s">
        <v>3116</v>
      </c>
      <c r="D633" s="7976" t="s">
        <v>3117</v>
      </c>
      <c r="E633" s="7976" t="s">
        <v>3118</v>
      </c>
      <c r="F633" s="7976" t="s">
        <v>2573</v>
      </c>
      <c r="G633" s="7976" t="s">
        <v>3119</v>
      </c>
      <c r="H633" s="7976" t="s">
        <v>22</v>
      </c>
      <c r="I633" s="7976" t="s">
        <v>918</v>
      </c>
    </row>
    <row customHeight="1" ht="11.25">
      <c r="A634" s="7976" t="s">
        <v>2530</v>
      </c>
      <c r="B634" s="7976" t="s">
        <v>16</v>
      </c>
      <c r="C634" s="7976" t="s">
        <v>3120</v>
      </c>
      <c r="D634" s="7976" t="s">
        <v>3121</v>
      </c>
      <c r="E634" s="7976" t="s">
        <v>3122</v>
      </c>
      <c r="F634" s="7976" t="s">
        <v>2561</v>
      </c>
      <c r="G634" s="7976" t="s">
        <v>3123</v>
      </c>
      <c r="H634" s="7976" t="s">
        <v>22</v>
      </c>
      <c r="I634" s="7976" t="s">
        <v>918</v>
      </c>
    </row>
    <row customHeight="1" ht="11.25">
      <c r="A635" s="7976" t="s">
        <v>2530</v>
      </c>
      <c r="B635" s="7976" t="s">
        <v>16</v>
      </c>
      <c r="C635" s="7976" t="s">
        <v>3986</v>
      </c>
      <c r="D635" s="7976" t="s">
        <v>3987</v>
      </c>
      <c r="E635" s="7976" t="s">
        <v>3988</v>
      </c>
      <c r="F635" s="7976" t="s">
        <v>3056</v>
      </c>
      <c r="G635" s="7976" t="s">
        <v>3989</v>
      </c>
      <c r="H635" s="7976" t="s">
        <v>22</v>
      </c>
      <c r="I635" s="7976" t="s">
        <v>918</v>
      </c>
    </row>
    <row customHeight="1" ht="11.25">
      <c r="A636" s="7976" t="s">
        <v>2530</v>
      </c>
      <c r="B636" s="7976" t="s">
        <v>16</v>
      </c>
      <c r="C636" s="7976" t="s">
        <v>3990</v>
      </c>
      <c r="D636" s="7976" t="s">
        <v>3991</v>
      </c>
      <c r="E636" s="7976" t="s">
        <v>3992</v>
      </c>
      <c r="F636" s="7976" t="s">
        <v>3326</v>
      </c>
      <c r="G636" s="7976" t="s">
        <v>22</v>
      </c>
      <c r="H636" s="7976" t="s">
        <v>22</v>
      </c>
      <c r="I636" s="7976" t="s">
        <v>918</v>
      </c>
    </row>
    <row customHeight="1" ht="11.25">
      <c r="A637" s="7976" t="s">
        <v>2530</v>
      </c>
      <c r="B637" s="7976" t="s">
        <v>16</v>
      </c>
      <c r="C637" s="7976" t="s">
        <v>3128</v>
      </c>
      <c r="D637" s="7976" t="s">
        <v>3129</v>
      </c>
      <c r="E637" s="7976" t="s">
        <v>3130</v>
      </c>
      <c r="F637" s="7976" t="s">
        <v>3131</v>
      </c>
      <c r="G637" s="7976" t="s">
        <v>3132</v>
      </c>
      <c r="H637" s="7976" t="s">
        <v>22</v>
      </c>
      <c r="I637" s="7976" t="s">
        <v>918</v>
      </c>
    </row>
    <row customHeight="1" ht="11.25">
      <c r="A638" s="7976" t="s">
        <v>2530</v>
      </c>
      <c r="B638" s="7976" t="s">
        <v>16</v>
      </c>
      <c r="C638" s="7976" t="s">
        <v>3993</v>
      </c>
      <c r="D638" s="7976" t="s">
        <v>3994</v>
      </c>
      <c r="E638" s="7976" t="s">
        <v>3995</v>
      </c>
      <c r="F638" s="7976" t="s">
        <v>2630</v>
      </c>
      <c r="G638" s="7976" t="s">
        <v>3996</v>
      </c>
      <c r="H638" s="7976" t="s">
        <v>22</v>
      </c>
      <c r="I638" s="7976" t="s">
        <v>918</v>
      </c>
    </row>
    <row customHeight="1" ht="11.25">
      <c r="A639" s="7976" t="s">
        <v>2530</v>
      </c>
      <c r="B639" s="7976" t="s">
        <v>16</v>
      </c>
      <c r="C639" s="7976" t="s">
        <v>3137</v>
      </c>
      <c r="D639" s="7976" t="s">
        <v>3138</v>
      </c>
      <c r="E639" s="7976" t="s">
        <v>3139</v>
      </c>
      <c r="F639" s="7976" t="s">
        <v>2630</v>
      </c>
      <c r="G639" s="7976" t="s">
        <v>22</v>
      </c>
      <c r="H639" s="7976" t="s">
        <v>22</v>
      </c>
      <c r="I639" s="7976" t="s">
        <v>918</v>
      </c>
    </row>
    <row customHeight="1" ht="11.25">
      <c r="A640" s="7976" t="s">
        <v>2530</v>
      </c>
      <c r="B640" s="7976" t="s">
        <v>16</v>
      </c>
      <c r="C640" s="7976" t="s">
        <v>3140</v>
      </c>
      <c r="D640" s="7976" t="s">
        <v>3141</v>
      </c>
      <c r="E640" s="7976" t="s">
        <v>3142</v>
      </c>
      <c r="F640" s="7976" t="s">
        <v>2630</v>
      </c>
      <c r="G640" s="7976" t="s">
        <v>3143</v>
      </c>
      <c r="H640" s="7976" t="s">
        <v>22</v>
      </c>
      <c r="I640" s="7976" t="s">
        <v>918</v>
      </c>
    </row>
    <row customHeight="1" ht="11.25">
      <c r="A641" s="7976" t="s">
        <v>2530</v>
      </c>
      <c r="B641" s="7976" t="s">
        <v>16</v>
      </c>
      <c r="C641" s="7976" t="s">
        <v>3144</v>
      </c>
      <c r="D641" s="7976" t="s">
        <v>3145</v>
      </c>
      <c r="E641" s="7976" t="s">
        <v>3146</v>
      </c>
      <c r="F641" s="7976" t="s">
        <v>3147</v>
      </c>
      <c r="G641" s="7976" t="s">
        <v>22</v>
      </c>
      <c r="H641" s="7976" t="s">
        <v>22</v>
      </c>
      <c r="I641" s="7976" t="s">
        <v>918</v>
      </c>
    </row>
    <row customHeight="1" ht="11.25">
      <c r="A642" s="7976" t="s">
        <v>2530</v>
      </c>
      <c r="B642" s="7976" t="s">
        <v>16</v>
      </c>
      <c r="C642" s="7976" t="s">
        <v>3148</v>
      </c>
      <c r="D642" s="7976" t="s">
        <v>3149</v>
      </c>
      <c r="E642" s="7976" t="s">
        <v>3150</v>
      </c>
      <c r="F642" s="7976" t="s">
        <v>2573</v>
      </c>
      <c r="G642" s="7976" t="s">
        <v>3151</v>
      </c>
      <c r="H642" s="7976" t="s">
        <v>22</v>
      </c>
      <c r="I642" s="7976" t="s">
        <v>918</v>
      </c>
    </row>
    <row customHeight="1" ht="11.25">
      <c r="A643" s="7976" t="s">
        <v>2530</v>
      </c>
      <c r="B643" s="7976" t="s">
        <v>16</v>
      </c>
      <c r="C643" s="7976" t="s">
        <v>3152</v>
      </c>
      <c r="D643" s="7976" t="s">
        <v>3153</v>
      </c>
      <c r="E643" s="7976" t="s">
        <v>3154</v>
      </c>
      <c r="F643" s="7976" t="s">
        <v>2954</v>
      </c>
      <c r="G643" s="7976" t="s">
        <v>22</v>
      </c>
      <c r="H643" s="7976" t="s">
        <v>22</v>
      </c>
      <c r="I643" s="7976" t="s">
        <v>918</v>
      </c>
    </row>
    <row customHeight="1" ht="11.25">
      <c r="A644" s="7976" t="s">
        <v>2530</v>
      </c>
      <c r="B644" s="7976" t="s">
        <v>16</v>
      </c>
      <c r="C644" s="7976" t="s">
        <v>3155</v>
      </c>
      <c r="D644" s="7976" t="s">
        <v>3156</v>
      </c>
      <c r="E644" s="7976" t="s">
        <v>3157</v>
      </c>
      <c r="F644" s="7976" t="s">
        <v>2907</v>
      </c>
      <c r="G644" s="7976" t="s">
        <v>2908</v>
      </c>
      <c r="H644" s="7976" t="s">
        <v>22</v>
      </c>
      <c r="I644" s="7976" t="s">
        <v>918</v>
      </c>
    </row>
    <row customHeight="1" ht="11.25">
      <c r="A645" s="7976" t="s">
        <v>2530</v>
      </c>
      <c r="B645" s="7976" t="s">
        <v>16</v>
      </c>
      <c r="C645" s="7976" t="s">
        <v>3997</v>
      </c>
      <c r="D645" s="7976" t="s">
        <v>3998</v>
      </c>
      <c r="E645" s="7976" t="s">
        <v>3999</v>
      </c>
      <c r="F645" s="7976" t="s">
        <v>2573</v>
      </c>
      <c r="G645" s="7976" t="s">
        <v>4000</v>
      </c>
      <c r="H645" s="7976" t="s">
        <v>22</v>
      </c>
      <c r="I645" s="7976" t="s">
        <v>918</v>
      </c>
    </row>
    <row customHeight="1" ht="11.25">
      <c r="A646" s="7976" t="s">
        <v>2530</v>
      </c>
      <c r="B646" s="7976" t="s">
        <v>16</v>
      </c>
      <c r="C646" s="7976" t="s">
        <v>3158</v>
      </c>
      <c r="D646" s="7976" t="s">
        <v>3159</v>
      </c>
      <c r="E646" s="7976" t="s">
        <v>3160</v>
      </c>
      <c r="F646" s="7976" t="s">
        <v>2652</v>
      </c>
      <c r="G646" s="7976" t="s">
        <v>3161</v>
      </c>
      <c r="H646" s="7976" t="s">
        <v>22</v>
      </c>
      <c r="I646" s="7976" t="s">
        <v>918</v>
      </c>
    </row>
    <row customHeight="1" ht="11.25">
      <c r="A647" s="7976" t="s">
        <v>2530</v>
      </c>
      <c r="B647" s="7976" t="s">
        <v>16</v>
      </c>
      <c r="C647" s="7976" t="s">
        <v>3162</v>
      </c>
      <c r="D647" s="7976" t="s">
        <v>3163</v>
      </c>
      <c r="E647" s="7976" t="s">
        <v>3164</v>
      </c>
      <c r="F647" s="7976" t="s">
        <v>2561</v>
      </c>
      <c r="G647" s="7976" t="s">
        <v>22</v>
      </c>
      <c r="H647" s="7976" t="s">
        <v>22</v>
      </c>
      <c r="I647" s="7976" t="s">
        <v>918</v>
      </c>
    </row>
    <row customHeight="1" ht="11.25">
      <c r="A648" s="7976" t="s">
        <v>2530</v>
      </c>
      <c r="B648" s="7976" t="s">
        <v>16</v>
      </c>
      <c r="C648" s="7976" t="s">
        <v>4001</v>
      </c>
      <c r="D648" s="7976" t="s">
        <v>4002</v>
      </c>
      <c r="E648" s="7976" t="s">
        <v>4003</v>
      </c>
      <c r="F648" s="7976" t="s">
        <v>2662</v>
      </c>
      <c r="G648" s="7976" t="s">
        <v>22</v>
      </c>
      <c r="H648" s="7976" t="s">
        <v>4004</v>
      </c>
      <c r="I648" s="7976" t="s">
        <v>918</v>
      </c>
    </row>
    <row customHeight="1" ht="11.25">
      <c r="A649" s="7976" t="s">
        <v>2530</v>
      </c>
      <c r="B649" s="7976" t="s">
        <v>16</v>
      </c>
      <c r="C649" s="7976" t="s">
        <v>3172</v>
      </c>
      <c r="D649" s="7976" t="s">
        <v>3173</v>
      </c>
      <c r="E649" s="7976" t="s">
        <v>3174</v>
      </c>
      <c r="F649" s="7976" t="s">
        <v>2907</v>
      </c>
      <c r="G649" s="7976" t="s">
        <v>3175</v>
      </c>
      <c r="H649" s="7976" t="s">
        <v>22</v>
      </c>
      <c r="I649" s="7976" t="s">
        <v>918</v>
      </c>
    </row>
    <row customHeight="1" ht="11.25">
      <c r="A650" s="7976" t="s">
        <v>2530</v>
      </c>
      <c r="B650" s="7976" t="s">
        <v>16</v>
      </c>
      <c r="C650" s="7976" t="s">
        <v>4005</v>
      </c>
      <c r="D650" s="7976" t="s">
        <v>4006</v>
      </c>
      <c r="E650" s="7976" t="s">
        <v>4007</v>
      </c>
      <c r="F650" s="7976" t="s">
        <v>2743</v>
      </c>
      <c r="G650" s="7976" t="s">
        <v>22</v>
      </c>
      <c r="H650" s="7976" t="s">
        <v>4008</v>
      </c>
      <c r="I650" s="7976" t="s">
        <v>918</v>
      </c>
    </row>
    <row customHeight="1" ht="11.25">
      <c r="A651" s="7976" t="s">
        <v>2530</v>
      </c>
      <c r="B651" s="7976" t="s">
        <v>16</v>
      </c>
      <c r="C651" s="7976" t="s">
        <v>4009</v>
      </c>
      <c r="D651" s="7976" t="s">
        <v>4010</v>
      </c>
      <c r="E651" s="7976" t="s">
        <v>4011</v>
      </c>
      <c r="F651" s="7976" t="s">
        <v>2837</v>
      </c>
      <c r="G651" s="7976" t="s">
        <v>22</v>
      </c>
      <c r="H651" s="7976" t="s">
        <v>22</v>
      </c>
      <c r="I651" s="7976" t="s">
        <v>918</v>
      </c>
    </row>
    <row customHeight="1" ht="11.25">
      <c r="A652" s="7976" t="s">
        <v>2530</v>
      </c>
      <c r="B652" s="7976" t="s">
        <v>16</v>
      </c>
      <c r="C652" s="7976" t="s">
        <v>3176</v>
      </c>
      <c r="D652" s="7976" t="s">
        <v>3177</v>
      </c>
      <c r="E652" s="7976" t="s">
        <v>3178</v>
      </c>
      <c r="F652" s="7976" t="s">
        <v>2573</v>
      </c>
      <c r="G652" s="7976" t="s">
        <v>22</v>
      </c>
      <c r="H652" s="7976" t="s">
        <v>22</v>
      </c>
      <c r="I652" s="7976" t="s">
        <v>918</v>
      </c>
    </row>
    <row customHeight="1" ht="11.25">
      <c r="A653" s="7976" t="s">
        <v>2530</v>
      </c>
      <c r="B653" s="7976" t="s">
        <v>16</v>
      </c>
      <c r="C653" s="7976" t="s">
        <v>3182</v>
      </c>
      <c r="D653" s="7976" t="s">
        <v>3183</v>
      </c>
      <c r="E653" s="7976" t="s">
        <v>3184</v>
      </c>
      <c r="F653" s="7976" t="s">
        <v>2802</v>
      </c>
      <c r="G653" s="7976" t="s">
        <v>3185</v>
      </c>
      <c r="H653" s="7976" t="s">
        <v>22</v>
      </c>
      <c r="I653" s="7976" t="s">
        <v>918</v>
      </c>
    </row>
    <row customHeight="1" ht="11.25">
      <c r="A654" s="7976" t="s">
        <v>2530</v>
      </c>
      <c r="B654" s="7976" t="s">
        <v>16</v>
      </c>
      <c r="C654" s="7976" t="s">
        <v>3186</v>
      </c>
      <c r="D654" s="7976" t="s">
        <v>3187</v>
      </c>
      <c r="E654" s="7976" t="s">
        <v>3188</v>
      </c>
      <c r="F654" s="7976" t="s">
        <v>2573</v>
      </c>
      <c r="G654" s="7976" t="s">
        <v>22</v>
      </c>
      <c r="H654" s="7976" t="s">
        <v>22</v>
      </c>
      <c r="I654" s="7976" t="s">
        <v>918</v>
      </c>
    </row>
    <row customHeight="1" ht="11.25">
      <c r="A655" s="7976" t="s">
        <v>2530</v>
      </c>
      <c r="B655" s="7976" t="s">
        <v>16</v>
      </c>
      <c r="C655" s="7976" t="s">
        <v>4012</v>
      </c>
      <c r="D655" s="7976" t="s">
        <v>4013</v>
      </c>
      <c r="E655" s="7976" t="s">
        <v>4014</v>
      </c>
      <c r="F655" s="7976" t="s">
        <v>2907</v>
      </c>
      <c r="G655" s="7976" t="s">
        <v>4015</v>
      </c>
      <c r="H655" s="7976" t="s">
        <v>22</v>
      </c>
      <c r="I655" s="7976" t="s">
        <v>918</v>
      </c>
    </row>
    <row customHeight="1" ht="11.25">
      <c r="A656" s="7976" t="s">
        <v>2530</v>
      </c>
      <c r="B656" s="7976" t="s">
        <v>16</v>
      </c>
      <c r="C656" s="7976" t="s">
        <v>3189</v>
      </c>
      <c r="D656" s="7976" t="s">
        <v>3190</v>
      </c>
      <c r="E656" s="7976" t="s">
        <v>3191</v>
      </c>
      <c r="F656" s="7976" t="s">
        <v>2561</v>
      </c>
      <c r="G656" s="7976" t="s">
        <v>3192</v>
      </c>
      <c r="H656" s="7976" t="s">
        <v>22</v>
      </c>
      <c r="I656" s="7976" t="s">
        <v>918</v>
      </c>
    </row>
    <row customHeight="1" ht="11.25">
      <c r="A657" s="7976" t="s">
        <v>2530</v>
      </c>
      <c r="B657" s="7976" t="s">
        <v>16</v>
      </c>
      <c r="C657" s="7976" t="s">
        <v>3193</v>
      </c>
      <c r="D657" s="7976" t="s">
        <v>3194</v>
      </c>
      <c r="E657" s="7976" t="s">
        <v>3195</v>
      </c>
      <c r="F657" s="7976" t="s">
        <v>2573</v>
      </c>
      <c r="G657" s="7976" t="s">
        <v>22</v>
      </c>
      <c r="H657" s="7976" t="s">
        <v>22</v>
      </c>
      <c r="I657" s="7976" t="s">
        <v>918</v>
      </c>
    </row>
    <row customHeight="1" ht="11.25">
      <c r="A658" s="7976" t="s">
        <v>2530</v>
      </c>
      <c r="B658" s="7976" t="s">
        <v>16</v>
      </c>
      <c r="C658" s="7976" t="s">
        <v>3196</v>
      </c>
      <c r="D658" s="7976" t="s">
        <v>3197</v>
      </c>
      <c r="E658" s="7976" t="s">
        <v>3198</v>
      </c>
      <c r="F658" s="7976" t="s">
        <v>2907</v>
      </c>
      <c r="G658" s="7976" t="s">
        <v>22</v>
      </c>
      <c r="H658" s="7976" t="s">
        <v>22</v>
      </c>
      <c r="I658" s="7976" t="s">
        <v>918</v>
      </c>
    </row>
    <row customHeight="1" ht="11.25">
      <c r="A659" s="7976" t="s">
        <v>2530</v>
      </c>
      <c r="B659" s="7976" t="s">
        <v>16</v>
      </c>
      <c r="C659" s="7976" t="s">
        <v>3199</v>
      </c>
      <c r="D659" s="7976" t="s">
        <v>3200</v>
      </c>
      <c r="E659" s="7976" t="s">
        <v>3201</v>
      </c>
      <c r="F659" s="7976" t="s">
        <v>2907</v>
      </c>
      <c r="G659" s="7976" t="s">
        <v>3030</v>
      </c>
      <c r="H659" s="7976" t="s">
        <v>22</v>
      </c>
      <c r="I659" s="7976" t="s">
        <v>918</v>
      </c>
    </row>
    <row customHeight="1" ht="11.25">
      <c r="A660" s="7976" t="s">
        <v>2530</v>
      </c>
      <c r="B660" s="7976" t="s">
        <v>16</v>
      </c>
      <c r="C660" s="7976" t="s">
        <v>3202</v>
      </c>
      <c r="D660" s="7976" t="s">
        <v>3203</v>
      </c>
      <c r="E660" s="7976" t="s">
        <v>3204</v>
      </c>
      <c r="F660" s="7976" t="s">
        <v>3205</v>
      </c>
      <c r="G660" s="7976" t="s">
        <v>3206</v>
      </c>
      <c r="H660" s="7976" t="s">
        <v>22</v>
      </c>
      <c r="I660" s="7976" t="s">
        <v>918</v>
      </c>
    </row>
    <row customHeight="1" ht="11.25">
      <c r="A661" s="7976" t="s">
        <v>2530</v>
      </c>
      <c r="B661" s="7976" t="s">
        <v>16</v>
      </c>
      <c r="C661" s="7976" t="s">
        <v>3207</v>
      </c>
      <c r="D661" s="7976" t="s">
        <v>3208</v>
      </c>
      <c r="E661" s="7976" t="s">
        <v>3209</v>
      </c>
      <c r="F661" s="7976" t="s">
        <v>2551</v>
      </c>
      <c r="G661" s="7976" t="s">
        <v>3210</v>
      </c>
      <c r="H661" s="7976" t="s">
        <v>22</v>
      </c>
      <c r="I661" s="7976" t="s">
        <v>918</v>
      </c>
    </row>
    <row customHeight="1" ht="11.25">
      <c r="A662" s="7976" t="s">
        <v>2530</v>
      </c>
      <c r="B662" s="7976" t="s">
        <v>16</v>
      </c>
      <c r="C662" s="7976" t="s">
        <v>3211</v>
      </c>
      <c r="D662" s="7976" t="s">
        <v>3212</v>
      </c>
      <c r="E662" s="7976" t="s">
        <v>3213</v>
      </c>
      <c r="F662" s="7976" t="s">
        <v>2907</v>
      </c>
      <c r="G662" s="7976" t="s">
        <v>22</v>
      </c>
      <c r="H662" s="7976" t="s">
        <v>22</v>
      </c>
      <c r="I662" s="7976" t="s">
        <v>918</v>
      </c>
    </row>
    <row customHeight="1" ht="11.25">
      <c r="A663" s="7976" t="s">
        <v>2530</v>
      </c>
      <c r="B663" s="7976" t="s">
        <v>16</v>
      </c>
      <c r="C663" s="7976" t="s">
        <v>3214</v>
      </c>
      <c r="D663" s="7976" t="s">
        <v>3215</v>
      </c>
      <c r="E663" s="7976" t="s">
        <v>3216</v>
      </c>
      <c r="F663" s="7976" t="s">
        <v>2907</v>
      </c>
      <c r="G663" s="7976" t="s">
        <v>3030</v>
      </c>
      <c r="H663" s="7976" t="s">
        <v>22</v>
      </c>
      <c r="I663" s="7976" t="s">
        <v>918</v>
      </c>
    </row>
    <row customHeight="1" ht="11.25">
      <c r="A664" s="7976" t="s">
        <v>2530</v>
      </c>
      <c r="B664" s="7976" t="s">
        <v>16</v>
      </c>
      <c r="C664" s="7976" t="s">
        <v>4016</v>
      </c>
      <c r="D664" s="7976" t="s">
        <v>4017</v>
      </c>
      <c r="E664" s="7976" t="s">
        <v>4018</v>
      </c>
      <c r="F664" s="7976" t="s">
        <v>2561</v>
      </c>
      <c r="G664" s="7976" t="s">
        <v>4019</v>
      </c>
      <c r="H664" s="7976" t="s">
        <v>22</v>
      </c>
      <c r="I664" s="7976" t="s">
        <v>918</v>
      </c>
    </row>
    <row customHeight="1" ht="11.25">
      <c r="A665" s="7976" t="s">
        <v>2530</v>
      </c>
      <c r="B665" s="7976" t="s">
        <v>16</v>
      </c>
      <c r="C665" s="7976" t="s">
        <v>3224</v>
      </c>
      <c r="D665" s="7976" t="s">
        <v>3225</v>
      </c>
      <c r="E665" s="7976" t="s">
        <v>3226</v>
      </c>
      <c r="F665" s="7976" t="s">
        <v>2561</v>
      </c>
      <c r="G665" s="7976" t="s">
        <v>22</v>
      </c>
      <c r="H665" s="7976" t="s">
        <v>3227</v>
      </c>
      <c r="I665" s="7976" t="s">
        <v>918</v>
      </c>
    </row>
    <row customHeight="1" ht="11.25">
      <c r="A666" s="7976" t="s">
        <v>2530</v>
      </c>
      <c r="B666" s="7976" t="s">
        <v>16</v>
      </c>
      <c r="C666" s="7976" t="s">
        <v>3235</v>
      </c>
      <c r="D666" s="7976" t="s">
        <v>3236</v>
      </c>
      <c r="E666" s="7976" t="s">
        <v>3237</v>
      </c>
      <c r="F666" s="7976" t="s">
        <v>2802</v>
      </c>
      <c r="G666" s="7976" t="s">
        <v>22</v>
      </c>
      <c r="H666" s="7976" t="s">
        <v>3238</v>
      </c>
      <c r="I666" s="7976" t="s">
        <v>918</v>
      </c>
    </row>
    <row customHeight="1" ht="11.25">
      <c r="A667" s="7976" t="s">
        <v>2530</v>
      </c>
      <c r="B667" s="7976" t="s">
        <v>16</v>
      </c>
      <c r="C667" s="7976" t="s">
        <v>3242</v>
      </c>
      <c r="D667" s="7976" t="s">
        <v>3243</v>
      </c>
      <c r="E667" s="7976" t="s">
        <v>3244</v>
      </c>
      <c r="F667" s="7976" t="s">
        <v>2743</v>
      </c>
      <c r="G667" s="7976" t="s">
        <v>22</v>
      </c>
      <c r="H667" s="7976" t="s">
        <v>3245</v>
      </c>
      <c r="I667" s="7976" t="s">
        <v>918</v>
      </c>
    </row>
    <row customHeight="1" ht="11.25">
      <c r="A668" s="7976" t="s">
        <v>2530</v>
      </c>
      <c r="B668" s="7976" t="s">
        <v>16</v>
      </c>
      <c r="C668" s="7976" t="s">
        <v>3260</v>
      </c>
      <c r="D668" s="7976" t="s">
        <v>3261</v>
      </c>
      <c r="E668" s="7976" t="s">
        <v>3262</v>
      </c>
      <c r="F668" s="7976" t="s">
        <v>2561</v>
      </c>
      <c r="G668" s="7976" t="s">
        <v>3263</v>
      </c>
      <c r="H668" s="7976" t="s">
        <v>22</v>
      </c>
      <c r="I668" s="7976" t="s">
        <v>918</v>
      </c>
    </row>
    <row customHeight="1" ht="11.25">
      <c r="A669" s="7976" t="s">
        <v>2530</v>
      </c>
      <c r="B669" s="7976" t="s">
        <v>16</v>
      </c>
      <c r="C669" s="7976" t="s">
        <v>3264</v>
      </c>
      <c r="D669" s="7976" t="s">
        <v>3265</v>
      </c>
      <c r="E669" s="7976" t="s">
        <v>3266</v>
      </c>
      <c r="F669" s="7976" t="s">
        <v>2597</v>
      </c>
      <c r="G669" s="7976" t="s">
        <v>22</v>
      </c>
      <c r="H669" s="7976" t="s">
        <v>3267</v>
      </c>
      <c r="I669" s="7976" t="s">
        <v>918</v>
      </c>
    </row>
    <row customHeight="1" ht="11.25">
      <c r="A670" s="7976" t="s">
        <v>2530</v>
      </c>
      <c r="B670" s="7976" t="s">
        <v>16</v>
      </c>
      <c r="C670" s="7976" t="s">
        <v>3271</v>
      </c>
      <c r="D670" s="7976" t="s">
        <v>3272</v>
      </c>
      <c r="E670" s="7976" t="s">
        <v>3273</v>
      </c>
      <c r="F670" s="7976" t="s">
        <v>2652</v>
      </c>
      <c r="G670" s="7976" t="s">
        <v>3274</v>
      </c>
      <c r="H670" s="7976" t="s">
        <v>22</v>
      </c>
      <c r="I670" s="7976" t="s">
        <v>918</v>
      </c>
    </row>
    <row customHeight="1" ht="11.25">
      <c r="A671" s="7976" t="s">
        <v>2530</v>
      </c>
      <c r="B671" s="7976" t="s">
        <v>16</v>
      </c>
      <c r="C671" s="7976" t="s">
        <v>3291</v>
      </c>
      <c r="D671" s="7976" t="s">
        <v>3292</v>
      </c>
      <c r="E671" s="7976" t="s">
        <v>3293</v>
      </c>
      <c r="F671" s="7976" t="s">
        <v>2573</v>
      </c>
      <c r="G671" s="7976" t="s">
        <v>22</v>
      </c>
      <c r="H671" s="7976" t="s">
        <v>3294</v>
      </c>
      <c r="I671" s="7976" t="s">
        <v>918</v>
      </c>
    </row>
    <row customHeight="1" ht="11.25">
      <c r="A672" s="7976" t="s">
        <v>2530</v>
      </c>
      <c r="B672" s="7976" t="s">
        <v>16</v>
      </c>
      <c r="C672" s="7976" t="s">
        <v>3298</v>
      </c>
      <c r="D672" s="7976" t="s">
        <v>3299</v>
      </c>
      <c r="E672" s="7976" t="s">
        <v>3300</v>
      </c>
      <c r="F672" s="7976" t="s">
        <v>2573</v>
      </c>
      <c r="G672" s="7976" t="s">
        <v>3301</v>
      </c>
      <c r="H672" s="7976" t="s">
        <v>22</v>
      </c>
      <c r="I672" s="7976" t="s">
        <v>918</v>
      </c>
    </row>
    <row customHeight="1" ht="11.25">
      <c r="A673" s="7976" t="s">
        <v>2530</v>
      </c>
      <c r="B673" s="7976" t="s">
        <v>16</v>
      </c>
      <c r="C673" s="7976" t="s">
        <v>4020</v>
      </c>
      <c r="D673" s="7976" t="s">
        <v>4021</v>
      </c>
      <c r="E673" s="7976" t="s">
        <v>4022</v>
      </c>
      <c r="F673" s="7976" t="s">
        <v>3056</v>
      </c>
      <c r="G673" s="7976" t="s">
        <v>22</v>
      </c>
      <c r="H673" s="7976" t="s">
        <v>22</v>
      </c>
      <c r="I673" s="7976" t="s">
        <v>918</v>
      </c>
    </row>
    <row customHeight="1" ht="11.25">
      <c r="A674" s="7976" t="s">
        <v>2530</v>
      </c>
      <c r="B674" s="7976" t="s">
        <v>16</v>
      </c>
      <c r="C674" s="7976" t="s">
        <v>3306</v>
      </c>
      <c r="D674" s="7976" t="s">
        <v>3307</v>
      </c>
      <c r="E674" s="7976" t="s">
        <v>3308</v>
      </c>
      <c r="F674" s="7976" t="s">
        <v>2907</v>
      </c>
      <c r="G674" s="7976" t="s">
        <v>3309</v>
      </c>
      <c r="H674" s="7976" t="s">
        <v>22</v>
      </c>
      <c r="I674" s="7976" t="s">
        <v>918</v>
      </c>
    </row>
    <row customHeight="1" ht="11.25">
      <c r="A675" s="7976" t="s">
        <v>2530</v>
      </c>
      <c r="B675" s="7976" t="s">
        <v>16</v>
      </c>
      <c r="C675" s="7976" t="s">
        <v>3310</v>
      </c>
      <c r="D675" s="7976" t="s">
        <v>3311</v>
      </c>
      <c r="E675" s="7976" t="s">
        <v>3312</v>
      </c>
      <c r="F675" s="7976" t="s">
        <v>2907</v>
      </c>
      <c r="G675" s="7976" t="s">
        <v>3309</v>
      </c>
      <c r="H675" s="7976" t="s">
        <v>22</v>
      </c>
      <c r="I675" s="7976" t="s">
        <v>918</v>
      </c>
    </row>
    <row customHeight="1" ht="11.25">
      <c r="A676" s="7976" t="s">
        <v>2530</v>
      </c>
      <c r="B676" s="7976" t="s">
        <v>16</v>
      </c>
      <c r="C676" s="7976" t="s">
        <v>3313</v>
      </c>
      <c r="D676" s="7976" t="s">
        <v>3314</v>
      </c>
      <c r="E676" s="7976" t="s">
        <v>3315</v>
      </c>
      <c r="F676" s="7976" t="s">
        <v>2907</v>
      </c>
      <c r="G676" s="7976" t="s">
        <v>3305</v>
      </c>
      <c r="H676" s="7976" t="s">
        <v>22</v>
      </c>
      <c r="I676" s="7976" t="s">
        <v>918</v>
      </c>
    </row>
    <row customHeight="1" ht="11.25">
      <c r="A677" s="7976" t="s">
        <v>2530</v>
      </c>
      <c r="B677" s="7976" t="s">
        <v>16</v>
      </c>
      <c r="C677" s="7976" t="s">
        <v>3316</v>
      </c>
      <c r="D677" s="7976" t="s">
        <v>3317</v>
      </c>
      <c r="E677" s="7976" t="s">
        <v>3318</v>
      </c>
      <c r="F677" s="7976" t="s">
        <v>2602</v>
      </c>
      <c r="G677" s="7976" t="s">
        <v>3319</v>
      </c>
      <c r="H677" s="7976" t="s">
        <v>22</v>
      </c>
      <c r="I677" s="7976" t="s">
        <v>918</v>
      </c>
    </row>
    <row customHeight="1" ht="11.25">
      <c r="A678" s="7976" t="s">
        <v>2530</v>
      </c>
      <c r="B678" s="7976" t="s">
        <v>16</v>
      </c>
      <c r="C678" s="7976" t="s">
        <v>4023</v>
      </c>
      <c r="D678" s="7976" t="s">
        <v>4024</v>
      </c>
      <c r="E678" s="7976" t="s">
        <v>4025</v>
      </c>
      <c r="F678" s="7976" t="s">
        <v>2907</v>
      </c>
      <c r="G678" s="7976" t="s">
        <v>4026</v>
      </c>
      <c r="H678" s="7976" t="s">
        <v>22</v>
      </c>
      <c r="I678" s="7976" t="s">
        <v>918</v>
      </c>
    </row>
    <row customHeight="1" ht="11.25">
      <c r="A679" s="7976" t="s">
        <v>2530</v>
      </c>
      <c r="B679" s="7976" t="s">
        <v>16</v>
      </c>
      <c r="C679" s="7976" t="s">
        <v>3328</v>
      </c>
      <c r="D679" s="7976" t="s">
        <v>3329</v>
      </c>
      <c r="E679" s="7976" t="s">
        <v>3330</v>
      </c>
      <c r="F679" s="7976" t="s">
        <v>2561</v>
      </c>
      <c r="G679" s="7976" t="s">
        <v>22</v>
      </c>
      <c r="H679" s="7976" t="s">
        <v>22</v>
      </c>
      <c r="I679" s="7976" t="s">
        <v>918</v>
      </c>
    </row>
    <row customHeight="1" ht="11.25">
      <c r="A680" s="7976" t="s">
        <v>2530</v>
      </c>
      <c r="B680" s="7976" t="s">
        <v>16</v>
      </c>
      <c r="C680" s="7976" t="s">
        <v>3331</v>
      </c>
      <c r="D680" s="7976" t="s">
        <v>3332</v>
      </c>
      <c r="E680" s="7976" t="s">
        <v>3333</v>
      </c>
      <c r="F680" s="7976" t="s">
        <v>2630</v>
      </c>
      <c r="G680" s="7976" t="s">
        <v>22</v>
      </c>
      <c r="H680" s="7976" t="s">
        <v>22</v>
      </c>
      <c r="I680" s="7976" t="s">
        <v>918</v>
      </c>
    </row>
    <row customHeight="1" ht="11.25">
      <c r="A681" s="7976" t="s">
        <v>2530</v>
      </c>
      <c r="B681" s="7976" t="s">
        <v>16</v>
      </c>
      <c r="C681" s="7976" t="s">
        <v>3334</v>
      </c>
      <c r="D681" s="7976" t="s">
        <v>3335</v>
      </c>
      <c r="E681" s="7976" t="s">
        <v>3336</v>
      </c>
      <c r="F681" s="7976" t="s">
        <v>2561</v>
      </c>
      <c r="G681" s="7976" t="s">
        <v>3337</v>
      </c>
      <c r="H681" s="7976" t="s">
        <v>22</v>
      </c>
      <c r="I681" s="7976" t="s">
        <v>918</v>
      </c>
    </row>
    <row customHeight="1" ht="11.25">
      <c r="A682" s="7976" t="s">
        <v>2530</v>
      </c>
      <c r="B682" s="7976" t="s">
        <v>16</v>
      </c>
      <c r="C682" s="7976" t="s">
        <v>3342</v>
      </c>
      <c r="D682" s="7976" t="s">
        <v>3343</v>
      </c>
      <c r="E682" s="7976" t="s">
        <v>3344</v>
      </c>
      <c r="F682" s="7976" t="s">
        <v>2561</v>
      </c>
      <c r="G682" s="7976" t="s">
        <v>22</v>
      </c>
      <c r="H682" s="7976" t="s">
        <v>22</v>
      </c>
      <c r="I682" s="7976" t="s">
        <v>918</v>
      </c>
    </row>
    <row customHeight="1" ht="11.25">
      <c r="A683" s="7976" t="s">
        <v>2530</v>
      </c>
      <c r="B683" s="7976" t="s">
        <v>16</v>
      </c>
      <c r="C683" s="7976" t="s">
        <v>3345</v>
      </c>
      <c r="D683" s="7976" t="s">
        <v>3346</v>
      </c>
      <c r="E683" s="7976" t="s">
        <v>3347</v>
      </c>
      <c r="F683" s="7976" t="s">
        <v>2602</v>
      </c>
      <c r="G683" s="7976" t="s">
        <v>3348</v>
      </c>
      <c r="H683" s="7976" t="s">
        <v>22</v>
      </c>
      <c r="I683" s="7976" t="s">
        <v>918</v>
      </c>
    </row>
    <row customHeight="1" ht="11.25">
      <c r="A684" s="7976" t="s">
        <v>2530</v>
      </c>
      <c r="B684" s="7976" t="s">
        <v>16</v>
      </c>
      <c r="C684" s="7976" t="s">
        <v>3349</v>
      </c>
      <c r="D684" s="7976" t="s">
        <v>3350</v>
      </c>
      <c r="E684" s="7976" t="s">
        <v>3351</v>
      </c>
      <c r="F684" s="7976" t="s">
        <v>3056</v>
      </c>
      <c r="G684" s="7976" t="s">
        <v>3352</v>
      </c>
      <c r="H684" s="7976" t="s">
        <v>22</v>
      </c>
      <c r="I684" s="7976" t="s">
        <v>918</v>
      </c>
    </row>
    <row customHeight="1" ht="11.25">
      <c r="A685" s="7976" t="s">
        <v>2530</v>
      </c>
      <c r="B685" s="7976" t="s">
        <v>16</v>
      </c>
      <c r="C685" s="7976" t="s">
        <v>3353</v>
      </c>
      <c r="D685" s="7976" t="s">
        <v>3354</v>
      </c>
      <c r="E685" s="7976" t="s">
        <v>3355</v>
      </c>
      <c r="F685" s="7976" t="s">
        <v>3356</v>
      </c>
      <c r="G685" s="7976" t="s">
        <v>3357</v>
      </c>
      <c r="H685" s="7976" t="s">
        <v>22</v>
      </c>
      <c r="I685" s="7976" t="s">
        <v>918</v>
      </c>
    </row>
    <row customHeight="1" ht="11.25">
      <c r="A686" s="7976" t="s">
        <v>2530</v>
      </c>
      <c r="B686" s="7976" t="s">
        <v>16</v>
      </c>
      <c r="C686" s="7976" t="s">
        <v>3358</v>
      </c>
      <c r="D686" s="7976" t="s">
        <v>3359</v>
      </c>
      <c r="E686" s="7976" t="s">
        <v>3360</v>
      </c>
      <c r="F686" s="7976" t="s">
        <v>2907</v>
      </c>
      <c r="G686" s="7976" t="s">
        <v>3361</v>
      </c>
      <c r="H686" s="7976" t="s">
        <v>22</v>
      </c>
      <c r="I686" s="7976" t="s">
        <v>918</v>
      </c>
    </row>
    <row customHeight="1" ht="11.25">
      <c r="A687" s="7976" t="s">
        <v>2530</v>
      </c>
      <c r="B687" s="7976" t="s">
        <v>16</v>
      </c>
      <c r="C687" s="7976" t="s">
        <v>4027</v>
      </c>
      <c r="D687" s="7976" t="s">
        <v>4028</v>
      </c>
      <c r="E687" s="7976" t="s">
        <v>4029</v>
      </c>
      <c r="F687" s="7976" t="s">
        <v>2907</v>
      </c>
      <c r="G687" s="7976" t="s">
        <v>4030</v>
      </c>
      <c r="H687" s="7976" t="s">
        <v>22</v>
      </c>
      <c r="I687" s="7976" t="s">
        <v>918</v>
      </c>
    </row>
    <row customHeight="1" ht="11.25">
      <c r="A688" s="7976" t="s">
        <v>2530</v>
      </c>
      <c r="B688" s="7976" t="s">
        <v>16</v>
      </c>
      <c r="C688" s="7976" t="s">
        <v>3374</v>
      </c>
      <c r="D688" s="7976" t="s">
        <v>3375</v>
      </c>
      <c r="E688" s="7976" t="s">
        <v>3376</v>
      </c>
      <c r="F688" s="7976" t="s">
        <v>3377</v>
      </c>
      <c r="G688" s="7976" t="s">
        <v>3378</v>
      </c>
      <c r="H688" s="7976" t="s">
        <v>22</v>
      </c>
      <c r="I688" s="7976" t="s">
        <v>918</v>
      </c>
    </row>
    <row customHeight="1" ht="11.25">
      <c r="A689" s="7976" t="s">
        <v>2530</v>
      </c>
      <c r="B689" s="7976" t="s">
        <v>16</v>
      </c>
      <c r="C689" s="7976" t="s">
        <v>3379</v>
      </c>
      <c r="D689" s="7976" t="s">
        <v>3380</v>
      </c>
      <c r="E689" s="7976" t="s">
        <v>3381</v>
      </c>
      <c r="F689" s="7976" t="s">
        <v>2573</v>
      </c>
      <c r="G689" s="7976" t="s">
        <v>22</v>
      </c>
      <c r="H689" s="7976" t="s">
        <v>22</v>
      </c>
      <c r="I689" s="7976" t="s">
        <v>918</v>
      </c>
    </row>
    <row customHeight="1" ht="11.25">
      <c r="A690" s="7976" t="s">
        <v>2530</v>
      </c>
      <c r="B690" s="7976" t="s">
        <v>16</v>
      </c>
      <c r="C690" s="7976" t="s">
        <v>4031</v>
      </c>
      <c r="D690" s="7976" t="s">
        <v>4032</v>
      </c>
      <c r="E690" s="7976" t="s">
        <v>4033</v>
      </c>
      <c r="F690" s="7976" t="s">
        <v>2757</v>
      </c>
      <c r="G690" s="7976" t="s">
        <v>4034</v>
      </c>
      <c r="H690" s="7976" t="s">
        <v>22</v>
      </c>
      <c r="I690" s="7976" t="s">
        <v>918</v>
      </c>
    </row>
    <row customHeight="1" ht="11.25">
      <c r="A691" s="7976" t="s">
        <v>2530</v>
      </c>
      <c r="B691" s="7976" t="s">
        <v>16</v>
      </c>
      <c r="C691" s="7976" t="s">
        <v>3382</v>
      </c>
      <c r="D691" s="7976" t="s">
        <v>3383</v>
      </c>
      <c r="E691" s="7976" t="s">
        <v>3384</v>
      </c>
      <c r="F691" s="7976" t="s">
        <v>2561</v>
      </c>
      <c r="G691" s="7976" t="s">
        <v>3385</v>
      </c>
      <c r="H691" s="7976" t="s">
        <v>22</v>
      </c>
      <c r="I691" s="7976" t="s">
        <v>918</v>
      </c>
    </row>
    <row customHeight="1" ht="11.25">
      <c r="A692" s="7976" t="s">
        <v>2530</v>
      </c>
      <c r="B692" s="7976" t="s">
        <v>16</v>
      </c>
      <c r="C692" s="7976" t="s">
        <v>3386</v>
      </c>
      <c r="D692" s="7976" t="s">
        <v>3387</v>
      </c>
      <c r="E692" s="7976" t="s">
        <v>3388</v>
      </c>
      <c r="F692" s="7976" t="s">
        <v>2539</v>
      </c>
      <c r="G692" s="7976" t="s">
        <v>3389</v>
      </c>
      <c r="H692" s="7976" t="s">
        <v>22</v>
      </c>
      <c r="I692" s="7976" t="s">
        <v>918</v>
      </c>
    </row>
    <row customHeight="1" ht="11.25">
      <c r="A693" s="7976" t="s">
        <v>2530</v>
      </c>
      <c r="B693" s="7976" t="s">
        <v>16</v>
      </c>
      <c r="C693" s="7976" t="s">
        <v>3390</v>
      </c>
      <c r="D693" s="7976" t="s">
        <v>3391</v>
      </c>
      <c r="E693" s="7976" t="s">
        <v>3392</v>
      </c>
      <c r="F693" s="7976" t="s">
        <v>2602</v>
      </c>
      <c r="G693" s="7976" t="s">
        <v>3393</v>
      </c>
      <c r="H693" s="7976" t="s">
        <v>22</v>
      </c>
      <c r="I693" s="7976" t="s">
        <v>918</v>
      </c>
    </row>
    <row customHeight="1" ht="11.25">
      <c r="A694" s="7976" t="s">
        <v>2530</v>
      </c>
      <c r="B694" s="7976" t="s">
        <v>16</v>
      </c>
      <c r="C694" s="7976" t="s">
        <v>4035</v>
      </c>
      <c r="D694" s="7976" t="s">
        <v>4036</v>
      </c>
      <c r="E694" s="7976" t="s">
        <v>4037</v>
      </c>
      <c r="F694" s="7976" t="s">
        <v>2555</v>
      </c>
      <c r="G694" s="7976" t="s">
        <v>4038</v>
      </c>
      <c r="H694" s="7976" t="s">
        <v>22</v>
      </c>
      <c r="I694" s="7976" t="s">
        <v>918</v>
      </c>
    </row>
    <row customHeight="1" ht="11.25">
      <c r="A695" s="7976" t="s">
        <v>2530</v>
      </c>
      <c r="B695" s="7976" t="s">
        <v>16</v>
      </c>
      <c r="C695" s="7976" t="s">
        <v>3397</v>
      </c>
      <c r="D695" s="7976" t="s">
        <v>3398</v>
      </c>
      <c r="E695" s="7976" t="s">
        <v>3399</v>
      </c>
      <c r="F695" s="7976" t="s">
        <v>2670</v>
      </c>
      <c r="G695" s="7976" t="s">
        <v>3400</v>
      </c>
      <c r="H695" s="7976" t="s">
        <v>22</v>
      </c>
      <c r="I695" s="7976" t="s">
        <v>918</v>
      </c>
    </row>
    <row customHeight="1" ht="11.25">
      <c r="A696" s="7976" t="s">
        <v>2530</v>
      </c>
      <c r="B696" s="7976" t="s">
        <v>16</v>
      </c>
      <c r="C696" s="7976" t="s">
        <v>3401</v>
      </c>
      <c r="D696" s="7976" t="s">
        <v>3402</v>
      </c>
      <c r="E696" s="7976" t="s">
        <v>3403</v>
      </c>
      <c r="F696" s="7976" t="s">
        <v>2657</v>
      </c>
      <c r="G696" s="7976" t="s">
        <v>3404</v>
      </c>
      <c r="H696" s="7976" t="s">
        <v>22</v>
      </c>
      <c r="I696" s="7976" t="s">
        <v>918</v>
      </c>
    </row>
    <row customHeight="1" ht="11.25">
      <c r="A697" s="7976" t="s">
        <v>2530</v>
      </c>
      <c r="B697" s="7976" t="s">
        <v>16</v>
      </c>
      <c r="C697" s="7976" t="s">
        <v>3405</v>
      </c>
      <c r="D697" s="7976" t="s">
        <v>3406</v>
      </c>
      <c r="E697" s="7976" t="s">
        <v>3407</v>
      </c>
      <c r="F697" s="7976" t="s">
        <v>2551</v>
      </c>
      <c r="G697" s="7976" t="s">
        <v>3408</v>
      </c>
      <c r="H697" s="7976" t="s">
        <v>22</v>
      </c>
      <c r="I697" s="7976" t="s">
        <v>918</v>
      </c>
    </row>
    <row customHeight="1" ht="11.25">
      <c r="A698" s="7976" t="s">
        <v>2530</v>
      </c>
      <c r="B698" s="7976" t="s">
        <v>16</v>
      </c>
      <c r="C698" s="7976" t="s">
        <v>3409</v>
      </c>
      <c r="D698" s="7976" t="s">
        <v>3410</v>
      </c>
      <c r="E698" s="7976" t="s">
        <v>3411</v>
      </c>
      <c r="F698" s="7976" t="s">
        <v>2648</v>
      </c>
      <c r="G698" s="7976" t="s">
        <v>22</v>
      </c>
      <c r="H698" s="7976" t="s">
        <v>22</v>
      </c>
      <c r="I698" s="7976" t="s">
        <v>918</v>
      </c>
    </row>
    <row customHeight="1" ht="11.25">
      <c r="A699" s="7976" t="s">
        <v>2530</v>
      </c>
      <c r="B699" s="7976" t="s">
        <v>16</v>
      </c>
      <c r="C699" s="7976" t="s">
        <v>3412</v>
      </c>
      <c r="D699" s="7976" t="s">
        <v>3413</v>
      </c>
      <c r="E699" s="7976" t="s">
        <v>3414</v>
      </c>
      <c r="F699" s="7976" t="s">
        <v>2630</v>
      </c>
      <c r="G699" s="7976" t="s">
        <v>22</v>
      </c>
      <c r="H699" s="7976" t="s">
        <v>22</v>
      </c>
      <c r="I699" s="7976" t="s">
        <v>918</v>
      </c>
    </row>
    <row customHeight="1" ht="11.25">
      <c r="A700" s="7976" t="s">
        <v>2530</v>
      </c>
      <c r="B700" s="7976" t="s">
        <v>16</v>
      </c>
      <c r="C700" s="7976" t="s">
        <v>3418</v>
      </c>
      <c r="D700" s="7976" t="s">
        <v>3419</v>
      </c>
      <c r="E700" s="7976" t="s">
        <v>3420</v>
      </c>
      <c r="F700" s="7976" t="s">
        <v>2630</v>
      </c>
      <c r="G700" s="7976" t="s">
        <v>3421</v>
      </c>
      <c r="H700" s="7976" t="s">
        <v>22</v>
      </c>
      <c r="I700" s="7976" t="s">
        <v>918</v>
      </c>
    </row>
    <row customHeight="1" ht="11.25">
      <c r="A701" s="7976" t="s">
        <v>2530</v>
      </c>
      <c r="B701" s="7976" t="s">
        <v>16</v>
      </c>
      <c r="C701" s="7976" t="s">
        <v>3422</v>
      </c>
      <c r="D701" s="7976" t="s">
        <v>3423</v>
      </c>
      <c r="E701" s="7976" t="s">
        <v>3424</v>
      </c>
      <c r="F701" s="7976" t="s">
        <v>2597</v>
      </c>
      <c r="G701" s="7976" t="s">
        <v>22</v>
      </c>
      <c r="H701" s="7976" t="s">
        <v>22</v>
      </c>
      <c r="I701" s="7976" t="s">
        <v>918</v>
      </c>
    </row>
    <row customHeight="1" ht="11.25">
      <c r="A702" s="7976" t="s">
        <v>2530</v>
      </c>
      <c r="B702" s="7976" t="s">
        <v>16</v>
      </c>
      <c r="C702" s="7976" t="s">
        <v>13</v>
      </c>
      <c r="D702" s="7976" t="s">
        <v>46</v>
      </c>
      <c r="E702" s="7976" t="s">
        <v>49</v>
      </c>
      <c r="F702" s="7976" t="s">
        <v>51</v>
      </c>
      <c r="G702" s="7976" t="s">
        <v>22</v>
      </c>
      <c r="H702" s="7976" t="s">
        <v>22</v>
      </c>
      <c r="I702" s="7976" t="s">
        <v>918</v>
      </c>
    </row>
    <row customHeight="1" ht="11.25">
      <c r="A703" s="7976" t="s">
        <v>2530</v>
      </c>
      <c r="B703" s="7976" t="s">
        <v>16</v>
      </c>
      <c r="C703" s="7976" t="s">
        <v>3425</v>
      </c>
      <c r="D703" s="7976" t="s">
        <v>3426</v>
      </c>
      <c r="E703" s="7976" t="s">
        <v>3427</v>
      </c>
      <c r="F703" s="7976" t="s">
        <v>3428</v>
      </c>
      <c r="G703" s="7976" t="s">
        <v>22</v>
      </c>
      <c r="H703" s="7976" t="s">
        <v>22</v>
      </c>
      <c r="I703" s="7976" t="s">
        <v>918</v>
      </c>
    </row>
    <row customHeight="1" ht="11.25">
      <c r="A704" s="7976" t="s">
        <v>2530</v>
      </c>
      <c r="B704" s="7976" t="s">
        <v>16</v>
      </c>
      <c r="C704" s="7976" t="s">
        <v>3429</v>
      </c>
      <c r="D704" s="7976" t="s">
        <v>3430</v>
      </c>
      <c r="E704" s="7976" t="s">
        <v>3431</v>
      </c>
      <c r="F704" s="7976" t="s">
        <v>2573</v>
      </c>
      <c r="G704" s="7976" t="s">
        <v>22</v>
      </c>
      <c r="H704" s="7976" t="s">
        <v>22</v>
      </c>
      <c r="I704" s="7976" t="s">
        <v>918</v>
      </c>
    </row>
    <row customHeight="1" ht="11.25">
      <c r="A705" s="7976" t="s">
        <v>2530</v>
      </c>
      <c r="B705" s="7976" t="s">
        <v>16</v>
      </c>
      <c r="C705" s="7976" t="s">
        <v>4039</v>
      </c>
      <c r="D705" s="7976" t="s">
        <v>4040</v>
      </c>
      <c r="E705" s="7976" t="s">
        <v>4041</v>
      </c>
      <c r="F705" s="7976" t="s">
        <v>2757</v>
      </c>
      <c r="G705" s="7976" t="s">
        <v>22</v>
      </c>
      <c r="H705" s="7976" t="s">
        <v>22</v>
      </c>
      <c r="I705" s="7976" t="s">
        <v>918</v>
      </c>
    </row>
    <row customHeight="1" ht="11.25">
      <c r="A706" s="7976" t="s">
        <v>2530</v>
      </c>
      <c r="B706" s="7976" t="s">
        <v>16</v>
      </c>
      <c r="C706" s="7976" t="s">
        <v>4042</v>
      </c>
      <c r="D706" s="7976" t="s">
        <v>4043</v>
      </c>
      <c r="E706" s="7976" t="s">
        <v>4044</v>
      </c>
      <c r="F706" s="7976" t="s">
        <v>3056</v>
      </c>
      <c r="G706" s="7976" t="s">
        <v>22</v>
      </c>
      <c r="H706" s="7976" t="s">
        <v>3603</v>
      </c>
      <c r="I706" s="7976" t="s">
        <v>918</v>
      </c>
    </row>
    <row customHeight="1" ht="11.25">
      <c r="A707" s="7976" t="s">
        <v>2530</v>
      </c>
      <c r="B707" s="7976" t="s">
        <v>16</v>
      </c>
      <c r="C707" s="7976" t="s">
        <v>22</v>
      </c>
      <c r="D707" s="7976" t="s">
        <v>3435</v>
      </c>
      <c r="E707" s="7976" t="s">
        <v>3436</v>
      </c>
      <c r="F707" s="7976" t="s">
        <v>2573</v>
      </c>
      <c r="G707" s="7976" t="s">
        <v>22</v>
      </c>
      <c r="H707" s="7976" t="s">
        <v>22</v>
      </c>
      <c r="I707" s="7976" t="s">
        <v>918</v>
      </c>
    </row>
    <row customHeight="1" ht="11.25">
      <c r="A708" s="7976" t="s">
        <v>2530</v>
      </c>
      <c r="B708" s="7976" t="s">
        <v>16</v>
      </c>
      <c r="C708" s="7976" t="s">
        <v>3437</v>
      </c>
      <c r="D708" s="7976" t="s">
        <v>3438</v>
      </c>
      <c r="E708" s="7976" t="s">
        <v>2813</v>
      </c>
      <c r="F708" s="7976" t="s">
        <v>3439</v>
      </c>
      <c r="G708" s="7976" t="s">
        <v>22</v>
      </c>
      <c r="H708" s="7976" t="s">
        <v>22</v>
      </c>
      <c r="I708" s="7976" t="s">
        <v>918</v>
      </c>
    </row>
    <row customHeight="1" ht="11.25">
      <c r="A709" s="7976" t="s">
        <v>2530</v>
      </c>
      <c r="B709" s="7976" t="s">
        <v>16</v>
      </c>
      <c r="C709" s="7976" t="s">
        <v>4045</v>
      </c>
      <c r="D709" s="7976" t="s">
        <v>4046</v>
      </c>
      <c r="E709" s="7976" t="s">
        <v>4047</v>
      </c>
      <c r="F709" s="7976" t="s">
        <v>2757</v>
      </c>
      <c r="G709" s="7976" t="s">
        <v>2995</v>
      </c>
      <c r="H709" s="7976" t="s">
        <v>22</v>
      </c>
      <c r="I709" s="7976" t="s">
        <v>918</v>
      </c>
    </row>
    <row customHeight="1" ht="11.25">
      <c r="A710" s="7976" t="s">
        <v>2530</v>
      </c>
      <c r="B710" s="7976" t="s">
        <v>16</v>
      </c>
      <c r="C710" s="7976" t="s">
        <v>3440</v>
      </c>
      <c r="D710" s="7976" t="s">
        <v>3441</v>
      </c>
      <c r="E710" s="7976" t="s">
        <v>3442</v>
      </c>
      <c r="F710" s="7976" t="s">
        <v>2602</v>
      </c>
      <c r="G710" s="7976" t="s">
        <v>22</v>
      </c>
      <c r="H710" s="7976" t="s">
        <v>2621</v>
      </c>
      <c r="I710" s="7976" t="s">
        <v>918</v>
      </c>
    </row>
    <row customHeight="1" ht="11.25">
      <c r="A711" s="7976" t="s">
        <v>2530</v>
      </c>
      <c r="B711" s="7976" t="s">
        <v>16</v>
      </c>
      <c r="C711" s="7976" t="s">
        <v>4048</v>
      </c>
      <c r="D711" s="7976" t="s">
        <v>4049</v>
      </c>
      <c r="E711" s="7976" t="s">
        <v>4050</v>
      </c>
      <c r="F711" s="7976" t="s">
        <v>2757</v>
      </c>
      <c r="G711" s="7976" t="s">
        <v>22</v>
      </c>
      <c r="H711" s="7976" t="s">
        <v>22</v>
      </c>
      <c r="I711" s="7976" t="s">
        <v>918</v>
      </c>
    </row>
    <row customHeight="1" ht="11.25">
      <c r="A712" s="7976" t="s">
        <v>2530</v>
      </c>
      <c r="B712" s="7976" t="s">
        <v>16</v>
      </c>
      <c r="C712" s="7976" t="s">
        <v>3443</v>
      </c>
      <c r="D712" s="7976" t="s">
        <v>3444</v>
      </c>
      <c r="E712" s="7976" t="s">
        <v>2813</v>
      </c>
      <c r="F712" s="7976" t="s">
        <v>3445</v>
      </c>
      <c r="G712" s="7976" t="s">
        <v>22</v>
      </c>
      <c r="H712" s="7976" t="s">
        <v>22</v>
      </c>
      <c r="I712" s="7976" t="s">
        <v>918</v>
      </c>
    </row>
    <row customHeight="1" ht="11.25">
      <c r="A713" s="7976" t="s">
        <v>2530</v>
      </c>
      <c r="B713" s="7976" t="s">
        <v>16</v>
      </c>
      <c r="C713" s="7976" t="s">
        <v>3446</v>
      </c>
      <c r="D713" s="7976" t="s">
        <v>3447</v>
      </c>
      <c r="E713" s="7976" t="s">
        <v>3448</v>
      </c>
      <c r="F713" s="7976" t="s">
        <v>2597</v>
      </c>
      <c r="G713" s="7976" t="s">
        <v>22</v>
      </c>
      <c r="H713" s="7976" t="s">
        <v>3104</v>
      </c>
      <c r="I713" s="7976" t="s">
        <v>918</v>
      </c>
    </row>
    <row customHeight="1" ht="11.25">
      <c r="A714" s="7976" t="s">
        <v>2530</v>
      </c>
      <c r="B714" s="7976" t="s">
        <v>16</v>
      </c>
      <c r="C714" s="7976" t="s">
        <v>4051</v>
      </c>
      <c r="D714" s="7976" t="s">
        <v>4052</v>
      </c>
      <c r="E714" s="7976" t="s">
        <v>4053</v>
      </c>
      <c r="F714" s="7976" t="s">
        <v>2539</v>
      </c>
      <c r="G714" s="7976" t="s">
        <v>22</v>
      </c>
      <c r="H714" s="7976" t="s">
        <v>22</v>
      </c>
      <c r="I714" s="7976" t="s">
        <v>918</v>
      </c>
    </row>
    <row customHeight="1" ht="11.25">
      <c r="A715" s="7976" t="s">
        <v>2530</v>
      </c>
      <c r="B715" s="7976" t="s">
        <v>16</v>
      </c>
      <c r="C715" s="7976" t="s">
        <v>3497</v>
      </c>
      <c r="D715" s="7976" t="s">
        <v>3498</v>
      </c>
      <c r="E715" s="7976" t="s">
        <v>3499</v>
      </c>
      <c r="F715" s="7976" t="s">
        <v>2573</v>
      </c>
      <c r="G715" s="7976" t="s">
        <v>3500</v>
      </c>
      <c r="H715" s="7976" t="s">
        <v>22</v>
      </c>
      <c r="I715" s="7976" t="s">
        <v>918</v>
      </c>
    </row>
    <row customHeight="1" ht="11.25">
      <c r="A716" s="7976" t="s">
        <v>2530</v>
      </c>
      <c r="B716" s="7976" t="s">
        <v>16</v>
      </c>
      <c r="C716" s="7976" t="s">
        <v>4054</v>
      </c>
      <c r="D716" s="7976" t="s">
        <v>4055</v>
      </c>
      <c r="E716" s="7976" t="s">
        <v>4056</v>
      </c>
      <c r="F716" s="7976" t="s">
        <v>2630</v>
      </c>
      <c r="G716" s="7976" t="s">
        <v>22</v>
      </c>
      <c r="H716" s="7976" t="s">
        <v>22</v>
      </c>
      <c r="I716" s="7976" t="s">
        <v>918</v>
      </c>
    </row>
    <row customHeight="1" ht="11.25">
      <c r="A717" s="7976" t="s">
        <v>2530</v>
      </c>
      <c r="B717" s="7976" t="s">
        <v>16</v>
      </c>
      <c r="C717" s="7976" t="s">
        <v>4057</v>
      </c>
      <c r="D717" s="7976" t="s">
        <v>4058</v>
      </c>
      <c r="E717" s="7976" t="s">
        <v>4059</v>
      </c>
      <c r="F717" s="7976" t="s">
        <v>2561</v>
      </c>
      <c r="G717" s="7976" t="s">
        <v>22</v>
      </c>
      <c r="H717" s="7976" t="s">
        <v>22</v>
      </c>
      <c r="I717" s="7976" t="s">
        <v>918</v>
      </c>
    </row>
    <row customHeight="1" ht="11.25">
      <c r="A718" s="7976" t="s">
        <v>2530</v>
      </c>
      <c r="B718" s="7976" t="s">
        <v>16</v>
      </c>
      <c r="C718" s="7976" t="s">
        <v>3449</v>
      </c>
      <c r="D718" s="7976" t="s">
        <v>3450</v>
      </c>
      <c r="E718" s="7976" t="s">
        <v>2813</v>
      </c>
      <c r="F718" s="7976" t="s">
        <v>2573</v>
      </c>
      <c r="G718" s="7976" t="s">
        <v>3451</v>
      </c>
      <c r="H718" s="7976" t="s">
        <v>22</v>
      </c>
      <c r="I718" s="7976" t="s">
        <v>918</v>
      </c>
    </row>
    <row customHeight="1" ht="11.25">
      <c r="A719" s="7976" t="s">
        <v>2530</v>
      </c>
      <c r="B719" s="7976" t="s">
        <v>16</v>
      </c>
      <c r="C719" s="7976" t="s">
        <v>3452</v>
      </c>
      <c r="D719" s="7976" t="s">
        <v>3453</v>
      </c>
      <c r="E719" s="7976" t="s">
        <v>3454</v>
      </c>
      <c r="F719" s="7976" t="s">
        <v>2573</v>
      </c>
      <c r="G719" s="7976" t="s">
        <v>3455</v>
      </c>
      <c r="H719" s="7976" t="s">
        <v>22</v>
      </c>
      <c r="I719" s="7976" t="s">
        <v>918</v>
      </c>
    </row>
    <row customHeight="1" ht="11.25">
      <c r="A720" s="7976" t="s">
        <v>2530</v>
      </c>
      <c r="B720" s="7976" t="s">
        <v>16</v>
      </c>
      <c r="C720" s="7976" t="s">
        <v>3459</v>
      </c>
      <c r="D720" s="7976" t="s">
        <v>3460</v>
      </c>
      <c r="E720" s="7976" t="s">
        <v>3461</v>
      </c>
      <c r="F720" s="7976" t="s">
        <v>3462</v>
      </c>
      <c r="G720" s="7976" t="s">
        <v>22</v>
      </c>
      <c r="H720" s="7976" t="s">
        <v>22</v>
      </c>
      <c r="I720" s="7976" t="s">
        <v>918</v>
      </c>
    </row>
    <row customHeight="1" ht="11.25">
      <c r="A721" s="7976" t="s">
        <v>2530</v>
      </c>
      <c r="B721" s="7976" t="s">
        <v>16</v>
      </c>
      <c r="C721" s="7976" t="s">
        <v>3466</v>
      </c>
      <c r="D721" s="7976" t="s">
        <v>3467</v>
      </c>
      <c r="E721" s="7976" t="s">
        <v>2896</v>
      </c>
      <c r="F721" s="7976" t="s">
        <v>3468</v>
      </c>
      <c r="G721" s="7976" t="s">
        <v>22</v>
      </c>
      <c r="H721" s="7976" t="s">
        <v>22</v>
      </c>
      <c r="I721" s="7976" t="s">
        <v>918</v>
      </c>
    </row>
    <row customHeight="1" ht="11.25">
      <c r="A722" s="7976" t="s">
        <v>2530</v>
      </c>
      <c r="B722" s="7976" t="s">
        <v>16</v>
      </c>
      <c r="C722" s="7976" t="s">
        <v>3469</v>
      </c>
      <c r="D722" s="7976" t="s">
        <v>3470</v>
      </c>
      <c r="E722" s="7976" t="s">
        <v>3471</v>
      </c>
      <c r="F722" s="7976" t="s">
        <v>2630</v>
      </c>
      <c r="G722" s="7976" t="s">
        <v>22</v>
      </c>
      <c r="H722" s="7976" t="s">
        <v>22</v>
      </c>
      <c r="I722" s="7976" t="s">
        <v>918</v>
      </c>
    </row>
    <row customHeight="1" ht="11.25">
      <c r="A723" s="7976" t="s">
        <v>2530</v>
      </c>
      <c r="B723" s="7976" t="s">
        <v>16</v>
      </c>
      <c r="C723" s="7976" t="s">
        <v>3472</v>
      </c>
      <c r="D723" s="7976" t="s">
        <v>3473</v>
      </c>
      <c r="E723" s="7976" t="s">
        <v>2852</v>
      </c>
      <c r="F723" s="7976" t="s">
        <v>3474</v>
      </c>
      <c r="G723" s="7976" t="s">
        <v>22</v>
      </c>
      <c r="H723" s="7976" t="s">
        <v>22</v>
      </c>
      <c r="I723" s="7976" t="s">
        <v>918</v>
      </c>
    </row>
    <row customHeight="1" ht="11.25">
      <c r="A724" s="7976" t="s">
        <v>2530</v>
      </c>
      <c r="B724" s="7976" t="s">
        <v>16</v>
      </c>
      <c r="C724" s="7976" t="s">
        <v>4060</v>
      </c>
      <c r="D724" s="7976" t="s">
        <v>4061</v>
      </c>
      <c r="E724" s="7976" t="s">
        <v>4062</v>
      </c>
      <c r="F724" s="7976" t="s">
        <v>3056</v>
      </c>
      <c r="G724" s="7976" t="s">
        <v>3607</v>
      </c>
      <c r="H724" s="7976" t="s">
        <v>3603</v>
      </c>
      <c r="I724" s="7976" t="s">
        <v>971</v>
      </c>
    </row>
    <row customHeight="1" ht="11.25">
      <c r="A725" s="7976" t="s">
        <v>2530</v>
      </c>
      <c r="B725" s="7976" t="s">
        <v>16</v>
      </c>
      <c r="C725" s="7976" t="s">
        <v>3501</v>
      </c>
      <c r="D725" s="7976" t="s">
        <v>3502</v>
      </c>
      <c r="E725" s="7976" t="s">
        <v>3503</v>
      </c>
      <c r="F725" s="7976" t="s">
        <v>2534</v>
      </c>
      <c r="G725" s="7976" t="s">
        <v>22</v>
      </c>
      <c r="H725" s="7976" t="s">
        <v>3504</v>
      </c>
      <c r="I725" s="7976" t="s">
        <v>971</v>
      </c>
    </row>
    <row customHeight="1" ht="11.25">
      <c r="A726" s="7976" t="s">
        <v>2530</v>
      </c>
      <c r="B726" s="7976" t="s">
        <v>16</v>
      </c>
      <c r="C726" s="7976" t="s">
        <v>3505</v>
      </c>
      <c r="D726" s="7976" t="s">
        <v>3506</v>
      </c>
      <c r="E726" s="7976" t="s">
        <v>3507</v>
      </c>
      <c r="F726" s="7976" t="s">
        <v>2539</v>
      </c>
      <c r="G726" s="7976" t="s">
        <v>22</v>
      </c>
      <c r="H726" s="7976" t="s">
        <v>22</v>
      </c>
      <c r="I726" s="7976" t="s">
        <v>971</v>
      </c>
    </row>
    <row customHeight="1" ht="11.25">
      <c r="A727" s="7976" t="s">
        <v>2530</v>
      </c>
      <c r="B727" s="7976" t="s">
        <v>16</v>
      </c>
      <c r="C727" s="7976" t="s">
        <v>3508</v>
      </c>
      <c r="D727" s="7976" t="s">
        <v>3509</v>
      </c>
      <c r="E727" s="7976" t="s">
        <v>3510</v>
      </c>
      <c r="F727" s="7976" t="s">
        <v>2539</v>
      </c>
      <c r="G727" s="7976" t="s">
        <v>3511</v>
      </c>
      <c r="H727" s="7976" t="s">
        <v>22</v>
      </c>
      <c r="I727" s="7976" t="s">
        <v>971</v>
      </c>
    </row>
    <row customHeight="1" ht="11.25">
      <c r="A728" s="7976" t="s">
        <v>2530</v>
      </c>
      <c r="B728" s="7976" t="s">
        <v>16</v>
      </c>
      <c r="C728" s="7976" t="s">
        <v>2531</v>
      </c>
      <c r="D728" s="7976" t="s">
        <v>2532</v>
      </c>
      <c r="E728" s="7976" t="s">
        <v>2533</v>
      </c>
      <c r="F728" s="7976" t="s">
        <v>2534</v>
      </c>
      <c r="G728" s="7976" t="s">
        <v>2535</v>
      </c>
      <c r="H728" s="7976" t="s">
        <v>22</v>
      </c>
      <c r="I728" s="7976" t="s">
        <v>971</v>
      </c>
    </row>
    <row customHeight="1" ht="11.25">
      <c r="A729" s="7976" t="s">
        <v>2530</v>
      </c>
      <c r="B729" s="7976" t="s">
        <v>16</v>
      </c>
      <c r="C729" s="7976" t="s">
        <v>2543</v>
      </c>
      <c r="D729" s="7976" t="s">
        <v>2544</v>
      </c>
      <c r="E729" s="7976" t="s">
        <v>2545</v>
      </c>
      <c r="F729" s="7976" t="s">
        <v>2546</v>
      </c>
      <c r="G729" s="7976" t="s">
        <v>2547</v>
      </c>
      <c r="H729" s="7976" t="s">
        <v>22</v>
      </c>
      <c r="I729" s="7976" t="s">
        <v>971</v>
      </c>
    </row>
    <row customHeight="1" ht="11.25">
      <c r="A730" s="7976" t="s">
        <v>2530</v>
      </c>
      <c r="B730" s="7976" t="s">
        <v>16</v>
      </c>
      <c r="C730" s="7976" t="s">
        <v>2548</v>
      </c>
      <c r="D730" s="7976" t="s">
        <v>2549</v>
      </c>
      <c r="E730" s="7976" t="s">
        <v>2550</v>
      </c>
      <c r="F730" s="7976" t="s">
        <v>2551</v>
      </c>
      <c r="G730" s="7976" t="s">
        <v>22</v>
      </c>
      <c r="H730" s="7976" t="s">
        <v>22</v>
      </c>
      <c r="I730" s="7976" t="s">
        <v>971</v>
      </c>
    </row>
    <row customHeight="1" ht="11.25">
      <c r="A731" s="7976" t="s">
        <v>2530</v>
      </c>
      <c r="B731" s="7976" t="s">
        <v>16</v>
      </c>
      <c r="C731" s="7976" t="s">
        <v>3527</v>
      </c>
      <c r="D731" s="7976" t="s">
        <v>3528</v>
      </c>
      <c r="E731" s="7976" t="s">
        <v>3529</v>
      </c>
      <c r="F731" s="7976" t="s">
        <v>2573</v>
      </c>
      <c r="G731" s="7976" t="s">
        <v>22</v>
      </c>
      <c r="H731" s="7976" t="s">
        <v>22</v>
      </c>
      <c r="I731" s="7976" t="s">
        <v>971</v>
      </c>
    </row>
    <row customHeight="1" ht="11.25">
      <c r="A732" s="7976" t="s">
        <v>2530</v>
      </c>
      <c r="B732" s="7976" t="s">
        <v>16</v>
      </c>
      <c r="C732" s="7976" t="s">
        <v>2564</v>
      </c>
      <c r="D732" s="7976" t="s">
        <v>2565</v>
      </c>
      <c r="E732" s="7976" t="s">
        <v>2566</v>
      </c>
      <c r="F732" s="7976" t="s">
        <v>2567</v>
      </c>
      <c r="G732" s="7976" t="s">
        <v>22</v>
      </c>
      <c r="H732" s="7976" t="s">
        <v>22</v>
      </c>
      <c r="I732" s="7976" t="s">
        <v>971</v>
      </c>
    </row>
    <row customHeight="1" ht="11.25">
      <c r="A733" s="7976" t="s">
        <v>2530</v>
      </c>
      <c r="B733" s="7976" t="s">
        <v>16</v>
      </c>
      <c r="C733" s="7976" t="s">
        <v>2568</v>
      </c>
      <c r="D733" s="7976" t="s">
        <v>2565</v>
      </c>
      <c r="E733" s="7976" t="s">
        <v>2566</v>
      </c>
      <c r="F733" s="7976" t="s">
        <v>2569</v>
      </c>
      <c r="G733" s="7976" t="s">
        <v>22</v>
      </c>
      <c r="H733" s="7976" t="s">
        <v>22</v>
      </c>
      <c r="I733" s="7976" t="s">
        <v>971</v>
      </c>
    </row>
    <row customHeight="1" ht="11.25">
      <c r="A734" s="7976" t="s">
        <v>2530</v>
      </c>
      <c r="B734" s="7976" t="s">
        <v>16</v>
      </c>
      <c r="C734" s="7976" t="s">
        <v>2570</v>
      </c>
      <c r="D734" s="7976" t="s">
        <v>2571</v>
      </c>
      <c r="E734" s="7976" t="s">
        <v>2572</v>
      </c>
      <c r="F734" s="7976" t="s">
        <v>2573</v>
      </c>
      <c r="G734" s="7976" t="s">
        <v>22</v>
      </c>
      <c r="H734" s="7976" t="s">
        <v>22</v>
      </c>
      <c r="I734" s="7976" t="s">
        <v>971</v>
      </c>
    </row>
    <row customHeight="1" ht="11.25">
      <c r="A735" s="7976" t="s">
        <v>2530</v>
      </c>
      <c r="B735" s="7976" t="s">
        <v>16</v>
      </c>
      <c r="C735" s="7976" t="s">
        <v>2574</v>
      </c>
      <c r="D735" s="7976" t="s">
        <v>2575</v>
      </c>
      <c r="E735" s="7976" t="s">
        <v>2576</v>
      </c>
      <c r="F735" s="7976" t="s">
        <v>2546</v>
      </c>
      <c r="G735" s="7976" t="s">
        <v>22</v>
      </c>
      <c r="H735" s="7976" t="s">
        <v>22</v>
      </c>
      <c r="I735" s="7976" t="s">
        <v>971</v>
      </c>
    </row>
    <row customHeight="1" ht="11.25">
      <c r="A736" s="7976" t="s">
        <v>2530</v>
      </c>
      <c r="B736" s="7976" t="s">
        <v>16</v>
      </c>
      <c r="C736" s="7976" t="s">
        <v>2577</v>
      </c>
      <c r="D736" s="7976" t="s">
        <v>2578</v>
      </c>
      <c r="E736" s="7976" t="s">
        <v>2579</v>
      </c>
      <c r="F736" s="7976" t="s">
        <v>2573</v>
      </c>
      <c r="G736" s="7976" t="s">
        <v>22</v>
      </c>
      <c r="H736" s="7976" t="s">
        <v>22</v>
      </c>
      <c r="I736" s="7976" t="s">
        <v>971</v>
      </c>
    </row>
    <row customHeight="1" ht="11.25">
      <c r="A737" s="7976" t="s">
        <v>2530</v>
      </c>
      <c r="B737" s="7976" t="s">
        <v>16</v>
      </c>
      <c r="C737" s="7976" t="s">
        <v>2580</v>
      </c>
      <c r="D737" s="7976" t="s">
        <v>2581</v>
      </c>
      <c r="E737" s="7976" t="s">
        <v>2582</v>
      </c>
      <c r="F737" s="7976" t="s">
        <v>51</v>
      </c>
      <c r="G737" s="7976" t="s">
        <v>22</v>
      </c>
      <c r="H737" s="7976" t="s">
        <v>22</v>
      </c>
      <c r="I737" s="7976" t="s">
        <v>971</v>
      </c>
    </row>
    <row customHeight="1" ht="11.25">
      <c r="A738" s="7976" t="s">
        <v>2530</v>
      </c>
      <c r="B738" s="7976" t="s">
        <v>16</v>
      </c>
      <c r="C738" s="7976" t="s">
        <v>3530</v>
      </c>
      <c r="D738" s="7976" t="s">
        <v>3531</v>
      </c>
      <c r="E738" s="7976" t="s">
        <v>3532</v>
      </c>
      <c r="F738" s="7976" t="s">
        <v>2757</v>
      </c>
      <c r="G738" s="7976" t="s">
        <v>3533</v>
      </c>
      <c r="H738" s="7976" t="s">
        <v>2758</v>
      </c>
      <c r="I738" s="7976" t="s">
        <v>971</v>
      </c>
    </row>
    <row customHeight="1" ht="11.25">
      <c r="A739" s="7976" t="s">
        <v>2530</v>
      </c>
      <c r="B739" s="7976" t="s">
        <v>16</v>
      </c>
      <c r="C739" s="7976" t="s">
        <v>2590</v>
      </c>
      <c r="D739" s="7976" t="s">
        <v>2591</v>
      </c>
      <c r="E739" s="7976" t="s">
        <v>2592</v>
      </c>
      <c r="F739" s="7976" t="s">
        <v>2573</v>
      </c>
      <c r="G739" s="7976" t="s">
        <v>2593</v>
      </c>
      <c r="H739" s="7976" t="s">
        <v>22</v>
      </c>
      <c r="I739" s="7976" t="s">
        <v>971</v>
      </c>
    </row>
    <row customHeight="1" ht="11.25">
      <c r="A740" s="7976" t="s">
        <v>2530</v>
      </c>
      <c r="B740" s="7976" t="s">
        <v>16</v>
      </c>
      <c r="C740" s="7976" t="s">
        <v>3478</v>
      </c>
      <c r="D740" s="7976" t="s">
        <v>3479</v>
      </c>
      <c r="E740" s="7976" t="s">
        <v>3480</v>
      </c>
      <c r="F740" s="7976" t="s">
        <v>2630</v>
      </c>
      <c r="G740" s="7976" t="s">
        <v>3481</v>
      </c>
      <c r="H740" s="7976" t="s">
        <v>22</v>
      </c>
      <c r="I740" s="7976" t="s">
        <v>971</v>
      </c>
    </row>
    <row customHeight="1" ht="11.25">
      <c r="A741" s="7976" t="s">
        <v>2530</v>
      </c>
      <c r="B741" s="7976" t="s">
        <v>16</v>
      </c>
      <c r="C741" s="7976" t="s">
        <v>2594</v>
      </c>
      <c r="D741" s="7976" t="s">
        <v>2595</v>
      </c>
      <c r="E741" s="7976" t="s">
        <v>2596</v>
      </c>
      <c r="F741" s="7976" t="s">
        <v>2597</v>
      </c>
      <c r="G741" s="7976" t="s">
        <v>2598</v>
      </c>
      <c r="H741" s="7976" t="s">
        <v>22</v>
      </c>
      <c r="I741" s="7976" t="s">
        <v>971</v>
      </c>
    </row>
    <row customHeight="1" ht="11.25">
      <c r="A742" s="7976" t="s">
        <v>2530</v>
      </c>
      <c r="B742" s="7976" t="s">
        <v>16</v>
      </c>
      <c r="C742" s="7976" t="s">
        <v>3550</v>
      </c>
      <c r="D742" s="7976" t="s">
        <v>3551</v>
      </c>
      <c r="E742" s="7976" t="s">
        <v>3552</v>
      </c>
      <c r="F742" s="7976" t="s">
        <v>2802</v>
      </c>
      <c r="G742" s="7976" t="s">
        <v>3553</v>
      </c>
      <c r="H742" s="7976" t="s">
        <v>22</v>
      </c>
      <c r="I742" s="7976" t="s">
        <v>971</v>
      </c>
    </row>
    <row customHeight="1" ht="11.25">
      <c r="A743" s="7976" t="s">
        <v>2530</v>
      </c>
      <c r="B743" s="7976" t="s">
        <v>16</v>
      </c>
      <c r="C743" s="7976" t="s">
        <v>3554</v>
      </c>
      <c r="D743" s="7976" t="s">
        <v>3555</v>
      </c>
      <c r="E743" s="7976" t="s">
        <v>3556</v>
      </c>
      <c r="F743" s="7976" t="s">
        <v>2743</v>
      </c>
      <c r="G743" s="7976" t="s">
        <v>3557</v>
      </c>
      <c r="H743" s="7976" t="s">
        <v>22</v>
      </c>
      <c r="I743" s="7976" t="s">
        <v>971</v>
      </c>
    </row>
    <row customHeight="1" ht="11.25">
      <c r="A744" s="7976" t="s">
        <v>2530</v>
      </c>
      <c r="B744" s="7976" t="s">
        <v>16</v>
      </c>
      <c r="C744" s="7976" t="s">
        <v>2608</v>
      </c>
      <c r="D744" s="7976" t="s">
        <v>2609</v>
      </c>
      <c r="E744" s="7976" t="s">
        <v>2610</v>
      </c>
      <c r="F744" s="7976" t="s">
        <v>2611</v>
      </c>
      <c r="G744" s="7976" t="s">
        <v>2612</v>
      </c>
      <c r="H744" s="7976" t="s">
        <v>22</v>
      </c>
      <c r="I744" s="7976" t="s">
        <v>971</v>
      </c>
    </row>
    <row customHeight="1" ht="11.25">
      <c r="A745" s="7976" t="s">
        <v>2530</v>
      </c>
      <c r="B745" s="7976" t="s">
        <v>16</v>
      </c>
      <c r="C745" s="7976" t="s">
        <v>2613</v>
      </c>
      <c r="D745" s="7976" t="s">
        <v>2614</v>
      </c>
      <c r="E745" s="7976" t="s">
        <v>2615</v>
      </c>
      <c r="F745" s="7976" t="s">
        <v>2616</v>
      </c>
      <c r="G745" s="7976" t="s">
        <v>22</v>
      </c>
      <c r="H745" s="7976" t="s">
        <v>2617</v>
      </c>
      <c r="I745" s="7976" t="s">
        <v>971</v>
      </c>
    </row>
    <row customHeight="1" ht="11.25">
      <c r="A746" s="7976" t="s">
        <v>2530</v>
      </c>
      <c r="B746" s="7976" t="s">
        <v>16</v>
      </c>
      <c r="C746" s="7976" t="s">
        <v>2633</v>
      </c>
      <c r="D746" s="7976" t="s">
        <v>2634</v>
      </c>
      <c r="E746" s="7976" t="s">
        <v>2635</v>
      </c>
      <c r="F746" s="7976" t="s">
        <v>2636</v>
      </c>
      <c r="G746" s="7976" t="s">
        <v>22</v>
      </c>
      <c r="H746" s="7976" t="s">
        <v>2637</v>
      </c>
      <c r="I746" s="7976" t="s">
        <v>971</v>
      </c>
    </row>
    <row customHeight="1" ht="11.25">
      <c r="A747" s="7976" t="s">
        <v>2530</v>
      </c>
      <c r="B747" s="7976" t="s">
        <v>16</v>
      </c>
      <c r="C747" s="7976" t="s">
        <v>2638</v>
      </c>
      <c r="D747" s="7976" t="s">
        <v>2639</v>
      </c>
      <c r="E747" s="7976" t="s">
        <v>2640</v>
      </c>
      <c r="F747" s="7976" t="s">
        <v>2630</v>
      </c>
      <c r="G747" s="7976" t="s">
        <v>2631</v>
      </c>
      <c r="H747" s="7976" t="s">
        <v>2632</v>
      </c>
      <c r="I747" s="7976" t="s">
        <v>971</v>
      </c>
    </row>
    <row customHeight="1" ht="11.25">
      <c r="A748" s="7976" t="s">
        <v>2530</v>
      </c>
      <c r="B748" s="7976" t="s">
        <v>16</v>
      </c>
      <c r="C748" s="7976" t="s">
        <v>4063</v>
      </c>
      <c r="D748" s="7976" t="s">
        <v>4064</v>
      </c>
      <c r="E748" s="7976" t="s">
        <v>4065</v>
      </c>
      <c r="F748" s="7976" t="s">
        <v>2757</v>
      </c>
      <c r="G748" s="7976" t="s">
        <v>4066</v>
      </c>
      <c r="H748" s="7976" t="s">
        <v>2758</v>
      </c>
      <c r="I748" s="7976" t="s">
        <v>971</v>
      </c>
    </row>
    <row customHeight="1" ht="11.25">
      <c r="A749" s="7976" t="s">
        <v>2530</v>
      </c>
      <c r="B749" s="7976" t="s">
        <v>16</v>
      </c>
      <c r="C749" s="7976" t="s">
        <v>2641</v>
      </c>
      <c r="D749" s="7976" t="s">
        <v>2642</v>
      </c>
      <c r="E749" s="7976" t="s">
        <v>2643</v>
      </c>
      <c r="F749" s="7976" t="s">
        <v>2597</v>
      </c>
      <c r="G749" s="7976" t="s">
        <v>22</v>
      </c>
      <c r="H749" s="7976" t="s">
        <v>2644</v>
      </c>
      <c r="I749" s="7976" t="s">
        <v>971</v>
      </c>
    </row>
    <row customHeight="1" ht="11.25">
      <c r="A750" s="7976" t="s">
        <v>2530</v>
      </c>
      <c r="B750" s="7976" t="s">
        <v>16</v>
      </c>
      <c r="C750" s="7976" t="s">
        <v>2649</v>
      </c>
      <c r="D750" s="7976" t="s">
        <v>2650</v>
      </c>
      <c r="E750" s="7976" t="s">
        <v>2651</v>
      </c>
      <c r="F750" s="7976" t="s">
        <v>2652</v>
      </c>
      <c r="G750" s="7976" t="s">
        <v>2653</v>
      </c>
      <c r="H750" s="7976" t="s">
        <v>22</v>
      </c>
      <c r="I750" s="7976" t="s">
        <v>971</v>
      </c>
    </row>
    <row customHeight="1" ht="11.25">
      <c r="A751" s="7976" t="s">
        <v>2530</v>
      </c>
      <c r="B751" s="7976" t="s">
        <v>16</v>
      </c>
      <c r="C751" s="7976" t="s">
        <v>3611</v>
      </c>
      <c r="D751" s="7976" t="s">
        <v>3612</v>
      </c>
      <c r="E751" s="7976" t="s">
        <v>3613</v>
      </c>
      <c r="F751" s="7976" t="s">
        <v>2954</v>
      </c>
      <c r="G751" s="7976" t="s">
        <v>3614</v>
      </c>
      <c r="H751" s="7976" t="s">
        <v>22</v>
      </c>
      <c r="I751" s="7976" t="s">
        <v>971</v>
      </c>
    </row>
    <row customHeight="1" ht="11.25">
      <c r="A752" s="7976" t="s">
        <v>2530</v>
      </c>
      <c r="B752" s="7976" t="s">
        <v>16</v>
      </c>
      <c r="C752" s="7976" t="s">
        <v>2667</v>
      </c>
      <c r="D752" s="7976" t="s">
        <v>2668</v>
      </c>
      <c r="E752" s="7976" t="s">
        <v>2669</v>
      </c>
      <c r="F752" s="7976" t="s">
        <v>2670</v>
      </c>
      <c r="G752" s="7976" t="s">
        <v>22</v>
      </c>
      <c r="H752" s="7976" t="s">
        <v>22</v>
      </c>
      <c r="I752" s="7976" t="s">
        <v>971</v>
      </c>
    </row>
    <row customHeight="1" ht="11.25">
      <c r="A753" s="7976" t="s">
        <v>2530</v>
      </c>
      <c r="B753" s="7976" t="s">
        <v>16</v>
      </c>
      <c r="C753" s="7976" t="s">
        <v>3490</v>
      </c>
      <c r="D753" s="7976" t="s">
        <v>3491</v>
      </c>
      <c r="E753" s="7976" t="s">
        <v>3492</v>
      </c>
      <c r="F753" s="7976" t="s">
        <v>2636</v>
      </c>
      <c r="G753" s="7976" t="s">
        <v>3493</v>
      </c>
      <c r="H753" s="7976" t="s">
        <v>22</v>
      </c>
      <c r="I753" s="7976" t="s">
        <v>971</v>
      </c>
    </row>
    <row customHeight="1" ht="11.25">
      <c r="A754" s="7976" t="s">
        <v>2530</v>
      </c>
      <c r="B754" s="7976" t="s">
        <v>16</v>
      </c>
      <c r="C754" s="7976" t="s">
        <v>2671</v>
      </c>
      <c r="D754" s="7976" t="s">
        <v>2672</v>
      </c>
      <c r="E754" s="7976" t="s">
        <v>2673</v>
      </c>
      <c r="F754" s="7976" t="s">
        <v>2573</v>
      </c>
      <c r="G754" s="7976" t="s">
        <v>2674</v>
      </c>
      <c r="H754" s="7976" t="s">
        <v>22</v>
      </c>
      <c r="I754" s="7976" t="s">
        <v>971</v>
      </c>
    </row>
    <row customHeight="1" ht="11.25">
      <c r="A755" s="7976" t="s">
        <v>2530</v>
      </c>
      <c r="B755" s="7976" t="s">
        <v>16</v>
      </c>
      <c r="C755" s="7976" t="s">
        <v>2675</v>
      </c>
      <c r="D755" s="7976" t="s">
        <v>2676</v>
      </c>
      <c r="E755" s="7976" t="s">
        <v>2677</v>
      </c>
      <c r="F755" s="7976" t="s">
        <v>2616</v>
      </c>
      <c r="G755" s="7976" t="s">
        <v>2678</v>
      </c>
      <c r="H755" s="7976" t="s">
        <v>22</v>
      </c>
      <c r="I755" s="7976" t="s">
        <v>971</v>
      </c>
    </row>
    <row customHeight="1" ht="11.25">
      <c r="A756" s="7976" t="s">
        <v>2530</v>
      </c>
      <c r="B756" s="7976" t="s">
        <v>16</v>
      </c>
      <c r="C756" s="7976" t="s">
        <v>2679</v>
      </c>
      <c r="D756" s="7976" t="s">
        <v>2680</v>
      </c>
      <c r="E756" s="7976" t="s">
        <v>2681</v>
      </c>
      <c r="F756" s="7976" t="s">
        <v>2636</v>
      </c>
      <c r="G756" s="7976" t="s">
        <v>2682</v>
      </c>
      <c r="H756" s="7976" t="s">
        <v>2637</v>
      </c>
      <c r="I756" s="7976" t="s">
        <v>971</v>
      </c>
    </row>
    <row customHeight="1" ht="11.25">
      <c r="A757" s="7976" t="s">
        <v>2530</v>
      </c>
      <c r="B757" s="7976" t="s">
        <v>16</v>
      </c>
      <c r="C757" s="7976" t="s">
        <v>3645</v>
      </c>
      <c r="D757" s="7976" t="s">
        <v>3646</v>
      </c>
      <c r="E757" s="7976" t="s">
        <v>3647</v>
      </c>
      <c r="F757" s="7976" t="s">
        <v>2539</v>
      </c>
      <c r="G757" s="7976" t="s">
        <v>3648</v>
      </c>
      <c r="H757" s="7976" t="s">
        <v>22</v>
      </c>
      <c r="I757" s="7976" t="s">
        <v>971</v>
      </c>
    </row>
    <row customHeight="1" ht="11.25">
      <c r="A758" s="7976" t="s">
        <v>2530</v>
      </c>
      <c r="B758" s="7976" t="s">
        <v>16</v>
      </c>
      <c r="C758" s="7976" t="s">
        <v>2697</v>
      </c>
      <c r="D758" s="7976" t="s">
        <v>2698</v>
      </c>
      <c r="E758" s="7976" t="s">
        <v>2699</v>
      </c>
      <c r="F758" s="7976" t="s">
        <v>2561</v>
      </c>
      <c r="G758" s="7976" t="s">
        <v>2700</v>
      </c>
      <c r="H758" s="7976" t="s">
        <v>2563</v>
      </c>
      <c r="I758" s="7976" t="s">
        <v>971</v>
      </c>
    </row>
    <row customHeight="1" ht="11.25">
      <c r="A759" s="7976" t="s">
        <v>2530</v>
      </c>
      <c r="B759" s="7976" t="s">
        <v>16</v>
      </c>
      <c r="C759" s="7976" t="s">
        <v>2708</v>
      </c>
      <c r="D759" s="7976" t="s">
        <v>2709</v>
      </c>
      <c r="E759" s="7976" t="s">
        <v>2710</v>
      </c>
      <c r="F759" s="7976" t="s">
        <v>2670</v>
      </c>
      <c r="G759" s="7976" t="s">
        <v>22</v>
      </c>
      <c r="H759" s="7976" t="s">
        <v>2711</v>
      </c>
      <c r="I759" s="7976" t="s">
        <v>971</v>
      </c>
    </row>
    <row customHeight="1" ht="11.25">
      <c r="A760" s="7976" t="s">
        <v>2530</v>
      </c>
      <c r="B760" s="7976" t="s">
        <v>16</v>
      </c>
      <c r="C760" s="7976" t="s">
        <v>4067</v>
      </c>
      <c r="D760" s="7976" t="s">
        <v>4068</v>
      </c>
      <c r="E760" s="7976" t="s">
        <v>4069</v>
      </c>
      <c r="F760" s="7976" t="s">
        <v>2954</v>
      </c>
      <c r="G760" s="7976" t="s">
        <v>4070</v>
      </c>
      <c r="H760" s="7976" t="s">
        <v>3667</v>
      </c>
      <c r="I760" s="7976" t="s">
        <v>971</v>
      </c>
    </row>
    <row customHeight="1" ht="11.25">
      <c r="A761" s="7976" t="s">
        <v>2530</v>
      </c>
      <c r="B761" s="7976" t="s">
        <v>16</v>
      </c>
      <c r="C761" s="7976" t="s">
        <v>3683</v>
      </c>
      <c r="D761" s="7976" t="s">
        <v>3684</v>
      </c>
      <c r="E761" s="7976" t="s">
        <v>3685</v>
      </c>
      <c r="F761" s="7976" t="s">
        <v>2743</v>
      </c>
      <c r="G761" s="7976" t="s">
        <v>3565</v>
      </c>
      <c r="H761" s="7976" t="s">
        <v>2744</v>
      </c>
      <c r="I761" s="7976" t="s">
        <v>971</v>
      </c>
    </row>
    <row customHeight="1" ht="11.25">
      <c r="A762" s="7976" t="s">
        <v>2530</v>
      </c>
      <c r="B762" s="7976" t="s">
        <v>16</v>
      </c>
      <c r="C762" s="7976" t="s">
        <v>3704</v>
      </c>
      <c r="D762" s="7976" t="s">
        <v>3705</v>
      </c>
      <c r="E762" s="7976" t="s">
        <v>3706</v>
      </c>
      <c r="F762" s="7976" t="s">
        <v>2757</v>
      </c>
      <c r="G762" s="7976" t="s">
        <v>22</v>
      </c>
      <c r="H762" s="7976" t="s">
        <v>2758</v>
      </c>
      <c r="I762" s="7976" t="s">
        <v>971</v>
      </c>
    </row>
    <row customHeight="1" ht="11.25">
      <c r="A763" s="7976" t="s">
        <v>2530</v>
      </c>
      <c r="B763" s="7976" t="s">
        <v>16</v>
      </c>
      <c r="C763" s="7976" t="s">
        <v>2724</v>
      </c>
      <c r="D763" s="7976" t="s">
        <v>2725</v>
      </c>
      <c r="E763" s="7976" t="s">
        <v>2726</v>
      </c>
      <c r="F763" s="7976" t="s">
        <v>2670</v>
      </c>
      <c r="G763" s="7976" t="s">
        <v>22</v>
      </c>
      <c r="H763" s="7976" t="s">
        <v>2711</v>
      </c>
      <c r="I763" s="7976" t="s">
        <v>971</v>
      </c>
    </row>
    <row customHeight="1" ht="11.25">
      <c r="A764" s="7976" t="s">
        <v>2530</v>
      </c>
      <c r="B764" s="7976" t="s">
        <v>16</v>
      </c>
      <c r="C764" s="7976" t="s">
        <v>3716</v>
      </c>
      <c r="D764" s="7976" t="s">
        <v>3717</v>
      </c>
      <c r="E764" s="7976" t="s">
        <v>3718</v>
      </c>
      <c r="F764" s="7976" t="s">
        <v>2597</v>
      </c>
      <c r="G764" s="7976" t="s">
        <v>2625</v>
      </c>
      <c r="H764" s="7976" t="s">
        <v>2644</v>
      </c>
      <c r="I764" s="7976" t="s">
        <v>971</v>
      </c>
    </row>
    <row customHeight="1" ht="11.25">
      <c r="A765" s="7976" t="s">
        <v>2530</v>
      </c>
      <c r="B765" s="7976" t="s">
        <v>16</v>
      </c>
      <c r="C765" s="7976" t="s">
        <v>2748</v>
      </c>
      <c r="D765" s="7976" t="s">
        <v>2749</v>
      </c>
      <c r="E765" s="7976" t="s">
        <v>2750</v>
      </c>
      <c r="F765" s="7976" t="s">
        <v>2555</v>
      </c>
      <c r="G765" s="7976" t="s">
        <v>22</v>
      </c>
      <c r="H765" s="7976" t="s">
        <v>2557</v>
      </c>
      <c r="I765" s="7976" t="s">
        <v>971</v>
      </c>
    </row>
    <row customHeight="1" ht="11.25">
      <c r="A766" s="7976" t="s">
        <v>2530</v>
      </c>
      <c r="B766" s="7976" t="s">
        <v>16</v>
      </c>
      <c r="C766" s="7976" t="s">
        <v>3768</v>
      </c>
      <c r="D766" s="7976" t="s">
        <v>3769</v>
      </c>
      <c r="E766" s="7976" t="s">
        <v>3770</v>
      </c>
      <c r="F766" s="7976" t="s">
        <v>2630</v>
      </c>
      <c r="G766" s="7976" t="s">
        <v>22</v>
      </c>
      <c r="H766" s="7976" t="s">
        <v>2632</v>
      </c>
      <c r="I766" s="7976" t="s">
        <v>971</v>
      </c>
    </row>
    <row customHeight="1" ht="11.25">
      <c r="A767" s="7976" t="s">
        <v>2530</v>
      </c>
      <c r="B767" s="7976" t="s">
        <v>16</v>
      </c>
      <c r="C767" s="7976" t="s">
        <v>2769</v>
      </c>
      <c r="D767" s="7976" t="s">
        <v>2770</v>
      </c>
      <c r="E767" s="7976" t="s">
        <v>2771</v>
      </c>
      <c r="F767" s="7976" t="s">
        <v>2772</v>
      </c>
      <c r="G767" s="7976" t="s">
        <v>2773</v>
      </c>
      <c r="H767" s="7976" t="s">
        <v>22</v>
      </c>
      <c r="I767" s="7976" t="s">
        <v>971</v>
      </c>
    </row>
    <row customHeight="1" ht="11.25">
      <c r="A768" s="7976" t="s">
        <v>2530</v>
      </c>
      <c r="B768" s="7976" t="s">
        <v>16</v>
      </c>
      <c r="C768" s="7976" t="s">
        <v>2795</v>
      </c>
      <c r="D768" s="7976" t="s">
        <v>2796</v>
      </c>
      <c r="E768" s="7976" t="s">
        <v>2797</v>
      </c>
      <c r="F768" s="7976" t="s">
        <v>2573</v>
      </c>
      <c r="G768" s="7976" t="s">
        <v>2798</v>
      </c>
      <c r="H768" s="7976" t="s">
        <v>22</v>
      </c>
      <c r="I768" s="7976" t="s">
        <v>971</v>
      </c>
    </row>
    <row customHeight="1" ht="11.25">
      <c r="A769" s="7976" t="s">
        <v>2530</v>
      </c>
      <c r="B769" s="7976" t="s">
        <v>16</v>
      </c>
      <c r="C769" s="7976" t="s">
        <v>2811</v>
      </c>
      <c r="D769" s="7976" t="s">
        <v>2812</v>
      </c>
      <c r="E769" s="7976" t="s">
        <v>2813</v>
      </c>
      <c r="F769" s="7976" t="s">
        <v>2814</v>
      </c>
      <c r="G769" s="7976" t="s">
        <v>22</v>
      </c>
      <c r="H769" s="7976" t="s">
        <v>22</v>
      </c>
      <c r="I769" s="7976" t="s">
        <v>971</v>
      </c>
    </row>
    <row customHeight="1" ht="11.25">
      <c r="A770" s="7976" t="s">
        <v>2530</v>
      </c>
      <c r="B770" s="7976" t="s">
        <v>16</v>
      </c>
      <c r="C770" s="7976" t="s">
        <v>2842</v>
      </c>
      <c r="D770" s="7976" t="s">
        <v>2843</v>
      </c>
      <c r="E770" s="7976" t="s">
        <v>2844</v>
      </c>
      <c r="F770" s="7976" t="s">
        <v>2845</v>
      </c>
      <c r="G770" s="7976" t="s">
        <v>22</v>
      </c>
      <c r="H770" s="7976" t="s">
        <v>22</v>
      </c>
      <c r="I770" s="7976" t="s">
        <v>971</v>
      </c>
    </row>
    <row customHeight="1" ht="11.25">
      <c r="A771" s="7976" t="s">
        <v>2530</v>
      </c>
      <c r="B771" s="7976" t="s">
        <v>16</v>
      </c>
      <c r="C771" s="7976" t="s">
        <v>2850</v>
      </c>
      <c r="D771" s="7976" t="s">
        <v>2851</v>
      </c>
      <c r="E771" s="7976" t="s">
        <v>2852</v>
      </c>
      <c r="F771" s="7976" t="s">
        <v>2853</v>
      </c>
      <c r="G771" s="7976" t="s">
        <v>22</v>
      </c>
      <c r="H771" s="7976" t="s">
        <v>22</v>
      </c>
      <c r="I771" s="7976" t="s">
        <v>971</v>
      </c>
    </row>
    <row customHeight="1" ht="11.25">
      <c r="A772" s="7976" t="s">
        <v>2530</v>
      </c>
      <c r="B772" s="7976" t="s">
        <v>16</v>
      </c>
      <c r="C772" s="7976" t="s">
        <v>3829</v>
      </c>
      <c r="D772" s="7976" t="s">
        <v>3830</v>
      </c>
      <c r="E772" s="7976" t="s">
        <v>3831</v>
      </c>
      <c r="F772" s="7976" t="s">
        <v>602</v>
      </c>
      <c r="G772" s="7976" t="s">
        <v>22</v>
      </c>
      <c r="H772" s="7976" t="s">
        <v>22</v>
      </c>
      <c r="I772" s="7976" t="s">
        <v>971</v>
      </c>
    </row>
    <row customHeight="1" ht="11.25">
      <c r="A773" s="7976" t="s">
        <v>2530</v>
      </c>
      <c r="B773" s="7976" t="s">
        <v>16</v>
      </c>
      <c r="C773" s="7976" t="s">
        <v>4071</v>
      </c>
      <c r="D773" s="7976" t="s">
        <v>4072</v>
      </c>
      <c r="E773" s="7976" t="s">
        <v>4073</v>
      </c>
      <c r="F773" s="7976" t="s">
        <v>602</v>
      </c>
      <c r="G773" s="7976" t="s">
        <v>4074</v>
      </c>
      <c r="H773" s="7976" t="s">
        <v>22</v>
      </c>
      <c r="I773" s="7976" t="s">
        <v>971</v>
      </c>
    </row>
    <row customHeight="1" ht="11.25">
      <c r="A774" s="7976" t="s">
        <v>2530</v>
      </c>
      <c r="B774" s="7976" t="s">
        <v>16</v>
      </c>
      <c r="C774" s="7976" t="s">
        <v>2864</v>
      </c>
      <c r="D774" s="7976" t="s">
        <v>2865</v>
      </c>
      <c r="E774" s="7976" t="s">
        <v>2866</v>
      </c>
      <c r="F774" s="7976" t="s">
        <v>602</v>
      </c>
      <c r="G774" s="7976" t="s">
        <v>22</v>
      </c>
      <c r="H774" s="7976" t="s">
        <v>22</v>
      </c>
      <c r="I774" s="7976" t="s">
        <v>971</v>
      </c>
    </row>
    <row customHeight="1" ht="11.25">
      <c r="A775" s="7976" t="s">
        <v>2530</v>
      </c>
      <c r="B775" s="7976" t="s">
        <v>16</v>
      </c>
      <c r="C775" s="7976" t="s">
        <v>2867</v>
      </c>
      <c r="D775" s="7976" t="s">
        <v>2868</v>
      </c>
      <c r="E775" s="7976" t="s">
        <v>2869</v>
      </c>
      <c r="F775" s="7976" t="s">
        <v>602</v>
      </c>
      <c r="G775" s="7976" t="s">
        <v>2870</v>
      </c>
      <c r="H775" s="7976" t="s">
        <v>22</v>
      </c>
      <c r="I775" s="7976" t="s">
        <v>971</v>
      </c>
    </row>
    <row customHeight="1" ht="11.25">
      <c r="A776" s="7976" t="s">
        <v>2530</v>
      </c>
      <c r="B776" s="7976" t="s">
        <v>16</v>
      </c>
      <c r="C776" s="7976" t="s">
        <v>3859</v>
      </c>
      <c r="D776" s="7976" t="s">
        <v>3860</v>
      </c>
      <c r="E776" s="7976" t="s">
        <v>3861</v>
      </c>
      <c r="F776" s="7976" t="s">
        <v>602</v>
      </c>
      <c r="G776" s="7976" t="s">
        <v>3862</v>
      </c>
      <c r="H776" s="7976" t="s">
        <v>22</v>
      </c>
      <c r="I776" s="7976" t="s">
        <v>971</v>
      </c>
    </row>
    <row customHeight="1" ht="11.25">
      <c r="A777" s="7976" t="s">
        <v>2530</v>
      </c>
      <c r="B777" s="7976" t="s">
        <v>16</v>
      </c>
      <c r="C777" s="7976" t="s">
        <v>3866</v>
      </c>
      <c r="D777" s="7976" t="s">
        <v>3867</v>
      </c>
      <c r="E777" s="7976" t="s">
        <v>3868</v>
      </c>
      <c r="F777" s="7976" t="s">
        <v>602</v>
      </c>
      <c r="G777" s="7976" t="s">
        <v>22</v>
      </c>
      <c r="H777" s="7976" t="s">
        <v>22</v>
      </c>
      <c r="I777" s="7976" t="s">
        <v>971</v>
      </c>
    </row>
    <row customHeight="1" ht="11.25">
      <c r="A778" s="7976" t="s">
        <v>2530</v>
      </c>
      <c r="B778" s="7976" t="s">
        <v>16</v>
      </c>
      <c r="C778" s="7976" t="s">
        <v>4075</v>
      </c>
      <c r="D778" s="7976" t="s">
        <v>4076</v>
      </c>
      <c r="E778" s="7976" t="s">
        <v>4077</v>
      </c>
      <c r="F778" s="7976" t="s">
        <v>602</v>
      </c>
      <c r="G778" s="7976" t="s">
        <v>22</v>
      </c>
      <c r="H778" s="7976" t="s">
        <v>4078</v>
      </c>
      <c r="I778" s="7976" t="s">
        <v>971</v>
      </c>
    </row>
    <row customHeight="1" ht="11.25">
      <c r="A779" s="7976" t="s">
        <v>2530</v>
      </c>
      <c r="B779" s="7976" t="s">
        <v>16</v>
      </c>
      <c r="C779" s="7976" t="s">
        <v>3879</v>
      </c>
      <c r="D779" s="7976" t="s">
        <v>3880</v>
      </c>
      <c r="E779" s="7976" t="s">
        <v>3881</v>
      </c>
      <c r="F779" s="7976" t="s">
        <v>602</v>
      </c>
      <c r="G779" s="7976" t="s">
        <v>22</v>
      </c>
      <c r="H779" s="7976" t="s">
        <v>22</v>
      </c>
      <c r="I779" s="7976" t="s">
        <v>971</v>
      </c>
    </row>
    <row customHeight="1" ht="11.25">
      <c r="A780" s="7976" t="s">
        <v>2530</v>
      </c>
      <c r="B780" s="7976" t="s">
        <v>16</v>
      </c>
      <c r="C780" s="7976" t="s">
        <v>2875</v>
      </c>
      <c r="D780" s="7976" t="s">
        <v>2876</v>
      </c>
      <c r="E780" s="7976" t="s">
        <v>2877</v>
      </c>
      <c r="F780" s="7976" t="s">
        <v>602</v>
      </c>
      <c r="G780" s="7976" t="s">
        <v>2878</v>
      </c>
      <c r="H780" s="7976" t="s">
        <v>22</v>
      </c>
      <c r="I780" s="7976" t="s">
        <v>971</v>
      </c>
    </row>
    <row customHeight="1" ht="11.25">
      <c r="A781" s="7976" t="s">
        <v>2530</v>
      </c>
      <c r="B781" s="7976" t="s">
        <v>16</v>
      </c>
      <c r="C781" s="7976" t="s">
        <v>3892</v>
      </c>
      <c r="D781" s="7976" t="s">
        <v>3893</v>
      </c>
      <c r="E781" s="7976" t="s">
        <v>3894</v>
      </c>
      <c r="F781" s="7976" t="s">
        <v>602</v>
      </c>
      <c r="G781" s="7976" t="s">
        <v>22</v>
      </c>
      <c r="H781" s="7976" t="s">
        <v>22</v>
      </c>
      <c r="I781" s="7976" t="s">
        <v>971</v>
      </c>
    </row>
    <row customHeight="1" ht="11.25">
      <c r="A782" s="7976" t="s">
        <v>2530</v>
      </c>
      <c r="B782" s="7976" t="s">
        <v>16</v>
      </c>
      <c r="C782" s="7976" t="s">
        <v>2890</v>
      </c>
      <c r="D782" s="7976" t="s">
        <v>2891</v>
      </c>
      <c r="E782" s="7976" t="s">
        <v>2892</v>
      </c>
      <c r="F782" s="7976" t="s">
        <v>602</v>
      </c>
      <c r="G782" s="7976" t="s">
        <v>2893</v>
      </c>
      <c r="H782" s="7976" t="s">
        <v>22</v>
      </c>
      <c r="I782" s="7976" t="s">
        <v>971</v>
      </c>
    </row>
    <row customHeight="1" ht="11.25">
      <c r="A783" s="7976" t="s">
        <v>2530</v>
      </c>
      <c r="B783" s="7976" t="s">
        <v>16</v>
      </c>
      <c r="C783" s="7976" t="s">
        <v>4079</v>
      </c>
      <c r="D783" s="7976" t="s">
        <v>4080</v>
      </c>
      <c r="E783" s="7976" t="s">
        <v>4081</v>
      </c>
      <c r="F783" s="7976" t="s">
        <v>602</v>
      </c>
      <c r="G783" s="7976" t="s">
        <v>4082</v>
      </c>
      <c r="H783" s="7976" t="s">
        <v>22</v>
      </c>
      <c r="I783" s="7976" t="s">
        <v>971</v>
      </c>
    </row>
    <row customHeight="1" ht="11.25">
      <c r="A784" s="7976" t="s">
        <v>2530</v>
      </c>
      <c r="B784" s="7976" t="s">
        <v>16</v>
      </c>
      <c r="C784" s="7976" t="s">
        <v>2901</v>
      </c>
      <c r="D784" s="7976" t="s">
        <v>2902</v>
      </c>
      <c r="E784" s="7976" t="s">
        <v>2903</v>
      </c>
      <c r="F784" s="7976" t="s">
        <v>2534</v>
      </c>
      <c r="G784" s="7976" t="s">
        <v>22</v>
      </c>
      <c r="H784" s="7976" t="s">
        <v>22</v>
      </c>
      <c r="I784" s="7976" t="s">
        <v>971</v>
      </c>
    </row>
    <row customHeight="1" ht="11.25">
      <c r="A785" s="7976" t="s">
        <v>2530</v>
      </c>
      <c r="B785" s="7976" t="s">
        <v>16</v>
      </c>
      <c r="C785" s="7976" t="s">
        <v>3907</v>
      </c>
      <c r="D785" s="7976" t="s">
        <v>3908</v>
      </c>
      <c r="E785" s="7976" t="s">
        <v>3909</v>
      </c>
      <c r="F785" s="7976" t="s">
        <v>2954</v>
      </c>
      <c r="G785" s="7976" t="s">
        <v>3910</v>
      </c>
      <c r="H785" s="7976" t="s">
        <v>22</v>
      </c>
      <c r="I785" s="7976" t="s">
        <v>971</v>
      </c>
    </row>
    <row customHeight="1" ht="11.25">
      <c r="A786" s="7976" t="s">
        <v>2530</v>
      </c>
      <c r="B786" s="7976" t="s">
        <v>16</v>
      </c>
      <c r="C786" s="7976" t="s">
        <v>2904</v>
      </c>
      <c r="D786" s="7976" t="s">
        <v>2905</v>
      </c>
      <c r="E786" s="7976" t="s">
        <v>2906</v>
      </c>
      <c r="F786" s="7976" t="s">
        <v>2907</v>
      </c>
      <c r="G786" s="7976" t="s">
        <v>2908</v>
      </c>
      <c r="H786" s="7976" t="s">
        <v>22</v>
      </c>
      <c r="I786" s="7976" t="s">
        <v>971</v>
      </c>
    </row>
    <row customHeight="1" ht="11.25">
      <c r="A787" s="7976" t="s">
        <v>2530</v>
      </c>
      <c r="B787" s="7976" t="s">
        <v>16</v>
      </c>
      <c r="C787" s="7976" t="s">
        <v>2909</v>
      </c>
      <c r="D787" s="7976" t="s">
        <v>2910</v>
      </c>
      <c r="E787" s="7976" t="s">
        <v>2911</v>
      </c>
      <c r="F787" s="7976" t="s">
        <v>2561</v>
      </c>
      <c r="G787" s="7976" t="s">
        <v>22</v>
      </c>
      <c r="H787" s="7976" t="s">
        <v>22</v>
      </c>
      <c r="I787" s="7976" t="s">
        <v>971</v>
      </c>
    </row>
    <row customHeight="1" ht="11.25">
      <c r="A788" s="7976" t="s">
        <v>2530</v>
      </c>
      <c r="B788" s="7976" t="s">
        <v>16</v>
      </c>
      <c r="C788" s="7976" t="s">
        <v>3933</v>
      </c>
      <c r="D788" s="7976" t="s">
        <v>3934</v>
      </c>
      <c r="E788" s="7976" t="s">
        <v>3935</v>
      </c>
      <c r="F788" s="7976" t="s">
        <v>2907</v>
      </c>
      <c r="G788" s="7976" t="s">
        <v>3936</v>
      </c>
      <c r="H788" s="7976" t="s">
        <v>22</v>
      </c>
      <c r="I788" s="7976" t="s">
        <v>971</v>
      </c>
    </row>
    <row customHeight="1" ht="11.25">
      <c r="A789" s="7976" t="s">
        <v>2530</v>
      </c>
      <c r="B789" s="7976" t="s">
        <v>16</v>
      </c>
      <c r="C789" s="7976" t="s">
        <v>2924</v>
      </c>
      <c r="D789" s="7976" t="s">
        <v>2925</v>
      </c>
      <c r="E789" s="7976" t="s">
        <v>2926</v>
      </c>
      <c r="F789" s="7976" t="s">
        <v>2652</v>
      </c>
      <c r="G789" s="7976" t="s">
        <v>22</v>
      </c>
      <c r="H789" s="7976" t="s">
        <v>22</v>
      </c>
      <c r="I789" s="7976" t="s">
        <v>971</v>
      </c>
    </row>
    <row customHeight="1" ht="11.25">
      <c r="A790" s="7976" t="s">
        <v>2530</v>
      </c>
      <c r="B790" s="7976" t="s">
        <v>16</v>
      </c>
      <c r="C790" s="7976" t="s">
        <v>2943</v>
      </c>
      <c r="D790" s="7976" t="s">
        <v>2944</v>
      </c>
      <c r="E790" s="7976" t="s">
        <v>2945</v>
      </c>
      <c r="F790" s="7976" t="s">
        <v>2561</v>
      </c>
      <c r="G790" s="7976" t="s">
        <v>22</v>
      </c>
      <c r="H790" s="7976" t="s">
        <v>22</v>
      </c>
      <c r="I790" s="7976" t="s">
        <v>971</v>
      </c>
    </row>
    <row customHeight="1" ht="11.25">
      <c r="A791" s="7976" t="s">
        <v>2530</v>
      </c>
      <c r="B791" s="7976" t="s">
        <v>16</v>
      </c>
      <c r="C791" s="7976" t="s">
        <v>2946</v>
      </c>
      <c r="D791" s="7976" t="s">
        <v>2947</v>
      </c>
      <c r="E791" s="7976" t="s">
        <v>2948</v>
      </c>
      <c r="F791" s="7976" t="s">
        <v>2561</v>
      </c>
      <c r="G791" s="7976" t="s">
        <v>2949</v>
      </c>
      <c r="H791" s="7976" t="s">
        <v>2950</v>
      </c>
      <c r="I791" s="7976" t="s">
        <v>971</v>
      </c>
    </row>
    <row customHeight="1" ht="11.25">
      <c r="A792" s="7976" t="s">
        <v>2530</v>
      </c>
      <c r="B792" s="7976" t="s">
        <v>16</v>
      </c>
      <c r="C792" s="7976" t="s">
        <v>4083</v>
      </c>
      <c r="D792" s="7976" t="s">
        <v>4084</v>
      </c>
      <c r="E792" s="7976" t="s">
        <v>4085</v>
      </c>
      <c r="F792" s="7976" t="s">
        <v>2611</v>
      </c>
      <c r="G792" s="7976" t="s">
        <v>22</v>
      </c>
      <c r="H792" s="7976" t="s">
        <v>4086</v>
      </c>
      <c r="I792" s="7976" t="s">
        <v>971</v>
      </c>
    </row>
    <row customHeight="1" ht="11.25">
      <c r="A793" s="7976" t="s">
        <v>2530</v>
      </c>
      <c r="B793" s="7976" t="s">
        <v>16</v>
      </c>
      <c r="C793" s="7976" t="s">
        <v>3951</v>
      </c>
      <c r="D793" s="7976" t="s">
        <v>3952</v>
      </c>
      <c r="E793" s="7976" t="s">
        <v>3953</v>
      </c>
      <c r="F793" s="7976" t="s">
        <v>2824</v>
      </c>
      <c r="G793" s="7976" t="s">
        <v>3954</v>
      </c>
      <c r="H793" s="7976" t="s">
        <v>22</v>
      </c>
      <c r="I793" s="7976" t="s">
        <v>971</v>
      </c>
    </row>
    <row customHeight="1" ht="11.25">
      <c r="A794" s="7976" t="s">
        <v>2530</v>
      </c>
      <c r="B794" s="7976" t="s">
        <v>16</v>
      </c>
      <c r="C794" s="7976" t="s">
        <v>2962</v>
      </c>
      <c r="D794" s="7976" t="s">
        <v>2963</v>
      </c>
      <c r="E794" s="7976" t="s">
        <v>2964</v>
      </c>
      <c r="F794" s="7976" t="s">
        <v>2539</v>
      </c>
      <c r="G794" s="7976" t="s">
        <v>22</v>
      </c>
      <c r="H794" s="7976" t="s">
        <v>22</v>
      </c>
      <c r="I794" s="7976" t="s">
        <v>971</v>
      </c>
    </row>
    <row customHeight="1" ht="11.25">
      <c r="A795" s="7976" t="s">
        <v>2530</v>
      </c>
      <c r="B795" s="7976" t="s">
        <v>16</v>
      </c>
      <c r="C795" s="7976" t="s">
        <v>2965</v>
      </c>
      <c r="D795" s="7976" t="s">
        <v>2966</v>
      </c>
      <c r="E795" s="7976" t="s">
        <v>2967</v>
      </c>
      <c r="F795" s="7976" t="s">
        <v>2551</v>
      </c>
      <c r="G795" s="7976" t="s">
        <v>22</v>
      </c>
      <c r="H795" s="7976" t="s">
        <v>2744</v>
      </c>
      <c r="I795" s="7976" t="s">
        <v>971</v>
      </c>
    </row>
    <row customHeight="1" ht="11.25">
      <c r="A796" s="7976" t="s">
        <v>2530</v>
      </c>
      <c r="B796" s="7976" t="s">
        <v>16</v>
      </c>
      <c r="C796" s="7976" t="s">
        <v>4087</v>
      </c>
      <c r="D796" s="7976" t="s">
        <v>4088</v>
      </c>
      <c r="E796" s="7976" t="s">
        <v>4089</v>
      </c>
      <c r="F796" s="7976" t="s">
        <v>2551</v>
      </c>
      <c r="G796" s="7976" t="s">
        <v>22</v>
      </c>
      <c r="H796" s="7976" t="s">
        <v>22</v>
      </c>
      <c r="I796" s="7976" t="s">
        <v>971</v>
      </c>
    </row>
    <row customHeight="1" ht="11.25">
      <c r="A797" s="7976" t="s">
        <v>2530</v>
      </c>
      <c r="B797" s="7976" t="s">
        <v>16</v>
      </c>
      <c r="C797" s="7976" t="s">
        <v>3963</v>
      </c>
      <c r="D797" s="7976" t="s">
        <v>3964</v>
      </c>
      <c r="E797" s="7976" t="s">
        <v>3965</v>
      </c>
      <c r="F797" s="7976" t="s">
        <v>2589</v>
      </c>
      <c r="G797" s="7976" t="s">
        <v>3966</v>
      </c>
      <c r="H797" s="7976" t="s">
        <v>22</v>
      </c>
      <c r="I797" s="7976" t="s">
        <v>971</v>
      </c>
    </row>
    <row customHeight="1" ht="11.25">
      <c r="A798" s="7976" t="s">
        <v>2530</v>
      </c>
      <c r="B798" s="7976" t="s">
        <v>16</v>
      </c>
      <c r="C798" s="7976" t="s">
        <v>2971</v>
      </c>
      <c r="D798" s="7976" t="s">
        <v>2972</v>
      </c>
      <c r="E798" s="7976" t="s">
        <v>2973</v>
      </c>
      <c r="F798" s="7976" t="s">
        <v>2539</v>
      </c>
      <c r="G798" s="7976" t="s">
        <v>22</v>
      </c>
      <c r="H798" s="7976" t="s">
        <v>22</v>
      </c>
      <c r="I798" s="7976" t="s">
        <v>971</v>
      </c>
    </row>
    <row customHeight="1" ht="11.25">
      <c r="A799" s="7976" t="s">
        <v>2530</v>
      </c>
      <c r="B799" s="7976" t="s">
        <v>16</v>
      </c>
      <c r="C799" s="7976" t="s">
        <v>2974</v>
      </c>
      <c r="D799" s="7976" t="s">
        <v>2975</v>
      </c>
      <c r="E799" s="7976" t="s">
        <v>2976</v>
      </c>
      <c r="F799" s="7976" t="s">
        <v>2652</v>
      </c>
      <c r="G799" s="7976" t="s">
        <v>2977</v>
      </c>
      <c r="H799" s="7976" t="s">
        <v>22</v>
      </c>
      <c r="I799" s="7976" t="s">
        <v>971</v>
      </c>
    </row>
    <row customHeight="1" ht="11.25">
      <c r="A800" s="7976" t="s">
        <v>2530</v>
      </c>
      <c r="B800" s="7976" t="s">
        <v>16</v>
      </c>
      <c r="C800" s="7976" t="s">
        <v>2985</v>
      </c>
      <c r="D800" s="7976" t="s">
        <v>2986</v>
      </c>
      <c r="E800" s="7976" t="s">
        <v>2987</v>
      </c>
      <c r="F800" s="7976" t="s">
        <v>2648</v>
      </c>
      <c r="G800" s="7976" t="s">
        <v>2988</v>
      </c>
      <c r="H800" s="7976" t="s">
        <v>22</v>
      </c>
      <c r="I800" s="7976" t="s">
        <v>971</v>
      </c>
    </row>
    <row customHeight="1" ht="11.25">
      <c r="A801" s="7976" t="s">
        <v>2530</v>
      </c>
      <c r="B801" s="7976" t="s">
        <v>16</v>
      </c>
      <c r="C801" s="7976" t="s">
        <v>4090</v>
      </c>
      <c r="D801" s="7976" t="s">
        <v>4091</v>
      </c>
      <c r="E801" s="7976" t="s">
        <v>4092</v>
      </c>
      <c r="F801" s="7976" t="s">
        <v>3056</v>
      </c>
      <c r="G801" s="7976" t="s">
        <v>4093</v>
      </c>
      <c r="H801" s="7976" t="s">
        <v>22</v>
      </c>
      <c r="I801" s="7976" t="s">
        <v>971</v>
      </c>
    </row>
    <row customHeight="1" ht="11.25">
      <c r="A802" s="7976" t="s">
        <v>2530</v>
      </c>
      <c r="B802" s="7976" t="s">
        <v>16</v>
      </c>
      <c r="C802" s="7976" t="s">
        <v>2989</v>
      </c>
      <c r="D802" s="7976" t="s">
        <v>2990</v>
      </c>
      <c r="E802" s="7976" t="s">
        <v>2991</v>
      </c>
      <c r="F802" s="7976" t="s">
        <v>2616</v>
      </c>
      <c r="G802" s="7976" t="s">
        <v>22</v>
      </c>
      <c r="H802" s="7976" t="s">
        <v>22</v>
      </c>
      <c r="I802" s="7976" t="s">
        <v>971</v>
      </c>
    </row>
    <row customHeight="1" ht="11.25">
      <c r="A803" s="7976" t="s">
        <v>2530</v>
      </c>
      <c r="B803" s="7976" t="s">
        <v>16</v>
      </c>
      <c r="C803" s="7976" t="s">
        <v>4094</v>
      </c>
      <c r="D803" s="7976" t="s">
        <v>4095</v>
      </c>
      <c r="E803" s="7976" t="s">
        <v>4096</v>
      </c>
      <c r="F803" s="7976" t="s">
        <v>2907</v>
      </c>
      <c r="G803" s="7976" t="s">
        <v>4097</v>
      </c>
      <c r="H803" s="7976" t="s">
        <v>22</v>
      </c>
      <c r="I803" s="7976" t="s">
        <v>971</v>
      </c>
    </row>
    <row customHeight="1" ht="11.25">
      <c r="A804" s="7976" t="s">
        <v>2530</v>
      </c>
      <c r="B804" s="7976" t="s">
        <v>16</v>
      </c>
      <c r="C804" s="7976" t="s">
        <v>4098</v>
      </c>
      <c r="D804" s="7976" t="s">
        <v>4099</v>
      </c>
      <c r="E804" s="7976" t="s">
        <v>4100</v>
      </c>
      <c r="F804" s="7976" t="s">
        <v>2561</v>
      </c>
      <c r="G804" s="7976" t="s">
        <v>22</v>
      </c>
      <c r="H804" s="7976" t="s">
        <v>22</v>
      </c>
      <c r="I804" s="7976" t="s">
        <v>971</v>
      </c>
    </row>
    <row customHeight="1" ht="11.25">
      <c r="A805" s="7976" t="s">
        <v>2530</v>
      </c>
      <c r="B805" s="7976" t="s">
        <v>16</v>
      </c>
      <c r="C805" s="7976" t="s">
        <v>3005</v>
      </c>
      <c r="D805" s="7976" t="s">
        <v>3006</v>
      </c>
      <c r="E805" s="7976" t="s">
        <v>3007</v>
      </c>
      <c r="F805" s="7976" t="s">
        <v>2757</v>
      </c>
      <c r="G805" s="7976" t="s">
        <v>22</v>
      </c>
      <c r="H805" s="7976" t="s">
        <v>22</v>
      </c>
      <c r="I805" s="7976" t="s">
        <v>971</v>
      </c>
    </row>
    <row customHeight="1" ht="11.25">
      <c r="A806" s="7976" t="s">
        <v>2530</v>
      </c>
      <c r="B806" s="7976" t="s">
        <v>16</v>
      </c>
      <c r="C806" s="7976" t="s">
        <v>3018</v>
      </c>
      <c r="D806" s="7976" t="s">
        <v>3019</v>
      </c>
      <c r="E806" s="7976" t="s">
        <v>3020</v>
      </c>
      <c r="F806" s="7976" t="s">
        <v>2573</v>
      </c>
      <c r="G806" s="7976" t="s">
        <v>22</v>
      </c>
      <c r="H806" s="7976" t="s">
        <v>22</v>
      </c>
      <c r="I806" s="7976" t="s">
        <v>971</v>
      </c>
    </row>
    <row customHeight="1" ht="11.25">
      <c r="A807" s="7976" t="s">
        <v>2530</v>
      </c>
      <c r="B807" s="7976" t="s">
        <v>16</v>
      </c>
      <c r="C807" s="7976" t="s">
        <v>3024</v>
      </c>
      <c r="D807" s="7976" t="s">
        <v>3025</v>
      </c>
      <c r="E807" s="7976" t="s">
        <v>3026</v>
      </c>
      <c r="F807" s="7976" t="s">
        <v>2743</v>
      </c>
      <c r="G807" s="7976" t="s">
        <v>22</v>
      </c>
      <c r="H807" s="7976" t="s">
        <v>22</v>
      </c>
      <c r="I807" s="7976" t="s">
        <v>971</v>
      </c>
    </row>
    <row customHeight="1" ht="11.25">
      <c r="A808" s="7976" t="s">
        <v>2530</v>
      </c>
      <c r="B808" s="7976" t="s">
        <v>16</v>
      </c>
      <c r="C808" s="7976" t="s">
        <v>3027</v>
      </c>
      <c r="D808" s="7976" t="s">
        <v>3028</v>
      </c>
      <c r="E808" s="7976" t="s">
        <v>3029</v>
      </c>
      <c r="F808" s="7976" t="s">
        <v>2907</v>
      </c>
      <c r="G808" s="7976" t="s">
        <v>3030</v>
      </c>
      <c r="H808" s="7976" t="s">
        <v>22</v>
      </c>
      <c r="I808" s="7976" t="s">
        <v>971</v>
      </c>
    </row>
    <row customHeight="1" ht="11.25">
      <c r="A809" s="7976" t="s">
        <v>2530</v>
      </c>
      <c r="B809" s="7976" t="s">
        <v>16</v>
      </c>
      <c r="C809" s="7976" t="s">
        <v>3039</v>
      </c>
      <c r="D809" s="7976" t="s">
        <v>3040</v>
      </c>
      <c r="E809" s="7976" t="s">
        <v>3041</v>
      </c>
      <c r="F809" s="7976" t="s">
        <v>2630</v>
      </c>
      <c r="G809" s="7976" t="s">
        <v>3042</v>
      </c>
      <c r="H809" s="7976" t="s">
        <v>22</v>
      </c>
      <c r="I809" s="7976" t="s">
        <v>971</v>
      </c>
    </row>
    <row customHeight="1" ht="11.25">
      <c r="A810" s="7976" t="s">
        <v>2530</v>
      </c>
      <c r="B810" s="7976" t="s">
        <v>16</v>
      </c>
      <c r="C810" s="7976" t="s">
        <v>3043</v>
      </c>
      <c r="D810" s="7976" t="s">
        <v>3044</v>
      </c>
      <c r="E810" s="7976" t="s">
        <v>3045</v>
      </c>
      <c r="F810" s="7976" t="s">
        <v>2573</v>
      </c>
      <c r="G810" s="7976" t="s">
        <v>22</v>
      </c>
      <c r="H810" s="7976" t="s">
        <v>22</v>
      </c>
      <c r="I810" s="7976" t="s">
        <v>971</v>
      </c>
    </row>
    <row customHeight="1" ht="11.25">
      <c r="A811" s="7976" t="s">
        <v>2530</v>
      </c>
      <c r="B811" s="7976" t="s">
        <v>16</v>
      </c>
      <c r="C811" s="7976" t="s">
        <v>3046</v>
      </c>
      <c r="D811" s="7976" t="s">
        <v>3047</v>
      </c>
      <c r="E811" s="7976" t="s">
        <v>3048</v>
      </c>
      <c r="F811" s="7976" t="s">
        <v>2573</v>
      </c>
      <c r="G811" s="7976" t="s">
        <v>3049</v>
      </c>
      <c r="H811" s="7976" t="s">
        <v>22</v>
      </c>
      <c r="I811" s="7976" t="s">
        <v>971</v>
      </c>
    </row>
    <row customHeight="1" ht="11.25">
      <c r="A812" s="7976" t="s">
        <v>2530</v>
      </c>
      <c r="B812" s="7976" t="s">
        <v>16</v>
      </c>
      <c r="C812" s="7976" t="s">
        <v>3975</v>
      </c>
      <c r="D812" s="7976" t="s">
        <v>3976</v>
      </c>
      <c r="E812" s="7976" t="s">
        <v>3977</v>
      </c>
      <c r="F812" s="7976" t="s">
        <v>3056</v>
      </c>
      <c r="G812" s="7976" t="s">
        <v>3978</v>
      </c>
      <c r="H812" s="7976" t="s">
        <v>22</v>
      </c>
      <c r="I812" s="7976" t="s">
        <v>971</v>
      </c>
    </row>
    <row customHeight="1" ht="11.25">
      <c r="A813" s="7976" t="s">
        <v>2530</v>
      </c>
      <c r="B813" s="7976" t="s">
        <v>16</v>
      </c>
      <c r="C813" s="7976" t="s">
        <v>3057</v>
      </c>
      <c r="D813" s="7976" t="s">
        <v>3058</v>
      </c>
      <c r="E813" s="7976" t="s">
        <v>3059</v>
      </c>
      <c r="F813" s="7976" t="s">
        <v>2648</v>
      </c>
      <c r="G813" s="7976" t="s">
        <v>3060</v>
      </c>
      <c r="H813" s="7976" t="s">
        <v>22</v>
      </c>
      <c r="I813" s="7976" t="s">
        <v>971</v>
      </c>
    </row>
    <row customHeight="1" ht="11.25">
      <c r="A814" s="7976" t="s">
        <v>2530</v>
      </c>
      <c r="B814" s="7976" t="s">
        <v>16</v>
      </c>
      <c r="C814" s="7976" t="s">
        <v>3061</v>
      </c>
      <c r="D814" s="7976" t="s">
        <v>3062</v>
      </c>
      <c r="E814" s="7976" t="s">
        <v>3063</v>
      </c>
      <c r="F814" s="7976" t="s">
        <v>2539</v>
      </c>
      <c r="G814" s="7976" t="s">
        <v>3064</v>
      </c>
      <c r="H814" s="7976" t="s">
        <v>22</v>
      </c>
      <c r="I814" s="7976" t="s">
        <v>971</v>
      </c>
    </row>
    <row customHeight="1" ht="11.25">
      <c r="A815" s="7976" t="s">
        <v>2530</v>
      </c>
      <c r="B815" s="7976" t="s">
        <v>16</v>
      </c>
      <c r="C815" s="7976" t="s">
        <v>3068</v>
      </c>
      <c r="D815" s="7976" t="s">
        <v>3069</v>
      </c>
      <c r="E815" s="7976" t="s">
        <v>3070</v>
      </c>
      <c r="F815" s="7976" t="s">
        <v>2636</v>
      </c>
      <c r="G815" s="7976" t="s">
        <v>3071</v>
      </c>
      <c r="H815" s="7976" t="s">
        <v>22</v>
      </c>
      <c r="I815" s="7976" t="s">
        <v>971</v>
      </c>
    </row>
    <row customHeight="1" ht="11.25">
      <c r="A816" s="7976" t="s">
        <v>2530</v>
      </c>
      <c r="B816" s="7976" t="s">
        <v>16</v>
      </c>
      <c r="C816" s="7976" t="s">
        <v>3072</v>
      </c>
      <c r="D816" s="7976" t="s">
        <v>3073</v>
      </c>
      <c r="E816" s="7976" t="s">
        <v>3074</v>
      </c>
      <c r="F816" s="7976" t="s">
        <v>2743</v>
      </c>
      <c r="G816" s="7976" t="s">
        <v>22</v>
      </c>
      <c r="H816" s="7976" t="s">
        <v>22</v>
      </c>
      <c r="I816" s="7976" t="s">
        <v>971</v>
      </c>
    </row>
    <row customHeight="1" ht="11.25">
      <c r="A817" s="7976" t="s">
        <v>2530</v>
      </c>
      <c r="B817" s="7976" t="s">
        <v>16</v>
      </c>
      <c r="C817" s="7976" t="s">
        <v>3979</v>
      </c>
      <c r="D817" s="7976" t="s">
        <v>3980</v>
      </c>
      <c r="E817" s="7976" t="s">
        <v>3981</v>
      </c>
      <c r="F817" s="7976" t="s">
        <v>2743</v>
      </c>
      <c r="G817" s="7976" t="s">
        <v>3982</v>
      </c>
      <c r="H817" s="7976" t="s">
        <v>22</v>
      </c>
      <c r="I817" s="7976" t="s">
        <v>971</v>
      </c>
    </row>
    <row customHeight="1" ht="11.25">
      <c r="A818" s="7976" t="s">
        <v>2530</v>
      </c>
      <c r="B818" s="7976" t="s">
        <v>16</v>
      </c>
      <c r="C818" s="7976" t="s">
        <v>3075</v>
      </c>
      <c r="D818" s="7976" t="s">
        <v>3076</v>
      </c>
      <c r="E818" s="7976" t="s">
        <v>3077</v>
      </c>
      <c r="F818" s="7976" t="s">
        <v>2573</v>
      </c>
      <c r="G818" s="7976" t="s">
        <v>3078</v>
      </c>
      <c r="H818" s="7976" t="s">
        <v>22</v>
      </c>
      <c r="I818" s="7976" t="s">
        <v>971</v>
      </c>
    </row>
    <row customHeight="1" ht="11.25">
      <c r="A819" s="7976" t="s">
        <v>2530</v>
      </c>
      <c r="B819" s="7976" t="s">
        <v>16</v>
      </c>
      <c r="C819" s="7976" t="s">
        <v>3088</v>
      </c>
      <c r="D819" s="7976" t="s">
        <v>3089</v>
      </c>
      <c r="E819" s="7976" t="s">
        <v>3090</v>
      </c>
      <c r="F819" s="7976" t="s">
        <v>3091</v>
      </c>
      <c r="G819" s="7976" t="s">
        <v>3092</v>
      </c>
      <c r="H819" s="7976" t="s">
        <v>22</v>
      </c>
      <c r="I819" s="7976" t="s">
        <v>971</v>
      </c>
    </row>
    <row customHeight="1" ht="11.25">
      <c r="A820" s="7976" t="s">
        <v>2530</v>
      </c>
      <c r="B820" s="7976" t="s">
        <v>16</v>
      </c>
      <c r="C820" s="7976" t="s">
        <v>3097</v>
      </c>
      <c r="D820" s="7976" t="s">
        <v>3098</v>
      </c>
      <c r="E820" s="7976" t="s">
        <v>3099</v>
      </c>
      <c r="F820" s="7976" t="s">
        <v>2561</v>
      </c>
      <c r="G820" s="7976" t="s">
        <v>3100</v>
      </c>
      <c r="H820" s="7976" t="s">
        <v>22</v>
      </c>
      <c r="I820" s="7976" t="s">
        <v>971</v>
      </c>
    </row>
    <row customHeight="1" ht="11.25">
      <c r="A821" s="7976" t="s">
        <v>2530</v>
      </c>
      <c r="B821" s="7976" t="s">
        <v>16</v>
      </c>
      <c r="C821" s="7976" t="s">
        <v>3101</v>
      </c>
      <c r="D821" s="7976" t="s">
        <v>3102</v>
      </c>
      <c r="E821" s="7976" t="s">
        <v>3103</v>
      </c>
      <c r="F821" s="7976" t="s">
        <v>2907</v>
      </c>
      <c r="G821" s="7976" t="s">
        <v>3104</v>
      </c>
      <c r="H821" s="7976" t="s">
        <v>22</v>
      </c>
      <c r="I821" s="7976" t="s">
        <v>971</v>
      </c>
    </row>
    <row customHeight="1" ht="11.25">
      <c r="A822" s="7976" t="s">
        <v>2530</v>
      </c>
      <c r="B822" s="7976" t="s">
        <v>16</v>
      </c>
      <c r="C822" s="7976" t="s">
        <v>4101</v>
      </c>
      <c r="D822" s="7976" t="s">
        <v>4102</v>
      </c>
      <c r="E822" s="7976" t="s">
        <v>4103</v>
      </c>
      <c r="F822" s="7976" t="s">
        <v>2954</v>
      </c>
      <c r="G822" s="7976" t="s">
        <v>22</v>
      </c>
      <c r="H822" s="7976" t="s">
        <v>22</v>
      </c>
      <c r="I822" s="7976" t="s">
        <v>971</v>
      </c>
    </row>
    <row customHeight="1" ht="11.25">
      <c r="A823" s="7976" t="s">
        <v>2530</v>
      </c>
      <c r="B823" s="7976" t="s">
        <v>16</v>
      </c>
      <c r="C823" s="7976" t="s">
        <v>3109</v>
      </c>
      <c r="D823" s="7976" t="s">
        <v>3110</v>
      </c>
      <c r="E823" s="7976" t="s">
        <v>3111</v>
      </c>
      <c r="F823" s="7976" t="s">
        <v>2573</v>
      </c>
      <c r="G823" s="7976" t="s">
        <v>22</v>
      </c>
      <c r="H823" s="7976" t="s">
        <v>22</v>
      </c>
      <c r="I823" s="7976" t="s">
        <v>971</v>
      </c>
    </row>
    <row customHeight="1" ht="11.25">
      <c r="A824" s="7976" t="s">
        <v>2530</v>
      </c>
      <c r="B824" s="7976" t="s">
        <v>16</v>
      </c>
      <c r="C824" s="7976" t="s">
        <v>3116</v>
      </c>
      <c r="D824" s="7976" t="s">
        <v>3117</v>
      </c>
      <c r="E824" s="7976" t="s">
        <v>3118</v>
      </c>
      <c r="F824" s="7976" t="s">
        <v>2573</v>
      </c>
      <c r="G824" s="7976" t="s">
        <v>3119</v>
      </c>
      <c r="H824" s="7976" t="s">
        <v>22</v>
      </c>
      <c r="I824" s="7976" t="s">
        <v>971</v>
      </c>
    </row>
    <row customHeight="1" ht="11.25">
      <c r="A825" s="7976" t="s">
        <v>2530</v>
      </c>
      <c r="B825" s="7976" t="s">
        <v>16</v>
      </c>
      <c r="C825" s="7976" t="s">
        <v>3986</v>
      </c>
      <c r="D825" s="7976" t="s">
        <v>3987</v>
      </c>
      <c r="E825" s="7976" t="s">
        <v>3988</v>
      </c>
      <c r="F825" s="7976" t="s">
        <v>3056</v>
      </c>
      <c r="G825" s="7976" t="s">
        <v>3989</v>
      </c>
      <c r="H825" s="7976" t="s">
        <v>22</v>
      </c>
      <c r="I825" s="7976" t="s">
        <v>971</v>
      </c>
    </row>
    <row customHeight="1" ht="11.25">
      <c r="A826" s="7976" t="s">
        <v>2530</v>
      </c>
      <c r="B826" s="7976" t="s">
        <v>16</v>
      </c>
      <c r="C826" s="7976" t="s">
        <v>3128</v>
      </c>
      <c r="D826" s="7976" t="s">
        <v>3129</v>
      </c>
      <c r="E826" s="7976" t="s">
        <v>3130</v>
      </c>
      <c r="F826" s="7976" t="s">
        <v>3131</v>
      </c>
      <c r="G826" s="7976" t="s">
        <v>3132</v>
      </c>
      <c r="H826" s="7976" t="s">
        <v>22</v>
      </c>
      <c r="I826" s="7976" t="s">
        <v>971</v>
      </c>
    </row>
    <row customHeight="1" ht="11.25">
      <c r="A827" s="7976" t="s">
        <v>2530</v>
      </c>
      <c r="B827" s="7976" t="s">
        <v>16</v>
      </c>
      <c r="C827" s="7976" t="s">
        <v>3137</v>
      </c>
      <c r="D827" s="7976" t="s">
        <v>3138</v>
      </c>
      <c r="E827" s="7976" t="s">
        <v>3139</v>
      </c>
      <c r="F827" s="7976" t="s">
        <v>2630</v>
      </c>
      <c r="G827" s="7976" t="s">
        <v>22</v>
      </c>
      <c r="H827" s="7976" t="s">
        <v>22</v>
      </c>
      <c r="I827" s="7976" t="s">
        <v>971</v>
      </c>
    </row>
    <row customHeight="1" ht="11.25">
      <c r="A828" s="7976" t="s">
        <v>2530</v>
      </c>
      <c r="B828" s="7976" t="s">
        <v>16</v>
      </c>
      <c r="C828" s="7976" t="s">
        <v>3152</v>
      </c>
      <c r="D828" s="7976" t="s">
        <v>3153</v>
      </c>
      <c r="E828" s="7976" t="s">
        <v>3154</v>
      </c>
      <c r="F828" s="7976" t="s">
        <v>2954</v>
      </c>
      <c r="G828" s="7976" t="s">
        <v>22</v>
      </c>
      <c r="H828" s="7976" t="s">
        <v>22</v>
      </c>
      <c r="I828" s="7976" t="s">
        <v>971</v>
      </c>
    </row>
    <row customHeight="1" ht="11.25">
      <c r="A829" s="7976" t="s">
        <v>2530</v>
      </c>
      <c r="B829" s="7976" t="s">
        <v>16</v>
      </c>
      <c r="C829" s="7976" t="s">
        <v>3155</v>
      </c>
      <c r="D829" s="7976" t="s">
        <v>3156</v>
      </c>
      <c r="E829" s="7976" t="s">
        <v>3157</v>
      </c>
      <c r="F829" s="7976" t="s">
        <v>2907</v>
      </c>
      <c r="G829" s="7976" t="s">
        <v>2908</v>
      </c>
      <c r="H829" s="7976" t="s">
        <v>22</v>
      </c>
      <c r="I829" s="7976" t="s">
        <v>971</v>
      </c>
    </row>
    <row customHeight="1" ht="11.25">
      <c r="A830" s="7976" t="s">
        <v>2530</v>
      </c>
      <c r="B830" s="7976" t="s">
        <v>16</v>
      </c>
      <c r="C830" s="7976" t="s">
        <v>3158</v>
      </c>
      <c r="D830" s="7976" t="s">
        <v>3159</v>
      </c>
      <c r="E830" s="7976" t="s">
        <v>3160</v>
      </c>
      <c r="F830" s="7976" t="s">
        <v>2652</v>
      </c>
      <c r="G830" s="7976" t="s">
        <v>3161</v>
      </c>
      <c r="H830" s="7976" t="s">
        <v>22</v>
      </c>
      <c r="I830" s="7976" t="s">
        <v>971</v>
      </c>
    </row>
    <row customHeight="1" ht="11.25">
      <c r="A831" s="7976" t="s">
        <v>2530</v>
      </c>
      <c r="B831" s="7976" t="s">
        <v>16</v>
      </c>
      <c r="C831" s="7976" t="s">
        <v>3162</v>
      </c>
      <c r="D831" s="7976" t="s">
        <v>3163</v>
      </c>
      <c r="E831" s="7976" t="s">
        <v>3164</v>
      </c>
      <c r="F831" s="7976" t="s">
        <v>2561</v>
      </c>
      <c r="G831" s="7976" t="s">
        <v>22</v>
      </c>
      <c r="H831" s="7976" t="s">
        <v>22</v>
      </c>
      <c r="I831" s="7976" t="s">
        <v>971</v>
      </c>
    </row>
    <row customHeight="1" ht="11.25">
      <c r="A832" s="7976" t="s">
        <v>2530</v>
      </c>
      <c r="B832" s="7976" t="s">
        <v>16</v>
      </c>
      <c r="C832" s="7976" t="s">
        <v>3172</v>
      </c>
      <c r="D832" s="7976" t="s">
        <v>3173</v>
      </c>
      <c r="E832" s="7976" t="s">
        <v>3174</v>
      </c>
      <c r="F832" s="7976" t="s">
        <v>2907</v>
      </c>
      <c r="G832" s="7976" t="s">
        <v>3175</v>
      </c>
      <c r="H832" s="7976" t="s">
        <v>22</v>
      </c>
      <c r="I832" s="7976" t="s">
        <v>971</v>
      </c>
    </row>
    <row customHeight="1" ht="11.25">
      <c r="A833" s="7976" t="s">
        <v>2530</v>
      </c>
      <c r="B833" s="7976" t="s">
        <v>16</v>
      </c>
      <c r="C833" s="7976" t="s">
        <v>4104</v>
      </c>
      <c r="D833" s="7976" t="s">
        <v>4105</v>
      </c>
      <c r="E833" s="7976" t="s">
        <v>4106</v>
      </c>
      <c r="F833" s="7976" t="s">
        <v>2636</v>
      </c>
      <c r="G833" s="7976" t="s">
        <v>4107</v>
      </c>
      <c r="H833" s="7976" t="s">
        <v>22</v>
      </c>
      <c r="I833" s="7976" t="s">
        <v>971</v>
      </c>
    </row>
    <row customHeight="1" ht="11.25">
      <c r="A834" s="7976" t="s">
        <v>2530</v>
      </c>
      <c r="B834" s="7976" t="s">
        <v>16</v>
      </c>
      <c r="C834" s="7976" t="s">
        <v>4005</v>
      </c>
      <c r="D834" s="7976" t="s">
        <v>4006</v>
      </c>
      <c r="E834" s="7976" t="s">
        <v>4007</v>
      </c>
      <c r="F834" s="7976" t="s">
        <v>2743</v>
      </c>
      <c r="G834" s="7976" t="s">
        <v>22</v>
      </c>
      <c r="H834" s="7976" t="s">
        <v>4008</v>
      </c>
      <c r="I834" s="7976" t="s">
        <v>971</v>
      </c>
    </row>
    <row customHeight="1" ht="11.25">
      <c r="A835" s="7976" t="s">
        <v>2530</v>
      </c>
      <c r="B835" s="7976" t="s">
        <v>16</v>
      </c>
      <c r="C835" s="7976" t="s">
        <v>4108</v>
      </c>
      <c r="D835" s="7976" t="s">
        <v>4109</v>
      </c>
      <c r="E835" s="7976" t="s">
        <v>4110</v>
      </c>
      <c r="F835" s="7976" t="s">
        <v>2611</v>
      </c>
      <c r="G835" s="7976" t="s">
        <v>22</v>
      </c>
      <c r="H835" s="7976" t="s">
        <v>4111</v>
      </c>
      <c r="I835" s="7976" t="s">
        <v>971</v>
      </c>
    </row>
    <row customHeight="1" ht="11.25">
      <c r="A836" s="7976" t="s">
        <v>2530</v>
      </c>
      <c r="B836" s="7976" t="s">
        <v>16</v>
      </c>
      <c r="C836" s="7976" t="s">
        <v>3176</v>
      </c>
      <c r="D836" s="7976" t="s">
        <v>3177</v>
      </c>
      <c r="E836" s="7976" t="s">
        <v>3178</v>
      </c>
      <c r="F836" s="7976" t="s">
        <v>2573</v>
      </c>
      <c r="G836" s="7976" t="s">
        <v>22</v>
      </c>
      <c r="H836" s="7976" t="s">
        <v>22</v>
      </c>
      <c r="I836" s="7976" t="s">
        <v>971</v>
      </c>
    </row>
    <row customHeight="1" ht="11.25">
      <c r="A837" s="7976" t="s">
        <v>2530</v>
      </c>
      <c r="B837" s="7976" t="s">
        <v>16</v>
      </c>
      <c r="C837" s="7976" t="s">
        <v>3182</v>
      </c>
      <c r="D837" s="7976" t="s">
        <v>3183</v>
      </c>
      <c r="E837" s="7976" t="s">
        <v>3184</v>
      </c>
      <c r="F837" s="7976" t="s">
        <v>2802</v>
      </c>
      <c r="G837" s="7976" t="s">
        <v>3185</v>
      </c>
      <c r="H837" s="7976" t="s">
        <v>22</v>
      </c>
      <c r="I837" s="7976" t="s">
        <v>971</v>
      </c>
    </row>
    <row customHeight="1" ht="11.25">
      <c r="A838" s="7976" t="s">
        <v>2530</v>
      </c>
      <c r="B838" s="7976" t="s">
        <v>16</v>
      </c>
      <c r="C838" s="7976" t="s">
        <v>3186</v>
      </c>
      <c r="D838" s="7976" t="s">
        <v>3187</v>
      </c>
      <c r="E838" s="7976" t="s">
        <v>3188</v>
      </c>
      <c r="F838" s="7976" t="s">
        <v>2573</v>
      </c>
      <c r="G838" s="7976" t="s">
        <v>22</v>
      </c>
      <c r="H838" s="7976" t="s">
        <v>22</v>
      </c>
      <c r="I838" s="7976" t="s">
        <v>971</v>
      </c>
    </row>
    <row customHeight="1" ht="11.25">
      <c r="A839" s="7976" t="s">
        <v>2530</v>
      </c>
      <c r="B839" s="7976" t="s">
        <v>16</v>
      </c>
      <c r="C839" s="7976" t="s">
        <v>4012</v>
      </c>
      <c r="D839" s="7976" t="s">
        <v>4013</v>
      </c>
      <c r="E839" s="7976" t="s">
        <v>4014</v>
      </c>
      <c r="F839" s="7976" t="s">
        <v>2907</v>
      </c>
      <c r="G839" s="7976" t="s">
        <v>4015</v>
      </c>
      <c r="H839" s="7976" t="s">
        <v>22</v>
      </c>
      <c r="I839" s="7976" t="s">
        <v>971</v>
      </c>
    </row>
    <row customHeight="1" ht="11.25">
      <c r="A840" s="7976" t="s">
        <v>2530</v>
      </c>
      <c r="B840" s="7976" t="s">
        <v>16</v>
      </c>
      <c r="C840" s="7976" t="s">
        <v>3189</v>
      </c>
      <c r="D840" s="7976" t="s">
        <v>3190</v>
      </c>
      <c r="E840" s="7976" t="s">
        <v>3191</v>
      </c>
      <c r="F840" s="7976" t="s">
        <v>2561</v>
      </c>
      <c r="G840" s="7976" t="s">
        <v>3192</v>
      </c>
      <c r="H840" s="7976" t="s">
        <v>22</v>
      </c>
      <c r="I840" s="7976" t="s">
        <v>971</v>
      </c>
    </row>
    <row customHeight="1" ht="11.25">
      <c r="A841" s="7976" t="s">
        <v>2530</v>
      </c>
      <c r="B841" s="7976" t="s">
        <v>16</v>
      </c>
      <c r="C841" s="7976" t="s">
        <v>3196</v>
      </c>
      <c r="D841" s="7976" t="s">
        <v>3197</v>
      </c>
      <c r="E841" s="7976" t="s">
        <v>3198</v>
      </c>
      <c r="F841" s="7976" t="s">
        <v>2907</v>
      </c>
      <c r="G841" s="7976" t="s">
        <v>22</v>
      </c>
      <c r="H841" s="7976" t="s">
        <v>22</v>
      </c>
      <c r="I841" s="7976" t="s">
        <v>971</v>
      </c>
    </row>
    <row customHeight="1" ht="11.25">
      <c r="A842" s="7976" t="s">
        <v>2530</v>
      </c>
      <c r="B842" s="7976" t="s">
        <v>16</v>
      </c>
      <c r="C842" s="7976" t="s">
        <v>3199</v>
      </c>
      <c r="D842" s="7976" t="s">
        <v>3200</v>
      </c>
      <c r="E842" s="7976" t="s">
        <v>3201</v>
      </c>
      <c r="F842" s="7976" t="s">
        <v>2907</v>
      </c>
      <c r="G842" s="7976" t="s">
        <v>3030</v>
      </c>
      <c r="H842" s="7976" t="s">
        <v>22</v>
      </c>
      <c r="I842" s="7976" t="s">
        <v>971</v>
      </c>
    </row>
    <row customHeight="1" ht="11.25">
      <c r="A843" s="7976" t="s">
        <v>2530</v>
      </c>
      <c r="B843" s="7976" t="s">
        <v>16</v>
      </c>
      <c r="C843" s="7976" t="s">
        <v>3202</v>
      </c>
      <c r="D843" s="7976" t="s">
        <v>3203</v>
      </c>
      <c r="E843" s="7976" t="s">
        <v>3204</v>
      </c>
      <c r="F843" s="7976" t="s">
        <v>3205</v>
      </c>
      <c r="G843" s="7976" t="s">
        <v>3206</v>
      </c>
      <c r="H843" s="7976" t="s">
        <v>22</v>
      </c>
      <c r="I843" s="7976" t="s">
        <v>971</v>
      </c>
    </row>
    <row customHeight="1" ht="11.25">
      <c r="A844" s="7976" t="s">
        <v>2530</v>
      </c>
      <c r="B844" s="7976" t="s">
        <v>16</v>
      </c>
      <c r="C844" s="7976" t="s">
        <v>3207</v>
      </c>
      <c r="D844" s="7976" t="s">
        <v>3208</v>
      </c>
      <c r="E844" s="7976" t="s">
        <v>3209</v>
      </c>
      <c r="F844" s="7976" t="s">
        <v>2551</v>
      </c>
      <c r="G844" s="7976" t="s">
        <v>3210</v>
      </c>
      <c r="H844" s="7976" t="s">
        <v>22</v>
      </c>
      <c r="I844" s="7976" t="s">
        <v>971</v>
      </c>
    </row>
    <row customHeight="1" ht="11.25">
      <c r="A845" s="7976" t="s">
        <v>2530</v>
      </c>
      <c r="B845" s="7976" t="s">
        <v>16</v>
      </c>
      <c r="C845" s="7976" t="s">
        <v>3211</v>
      </c>
      <c r="D845" s="7976" t="s">
        <v>3212</v>
      </c>
      <c r="E845" s="7976" t="s">
        <v>3213</v>
      </c>
      <c r="F845" s="7976" t="s">
        <v>2907</v>
      </c>
      <c r="G845" s="7976" t="s">
        <v>22</v>
      </c>
      <c r="H845" s="7976" t="s">
        <v>22</v>
      </c>
      <c r="I845" s="7976" t="s">
        <v>971</v>
      </c>
    </row>
    <row customHeight="1" ht="11.25">
      <c r="A846" s="7976" t="s">
        <v>2530</v>
      </c>
      <c r="B846" s="7976" t="s">
        <v>16</v>
      </c>
      <c r="C846" s="7976" t="s">
        <v>3214</v>
      </c>
      <c r="D846" s="7976" t="s">
        <v>3215</v>
      </c>
      <c r="E846" s="7976" t="s">
        <v>3216</v>
      </c>
      <c r="F846" s="7976" t="s">
        <v>2907</v>
      </c>
      <c r="G846" s="7976" t="s">
        <v>3030</v>
      </c>
      <c r="H846" s="7976" t="s">
        <v>22</v>
      </c>
      <c r="I846" s="7976" t="s">
        <v>971</v>
      </c>
    </row>
    <row customHeight="1" ht="11.25">
      <c r="A847" s="7976" t="s">
        <v>2530</v>
      </c>
      <c r="B847" s="7976" t="s">
        <v>16</v>
      </c>
      <c r="C847" s="7976" t="s">
        <v>3224</v>
      </c>
      <c r="D847" s="7976" t="s">
        <v>3225</v>
      </c>
      <c r="E847" s="7976" t="s">
        <v>3226</v>
      </c>
      <c r="F847" s="7976" t="s">
        <v>2561</v>
      </c>
      <c r="G847" s="7976" t="s">
        <v>22</v>
      </c>
      <c r="H847" s="7976" t="s">
        <v>3227</v>
      </c>
      <c r="I847" s="7976" t="s">
        <v>971</v>
      </c>
    </row>
    <row customHeight="1" ht="11.25">
      <c r="A848" s="7976" t="s">
        <v>2530</v>
      </c>
      <c r="B848" s="7976" t="s">
        <v>16</v>
      </c>
      <c r="C848" s="7976" t="s">
        <v>4112</v>
      </c>
      <c r="D848" s="7976" t="s">
        <v>4113</v>
      </c>
      <c r="E848" s="7976" t="s">
        <v>4114</v>
      </c>
      <c r="F848" s="7976" t="s">
        <v>2743</v>
      </c>
      <c r="G848" s="7976" t="s">
        <v>22</v>
      </c>
      <c r="H848" s="7976" t="s">
        <v>22</v>
      </c>
      <c r="I848" s="7976" t="s">
        <v>971</v>
      </c>
    </row>
    <row customHeight="1" ht="11.25">
      <c r="A849" s="7976" t="s">
        <v>2530</v>
      </c>
      <c r="B849" s="7976" t="s">
        <v>16</v>
      </c>
      <c r="C849" s="7976" t="s">
        <v>3235</v>
      </c>
      <c r="D849" s="7976" t="s">
        <v>3236</v>
      </c>
      <c r="E849" s="7976" t="s">
        <v>3237</v>
      </c>
      <c r="F849" s="7976" t="s">
        <v>2802</v>
      </c>
      <c r="G849" s="7976" t="s">
        <v>22</v>
      </c>
      <c r="H849" s="7976" t="s">
        <v>3238</v>
      </c>
      <c r="I849" s="7976" t="s">
        <v>971</v>
      </c>
    </row>
    <row customHeight="1" ht="11.25">
      <c r="A850" s="7976" t="s">
        <v>2530</v>
      </c>
      <c r="B850" s="7976" t="s">
        <v>16</v>
      </c>
      <c r="C850" s="7976" t="s">
        <v>3260</v>
      </c>
      <c r="D850" s="7976" t="s">
        <v>3261</v>
      </c>
      <c r="E850" s="7976" t="s">
        <v>3262</v>
      </c>
      <c r="F850" s="7976" t="s">
        <v>2561</v>
      </c>
      <c r="G850" s="7976" t="s">
        <v>3263</v>
      </c>
      <c r="H850" s="7976" t="s">
        <v>22</v>
      </c>
      <c r="I850" s="7976" t="s">
        <v>971</v>
      </c>
    </row>
    <row customHeight="1" ht="11.25">
      <c r="A851" s="7976" t="s">
        <v>2530</v>
      </c>
      <c r="B851" s="7976" t="s">
        <v>16</v>
      </c>
      <c r="C851" s="7976" t="s">
        <v>3264</v>
      </c>
      <c r="D851" s="7976" t="s">
        <v>3265</v>
      </c>
      <c r="E851" s="7976" t="s">
        <v>3266</v>
      </c>
      <c r="F851" s="7976" t="s">
        <v>2597</v>
      </c>
      <c r="G851" s="7976" t="s">
        <v>22</v>
      </c>
      <c r="H851" s="7976" t="s">
        <v>3267</v>
      </c>
      <c r="I851" s="7976" t="s">
        <v>971</v>
      </c>
    </row>
    <row customHeight="1" ht="11.25">
      <c r="A852" s="7976" t="s">
        <v>2530</v>
      </c>
      <c r="B852" s="7976" t="s">
        <v>16</v>
      </c>
      <c r="C852" s="7976" t="s">
        <v>4115</v>
      </c>
      <c r="D852" s="7976" t="s">
        <v>4116</v>
      </c>
      <c r="E852" s="7976" t="s">
        <v>4117</v>
      </c>
      <c r="F852" s="7976" t="s">
        <v>2907</v>
      </c>
      <c r="G852" s="7976" t="s">
        <v>4118</v>
      </c>
      <c r="H852" s="7976" t="s">
        <v>22</v>
      </c>
      <c r="I852" s="7976" t="s">
        <v>971</v>
      </c>
    </row>
    <row customHeight="1" ht="11.25">
      <c r="A853" s="7976" t="s">
        <v>2530</v>
      </c>
      <c r="B853" s="7976" t="s">
        <v>16</v>
      </c>
      <c r="C853" s="7976" t="s">
        <v>4119</v>
      </c>
      <c r="D853" s="7976" t="s">
        <v>4120</v>
      </c>
      <c r="E853" s="7976" t="s">
        <v>4121</v>
      </c>
      <c r="F853" s="7976" t="s">
        <v>2611</v>
      </c>
      <c r="G853" s="7976" t="s">
        <v>4122</v>
      </c>
      <c r="H853" s="7976" t="s">
        <v>22</v>
      </c>
      <c r="I853" s="7976" t="s">
        <v>971</v>
      </c>
    </row>
    <row customHeight="1" ht="11.25">
      <c r="A854" s="7976" t="s">
        <v>2530</v>
      </c>
      <c r="B854" s="7976" t="s">
        <v>16</v>
      </c>
      <c r="C854" s="7976" t="s">
        <v>4020</v>
      </c>
      <c r="D854" s="7976" t="s">
        <v>4021</v>
      </c>
      <c r="E854" s="7976" t="s">
        <v>4022</v>
      </c>
      <c r="F854" s="7976" t="s">
        <v>3056</v>
      </c>
      <c r="G854" s="7976" t="s">
        <v>22</v>
      </c>
      <c r="H854" s="7976" t="s">
        <v>22</v>
      </c>
      <c r="I854" s="7976" t="s">
        <v>971</v>
      </c>
    </row>
    <row customHeight="1" ht="11.25">
      <c r="A855" s="7976" t="s">
        <v>2530</v>
      </c>
      <c r="B855" s="7976" t="s">
        <v>16</v>
      </c>
      <c r="C855" s="7976" t="s">
        <v>3306</v>
      </c>
      <c r="D855" s="7976" t="s">
        <v>3307</v>
      </c>
      <c r="E855" s="7976" t="s">
        <v>3308</v>
      </c>
      <c r="F855" s="7976" t="s">
        <v>2907</v>
      </c>
      <c r="G855" s="7976" t="s">
        <v>3309</v>
      </c>
      <c r="H855" s="7976" t="s">
        <v>22</v>
      </c>
      <c r="I855" s="7976" t="s">
        <v>971</v>
      </c>
    </row>
    <row customHeight="1" ht="11.25">
      <c r="A856" s="7976" t="s">
        <v>2530</v>
      </c>
      <c r="B856" s="7976" t="s">
        <v>16</v>
      </c>
      <c r="C856" s="7976" t="s">
        <v>3310</v>
      </c>
      <c r="D856" s="7976" t="s">
        <v>3311</v>
      </c>
      <c r="E856" s="7976" t="s">
        <v>3312</v>
      </c>
      <c r="F856" s="7976" t="s">
        <v>2907</v>
      </c>
      <c r="G856" s="7976" t="s">
        <v>3309</v>
      </c>
      <c r="H856" s="7976" t="s">
        <v>22</v>
      </c>
      <c r="I856" s="7976" t="s">
        <v>971</v>
      </c>
    </row>
    <row customHeight="1" ht="11.25">
      <c r="A857" s="7976" t="s">
        <v>2530</v>
      </c>
      <c r="B857" s="7976" t="s">
        <v>16</v>
      </c>
      <c r="C857" s="7976" t="s">
        <v>3313</v>
      </c>
      <c r="D857" s="7976" t="s">
        <v>3314</v>
      </c>
      <c r="E857" s="7976" t="s">
        <v>3315</v>
      </c>
      <c r="F857" s="7976" t="s">
        <v>2907</v>
      </c>
      <c r="G857" s="7976" t="s">
        <v>3305</v>
      </c>
      <c r="H857" s="7976" t="s">
        <v>22</v>
      </c>
      <c r="I857" s="7976" t="s">
        <v>971</v>
      </c>
    </row>
    <row customHeight="1" ht="11.25">
      <c r="A858" s="7976" t="s">
        <v>2530</v>
      </c>
      <c r="B858" s="7976" t="s">
        <v>16</v>
      </c>
      <c r="C858" s="7976" t="s">
        <v>3328</v>
      </c>
      <c r="D858" s="7976" t="s">
        <v>3329</v>
      </c>
      <c r="E858" s="7976" t="s">
        <v>3330</v>
      </c>
      <c r="F858" s="7976" t="s">
        <v>2561</v>
      </c>
      <c r="G858" s="7976" t="s">
        <v>22</v>
      </c>
      <c r="H858" s="7976" t="s">
        <v>22</v>
      </c>
      <c r="I858" s="7976" t="s">
        <v>971</v>
      </c>
    </row>
    <row customHeight="1" ht="11.25">
      <c r="A859" s="7976" t="s">
        <v>2530</v>
      </c>
      <c r="B859" s="7976" t="s">
        <v>16</v>
      </c>
      <c r="C859" s="7976" t="s">
        <v>3334</v>
      </c>
      <c r="D859" s="7976" t="s">
        <v>3335</v>
      </c>
      <c r="E859" s="7976" t="s">
        <v>3336</v>
      </c>
      <c r="F859" s="7976" t="s">
        <v>2561</v>
      </c>
      <c r="G859" s="7976" t="s">
        <v>3337</v>
      </c>
      <c r="H859" s="7976" t="s">
        <v>22</v>
      </c>
      <c r="I859" s="7976" t="s">
        <v>971</v>
      </c>
    </row>
    <row customHeight="1" ht="11.25">
      <c r="A860" s="7976" t="s">
        <v>2530</v>
      </c>
      <c r="B860" s="7976" t="s">
        <v>16</v>
      </c>
      <c r="C860" s="7976" t="s">
        <v>3342</v>
      </c>
      <c r="D860" s="7976" t="s">
        <v>3343</v>
      </c>
      <c r="E860" s="7976" t="s">
        <v>3344</v>
      </c>
      <c r="F860" s="7976" t="s">
        <v>2561</v>
      </c>
      <c r="G860" s="7976" t="s">
        <v>22</v>
      </c>
      <c r="H860" s="7976" t="s">
        <v>22</v>
      </c>
      <c r="I860" s="7976" t="s">
        <v>971</v>
      </c>
    </row>
    <row customHeight="1" ht="11.25">
      <c r="A861" s="7976" t="s">
        <v>2530</v>
      </c>
      <c r="B861" s="7976" t="s">
        <v>16</v>
      </c>
      <c r="C861" s="7976" t="s">
        <v>3345</v>
      </c>
      <c r="D861" s="7976" t="s">
        <v>3346</v>
      </c>
      <c r="E861" s="7976" t="s">
        <v>3347</v>
      </c>
      <c r="F861" s="7976" t="s">
        <v>2602</v>
      </c>
      <c r="G861" s="7976" t="s">
        <v>3348</v>
      </c>
      <c r="H861" s="7976" t="s">
        <v>22</v>
      </c>
      <c r="I861" s="7976" t="s">
        <v>971</v>
      </c>
    </row>
    <row customHeight="1" ht="11.25">
      <c r="A862" s="7976" t="s">
        <v>2530</v>
      </c>
      <c r="B862" s="7976" t="s">
        <v>16</v>
      </c>
      <c r="C862" s="7976" t="s">
        <v>3349</v>
      </c>
      <c r="D862" s="7976" t="s">
        <v>3350</v>
      </c>
      <c r="E862" s="7976" t="s">
        <v>3351</v>
      </c>
      <c r="F862" s="7976" t="s">
        <v>3056</v>
      </c>
      <c r="G862" s="7976" t="s">
        <v>3352</v>
      </c>
      <c r="H862" s="7976" t="s">
        <v>22</v>
      </c>
      <c r="I862" s="7976" t="s">
        <v>971</v>
      </c>
    </row>
    <row customHeight="1" ht="11.25">
      <c r="A863" s="7976" t="s">
        <v>2530</v>
      </c>
      <c r="B863" s="7976" t="s">
        <v>16</v>
      </c>
      <c r="C863" s="7976" t="s">
        <v>3358</v>
      </c>
      <c r="D863" s="7976" t="s">
        <v>3359</v>
      </c>
      <c r="E863" s="7976" t="s">
        <v>3360</v>
      </c>
      <c r="F863" s="7976" t="s">
        <v>2907</v>
      </c>
      <c r="G863" s="7976" t="s">
        <v>3361</v>
      </c>
      <c r="H863" s="7976" t="s">
        <v>22</v>
      </c>
      <c r="I863" s="7976" t="s">
        <v>971</v>
      </c>
    </row>
    <row customHeight="1" ht="11.25">
      <c r="A864" s="7976" t="s">
        <v>2530</v>
      </c>
      <c r="B864" s="7976" t="s">
        <v>16</v>
      </c>
      <c r="C864" s="7976" t="s">
        <v>3362</v>
      </c>
      <c r="D864" s="7976" t="s">
        <v>3363</v>
      </c>
      <c r="E864" s="7976" t="s">
        <v>3364</v>
      </c>
      <c r="F864" s="7976" t="s">
        <v>2907</v>
      </c>
      <c r="G864" s="7976" t="s">
        <v>3365</v>
      </c>
      <c r="H864" s="7976" t="s">
        <v>22</v>
      </c>
      <c r="I864" s="7976" t="s">
        <v>971</v>
      </c>
    </row>
    <row customHeight="1" ht="11.25">
      <c r="A865" s="7976" t="s">
        <v>2530</v>
      </c>
      <c r="B865" s="7976" t="s">
        <v>16</v>
      </c>
      <c r="C865" s="7976" t="s">
        <v>3366</v>
      </c>
      <c r="D865" s="7976" t="s">
        <v>3367</v>
      </c>
      <c r="E865" s="7976" t="s">
        <v>3368</v>
      </c>
      <c r="F865" s="7976" t="s">
        <v>2907</v>
      </c>
      <c r="G865" s="7976" t="s">
        <v>3369</v>
      </c>
      <c r="H865" s="7976" t="s">
        <v>22</v>
      </c>
      <c r="I865" s="7976" t="s">
        <v>971</v>
      </c>
    </row>
    <row customHeight="1" ht="11.25">
      <c r="A866" s="7976" t="s">
        <v>2530</v>
      </c>
      <c r="B866" s="7976" t="s">
        <v>16</v>
      </c>
      <c r="C866" s="7976" t="s">
        <v>3370</v>
      </c>
      <c r="D866" s="7976" t="s">
        <v>3371</v>
      </c>
      <c r="E866" s="7976" t="s">
        <v>3372</v>
      </c>
      <c r="F866" s="7976" t="s">
        <v>2573</v>
      </c>
      <c r="G866" s="7976" t="s">
        <v>3373</v>
      </c>
      <c r="H866" s="7976" t="s">
        <v>22</v>
      </c>
      <c r="I866" s="7976" t="s">
        <v>971</v>
      </c>
    </row>
    <row customHeight="1" ht="11.25">
      <c r="A867" s="7976" t="s">
        <v>2530</v>
      </c>
      <c r="B867" s="7976" t="s">
        <v>16</v>
      </c>
      <c r="C867" s="7976" t="s">
        <v>4027</v>
      </c>
      <c r="D867" s="7976" t="s">
        <v>4028</v>
      </c>
      <c r="E867" s="7976" t="s">
        <v>4029</v>
      </c>
      <c r="F867" s="7976" t="s">
        <v>2907</v>
      </c>
      <c r="G867" s="7976" t="s">
        <v>4030</v>
      </c>
      <c r="H867" s="7976" t="s">
        <v>22</v>
      </c>
      <c r="I867" s="7976" t="s">
        <v>971</v>
      </c>
    </row>
    <row customHeight="1" ht="11.25">
      <c r="A868" s="7976" t="s">
        <v>2530</v>
      </c>
      <c r="B868" s="7976" t="s">
        <v>16</v>
      </c>
      <c r="C868" s="7976" t="s">
        <v>3374</v>
      </c>
      <c r="D868" s="7976" t="s">
        <v>3375</v>
      </c>
      <c r="E868" s="7976" t="s">
        <v>3376</v>
      </c>
      <c r="F868" s="7976" t="s">
        <v>3377</v>
      </c>
      <c r="G868" s="7976" t="s">
        <v>3378</v>
      </c>
      <c r="H868" s="7976" t="s">
        <v>22</v>
      </c>
      <c r="I868" s="7976" t="s">
        <v>971</v>
      </c>
    </row>
    <row customHeight="1" ht="11.25">
      <c r="A869" s="7976" t="s">
        <v>2530</v>
      </c>
      <c r="B869" s="7976" t="s">
        <v>16</v>
      </c>
      <c r="C869" s="7976" t="s">
        <v>3379</v>
      </c>
      <c r="D869" s="7976" t="s">
        <v>3380</v>
      </c>
      <c r="E869" s="7976" t="s">
        <v>3381</v>
      </c>
      <c r="F869" s="7976" t="s">
        <v>2573</v>
      </c>
      <c r="G869" s="7976" t="s">
        <v>22</v>
      </c>
      <c r="H869" s="7976" t="s">
        <v>22</v>
      </c>
      <c r="I869" s="7976" t="s">
        <v>971</v>
      </c>
    </row>
    <row customHeight="1" ht="11.25">
      <c r="A870" s="7976" t="s">
        <v>2530</v>
      </c>
      <c r="B870" s="7976" t="s">
        <v>16</v>
      </c>
      <c r="C870" s="7976" t="s">
        <v>4123</v>
      </c>
      <c r="D870" s="7976" t="s">
        <v>4124</v>
      </c>
      <c r="E870" s="7976" t="s">
        <v>4125</v>
      </c>
      <c r="F870" s="7976" t="s">
        <v>2611</v>
      </c>
      <c r="G870" s="7976" t="s">
        <v>4126</v>
      </c>
      <c r="H870" s="7976" t="s">
        <v>22</v>
      </c>
      <c r="I870" s="7976" t="s">
        <v>971</v>
      </c>
    </row>
    <row customHeight="1" ht="11.25">
      <c r="A871" s="7976" t="s">
        <v>2530</v>
      </c>
      <c r="B871" s="7976" t="s">
        <v>16</v>
      </c>
      <c r="C871" s="7976" t="s">
        <v>3382</v>
      </c>
      <c r="D871" s="7976" t="s">
        <v>3383</v>
      </c>
      <c r="E871" s="7976" t="s">
        <v>3384</v>
      </c>
      <c r="F871" s="7976" t="s">
        <v>2561</v>
      </c>
      <c r="G871" s="7976" t="s">
        <v>3385</v>
      </c>
      <c r="H871" s="7976" t="s">
        <v>22</v>
      </c>
      <c r="I871" s="7976" t="s">
        <v>971</v>
      </c>
    </row>
    <row customHeight="1" ht="11.25">
      <c r="A872" s="7976" t="s">
        <v>2530</v>
      </c>
      <c r="B872" s="7976" t="s">
        <v>16</v>
      </c>
      <c r="C872" s="7976" t="s">
        <v>3386</v>
      </c>
      <c r="D872" s="7976" t="s">
        <v>3387</v>
      </c>
      <c r="E872" s="7976" t="s">
        <v>3388</v>
      </c>
      <c r="F872" s="7976" t="s">
        <v>2539</v>
      </c>
      <c r="G872" s="7976" t="s">
        <v>3389</v>
      </c>
      <c r="H872" s="7976" t="s">
        <v>22</v>
      </c>
      <c r="I872" s="7976" t="s">
        <v>971</v>
      </c>
    </row>
    <row customHeight="1" ht="11.25">
      <c r="A873" s="7976" t="s">
        <v>2530</v>
      </c>
      <c r="B873" s="7976" t="s">
        <v>16</v>
      </c>
      <c r="C873" s="7976" t="s">
        <v>4127</v>
      </c>
      <c r="D873" s="7976" t="s">
        <v>4128</v>
      </c>
      <c r="E873" s="7976" t="s">
        <v>4129</v>
      </c>
      <c r="F873" s="7976" t="s">
        <v>2551</v>
      </c>
      <c r="G873" s="7976" t="s">
        <v>4130</v>
      </c>
      <c r="H873" s="7976" t="s">
        <v>22</v>
      </c>
      <c r="I873" s="7976" t="s">
        <v>971</v>
      </c>
    </row>
    <row customHeight="1" ht="11.25">
      <c r="A874" s="7976" t="s">
        <v>2530</v>
      </c>
      <c r="B874" s="7976" t="s">
        <v>16</v>
      </c>
      <c r="C874" s="7976" t="s">
        <v>3397</v>
      </c>
      <c r="D874" s="7976" t="s">
        <v>3398</v>
      </c>
      <c r="E874" s="7976" t="s">
        <v>3399</v>
      </c>
      <c r="F874" s="7976" t="s">
        <v>2670</v>
      </c>
      <c r="G874" s="7976" t="s">
        <v>3400</v>
      </c>
      <c r="H874" s="7976" t="s">
        <v>22</v>
      </c>
      <c r="I874" s="7976" t="s">
        <v>971</v>
      </c>
    </row>
    <row customHeight="1" ht="11.25">
      <c r="A875" s="7976" t="s">
        <v>2530</v>
      </c>
      <c r="B875" s="7976" t="s">
        <v>16</v>
      </c>
      <c r="C875" s="7976" t="s">
        <v>3405</v>
      </c>
      <c r="D875" s="7976" t="s">
        <v>3406</v>
      </c>
      <c r="E875" s="7976" t="s">
        <v>3407</v>
      </c>
      <c r="F875" s="7976" t="s">
        <v>2551</v>
      </c>
      <c r="G875" s="7976" t="s">
        <v>3408</v>
      </c>
      <c r="H875" s="7976" t="s">
        <v>22</v>
      </c>
      <c r="I875" s="7976" t="s">
        <v>971</v>
      </c>
    </row>
    <row customHeight="1" ht="11.25">
      <c r="A876" s="7976" t="s">
        <v>2530</v>
      </c>
      <c r="B876" s="7976" t="s">
        <v>16</v>
      </c>
      <c r="C876" s="7976" t="s">
        <v>3409</v>
      </c>
      <c r="D876" s="7976" t="s">
        <v>3410</v>
      </c>
      <c r="E876" s="7976" t="s">
        <v>3411</v>
      </c>
      <c r="F876" s="7976" t="s">
        <v>2648</v>
      </c>
      <c r="G876" s="7976" t="s">
        <v>22</v>
      </c>
      <c r="H876" s="7976" t="s">
        <v>22</v>
      </c>
      <c r="I876" s="7976" t="s">
        <v>971</v>
      </c>
    </row>
    <row customHeight="1" ht="11.25">
      <c r="A877" s="7976" t="s">
        <v>2530</v>
      </c>
      <c r="B877" s="7976" t="s">
        <v>16</v>
      </c>
      <c r="C877" s="7976" t="s">
        <v>3412</v>
      </c>
      <c r="D877" s="7976" t="s">
        <v>3413</v>
      </c>
      <c r="E877" s="7976" t="s">
        <v>3414</v>
      </c>
      <c r="F877" s="7976" t="s">
        <v>2630</v>
      </c>
      <c r="G877" s="7976" t="s">
        <v>22</v>
      </c>
      <c r="H877" s="7976" t="s">
        <v>22</v>
      </c>
      <c r="I877" s="7976" t="s">
        <v>971</v>
      </c>
    </row>
    <row customHeight="1" ht="11.25">
      <c r="A878" s="7976" t="s">
        <v>2530</v>
      </c>
      <c r="B878" s="7976" t="s">
        <v>16</v>
      </c>
      <c r="C878" s="7976" t="s">
        <v>3415</v>
      </c>
      <c r="D878" s="7976" t="s">
        <v>3416</v>
      </c>
      <c r="E878" s="7976" t="s">
        <v>3417</v>
      </c>
      <c r="F878" s="7976" t="s">
        <v>2802</v>
      </c>
      <c r="G878" s="7976" t="s">
        <v>22</v>
      </c>
      <c r="H878" s="7976" t="s">
        <v>22</v>
      </c>
      <c r="I878" s="7976" t="s">
        <v>971</v>
      </c>
    </row>
    <row customHeight="1" ht="11.25">
      <c r="A879" s="7976" t="s">
        <v>2530</v>
      </c>
      <c r="B879" s="7976" t="s">
        <v>16</v>
      </c>
      <c r="C879" s="7976" t="s">
        <v>3418</v>
      </c>
      <c r="D879" s="7976" t="s">
        <v>3419</v>
      </c>
      <c r="E879" s="7976" t="s">
        <v>3420</v>
      </c>
      <c r="F879" s="7976" t="s">
        <v>2630</v>
      </c>
      <c r="G879" s="7976" t="s">
        <v>3421</v>
      </c>
      <c r="H879" s="7976" t="s">
        <v>22</v>
      </c>
      <c r="I879" s="7976" t="s">
        <v>971</v>
      </c>
    </row>
    <row customHeight="1" ht="11.25">
      <c r="A880" s="7976" t="s">
        <v>2530</v>
      </c>
      <c r="B880" s="7976" t="s">
        <v>16</v>
      </c>
      <c r="C880" s="7976" t="s">
        <v>3422</v>
      </c>
      <c r="D880" s="7976" t="s">
        <v>3423</v>
      </c>
      <c r="E880" s="7976" t="s">
        <v>3424</v>
      </c>
      <c r="F880" s="7976" t="s">
        <v>2597</v>
      </c>
      <c r="G880" s="7976" t="s">
        <v>22</v>
      </c>
      <c r="H880" s="7976" t="s">
        <v>22</v>
      </c>
      <c r="I880" s="7976" t="s">
        <v>971</v>
      </c>
    </row>
    <row customHeight="1" ht="11.25">
      <c r="A881" s="7976" t="s">
        <v>2530</v>
      </c>
      <c r="B881" s="7976" t="s">
        <v>16</v>
      </c>
      <c r="C881" s="7976" t="s">
        <v>13</v>
      </c>
      <c r="D881" s="7976" t="s">
        <v>46</v>
      </c>
      <c r="E881" s="7976" t="s">
        <v>49</v>
      </c>
      <c r="F881" s="7976" t="s">
        <v>51</v>
      </c>
      <c r="G881" s="7976" t="s">
        <v>22</v>
      </c>
      <c r="H881" s="7976" t="s">
        <v>22</v>
      </c>
      <c r="I881" s="7976" t="s">
        <v>971</v>
      </c>
    </row>
    <row customHeight="1" ht="11.25">
      <c r="A882" s="7976" t="s">
        <v>2530</v>
      </c>
      <c r="B882" s="7976" t="s">
        <v>16</v>
      </c>
      <c r="C882" s="7976" t="s">
        <v>22</v>
      </c>
      <c r="D882" s="7976" t="s">
        <v>3435</v>
      </c>
      <c r="E882" s="7976" t="s">
        <v>3436</v>
      </c>
      <c r="F882" s="7976" t="s">
        <v>2573</v>
      </c>
      <c r="G882" s="7976" t="s">
        <v>22</v>
      </c>
      <c r="H882" s="7976" t="s">
        <v>22</v>
      </c>
      <c r="I882" s="7976" t="s">
        <v>971</v>
      </c>
    </row>
    <row customHeight="1" ht="11.25">
      <c r="A883" s="7976" t="s">
        <v>2530</v>
      </c>
      <c r="B883" s="7976" t="s">
        <v>16</v>
      </c>
      <c r="C883" s="7976" t="s">
        <v>3437</v>
      </c>
      <c r="D883" s="7976" t="s">
        <v>3438</v>
      </c>
      <c r="E883" s="7976" t="s">
        <v>2813</v>
      </c>
      <c r="F883" s="7976" t="s">
        <v>3439</v>
      </c>
      <c r="G883" s="7976" t="s">
        <v>22</v>
      </c>
      <c r="H883" s="7976" t="s">
        <v>22</v>
      </c>
      <c r="I883" s="7976" t="s">
        <v>971</v>
      </c>
    </row>
    <row customHeight="1" ht="11.25">
      <c r="A884" s="7976" t="s">
        <v>2530</v>
      </c>
      <c r="B884" s="7976" t="s">
        <v>16</v>
      </c>
      <c r="C884" s="7976" t="s">
        <v>3443</v>
      </c>
      <c r="D884" s="7976" t="s">
        <v>3444</v>
      </c>
      <c r="E884" s="7976" t="s">
        <v>2813</v>
      </c>
      <c r="F884" s="7976" t="s">
        <v>3445</v>
      </c>
      <c r="G884" s="7976" t="s">
        <v>22</v>
      </c>
      <c r="H884" s="7976" t="s">
        <v>22</v>
      </c>
      <c r="I884" s="7976" t="s">
        <v>971</v>
      </c>
    </row>
    <row customHeight="1" ht="11.25">
      <c r="A885" s="7976" t="s">
        <v>2530</v>
      </c>
      <c r="B885" s="7976" t="s">
        <v>16</v>
      </c>
      <c r="C885" s="7976" t="s">
        <v>3446</v>
      </c>
      <c r="D885" s="7976" t="s">
        <v>3447</v>
      </c>
      <c r="E885" s="7976" t="s">
        <v>3448</v>
      </c>
      <c r="F885" s="7976" t="s">
        <v>2597</v>
      </c>
      <c r="G885" s="7976" t="s">
        <v>22</v>
      </c>
      <c r="H885" s="7976" t="s">
        <v>3104</v>
      </c>
      <c r="I885" s="7976" t="s">
        <v>971</v>
      </c>
    </row>
    <row customHeight="1" ht="11.25">
      <c r="A886" s="7976" t="s">
        <v>2530</v>
      </c>
      <c r="B886" s="7976" t="s">
        <v>16</v>
      </c>
      <c r="C886" s="7976" t="s">
        <v>4051</v>
      </c>
      <c r="D886" s="7976" t="s">
        <v>4052</v>
      </c>
      <c r="E886" s="7976" t="s">
        <v>4053</v>
      </c>
      <c r="F886" s="7976" t="s">
        <v>2539</v>
      </c>
      <c r="G886" s="7976" t="s">
        <v>22</v>
      </c>
      <c r="H886" s="7976" t="s">
        <v>22</v>
      </c>
      <c r="I886" s="7976" t="s">
        <v>971</v>
      </c>
    </row>
    <row customHeight="1" ht="11.25">
      <c r="A887" s="7976" t="s">
        <v>2530</v>
      </c>
      <c r="B887" s="7976" t="s">
        <v>16</v>
      </c>
      <c r="C887" s="7976" t="s">
        <v>3449</v>
      </c>
      <c r="D887" s="7976" t="s">
        <v>3450</v>
      </c>
      <c r="E887" s="7976" t="s">
        <v>2813</v>
      </c>
      <c r="F887" s="7976" t="s">
        <v>2573</v>
      </c>
      <c r="G887" s="7976" t="s">
        <v>3451</v>
      </c>
      <c r="H887" s="7976" t="s">
        <v>22</v>
      </c>
      <c r="I887" s="7976" t="s">
        <v>971</v>
      </c>
    </row>
    <row customHeight="1" ht="11.25">
      <c r="A888" s="7976" t="s">
        <v>2530</v>
      </c>
      <c r="B888" s="7976" t="s">
        <v>16</v>
      </c>
      <c r="C888" s="7976" t="s">
        <v>3452</v>
      </c>
      <c r="D888" s="7976" t="s">
        <v>3453</v>
      </c>
      <c r="E888" s="7976" t="s">
        <v>3454</v>
      </c>
      <c r="F888" s="7976" t="s">
        <v>2573</v>
      </c>
      <c r="G888" s="7976" t="s">
        <v>3455</v>
      </c>
      <c r="H888" s="7976" t="s">
        <v>22</v>
      </c>
      <c r="I888" s="7976" t="s">
        <v>971</v>
      </c>
    </row>
    <row customHeight="1" ht="11.25">
      <c r="A889" s="7976" t="s">
        <v>2530</v>
      </c>
      <c r="B889" s="7976" t="s">
        <v>16</v>
      </c>
      <c r="C889" s="7976" t="s">
        <v>3459</v>
      </c>
      <c r="D889" s="7976" t="s">
        <v>3460</v>
      </c>
      <c r="E889" s="7976" t="s">
        <v>3461</v>
      </c>
      <c r="F889" s="7976" t="s">
        <v>3462</v>
      </c>
      <c r="G889" s="7976" t="s">
        <v>22</v>
      </c>
      <c r="H889" s="7976" t="s">
        <v>22</v>
      </c>
      <c r="I889" s="7976" t="s">
        <v>971</v>
      </c>
    </row>
    <row customHeight="1" ht="11.25">
      <c r="A890" s="7976" t="s">
        <v>2530</v>
      </c>
      <c r="B890" s="7976" t="s">
        <v>16</v>
      </c>
      <c r="C890" s="7976" t="s">
        <v>3472</v>
      </c>
      <c r="D890" s="7976" t="s">
        <v>3473</v>
      </c>
      <c r="E890" s="7976" t="s">
        <v>2852</v>
      </c>
      <c r="F890" s="7976" t="s">
        <v>3474</v>
      </c>
      <c r="G890" s="7976" t="s">
        <v>22</v>
      </c>
      <c r="H890" s="7976" t="s">
        <v>22</v>
      </c>
      <c r="I890" s="7976" t="s">
        <v>971</v>
      </c>
    </row>
    <row customHeight="1" ht="11.25">
      <c r="A891" s="7976" t="s">
        <v>2530</v>
      </c>
      <c r="B891" s="7976" t="s">
        <v>16</v>
      </c>
      <c r="C891" s="7976" t="s">
        <v>2564</v>
      </c>
      <c r="D891" s="7976" t="s">
        <v>2565</v>
      </c>
      <c r="E891" s="7976" t="s">
        <v>2566</v>
      </c>
      <c r="F891" s="7976" t="s">
        <v>2567</v>
      </c>
      <c r="G891" s="7976" t="s">
        <v>22</v>
      </c>
      <c r="H891" s="7976" t="s">
        <v>22</v>
      </c>
      <c r="I891" s="7976" t="s">
        <v>1931</v>
      </c>
    </row>
    <row customHeight="1" ht="11.25">
      <c r="A892" s="7976" t="s">
        <v>2530</v>
      </c>
      <c r="B892" s="7976" t="s">
        <v>16</v>
      </c>
      <c r="C892" s="7976" t="s">
        <v>4131</v>
      </c>
      <c r="D892" s="7976" t="s">
        <v>4132</v>
      </c>
      <c r="E892" s="7976" t="s">
        <v>4133</v>
      </c>
      <c r="F892" s="7976" t="s">
        <v>602</v>
      </c>
      <c r="G892" s="7976" t="s">
        <v>22</v>
      </c>
      <c r="H892" s="7976" t="s">
        <v>22</v>
      </c>
      <c r="I892" s="7976" t="s">
        <v>1931</v>
      </c>
    </row>
    <row customHeight="1" ht="11.25">
      <c r="A893" s="7976" t="s">
        <v>2530</v>
      </c>
      <c r="B893" s="7976" t="s">
        <v>16</v>
      </c>
      <c r="C893" s="7976" t="s">
        <v>4134</v>
      </c>
      <c r="D893" s="7976" t="s">
        <v>4135</v>
      </c>
      <c r="E893" s="7976" t="s">
        <v>4136</v>
      </c>
      <c r="F893" s="7976" t="s">
        <v>602</v>
      </c>
      <c r="G893" s="7976" t="s">
        <v>4137</v>
      </c>
      <c r="H893" s="7976" t="s">
        <v>22</v>
      </c>
      <c r="I893" s="7976" t="s">
        <v>1931</v>
      </c>
    </row>
    <row customHeight="1" ht="11.25">
      <c r="A894" s="7976" t="s">
        <v>2530</v>
      </c>
      <c r="B894" s="7976" t="s">
        <v>16</v>
      </c>
      <c r="C894" s="7976" t="s">
        <v>3963</v>
      </c>
      <c r="D894" s="7976" t="s">
        <v>3964</v>
      </c>
      <c r="E894" s="7976" t="s">
        <v>3965</v>
      </c>
      <c r="F894" s="7976" t="s">
        <v>2589</v>
      </c>
      <c r="G894" s="7976" t="s">
        <v>3966</v>
      </c>
      <c r="H894" s="7976" t="s">
        <v>22</v>
      </c>
      <c r="I894" s="7976" t="s">
        <v>1931</v>
      </c>
    </row>
    <row customHeight="1" ht="11.25">
      <c r="A895" s="7976" t="s">
        <v>2530</v>
      </c>
      <c r="B895" s="7976" t="s">
        <v>16</v>
      </c>
      <c r="C895" s="7976" t="s">
        <v>3967</v>
      </c>
      <c r="D895" s="7976" t="s">
        <v>3968</v>
      </c>
      <c r="E895" s="7976" t="s">
        <v>3969</v>
      </c>
      <c r="F895" s="7976" t="s">
        <v>2555</v>
      </c>
      <c r="G895" s="7976" t="s">
        <v>3970</v>
      </c>
      <c r="H895" s="7976" t="s">
        <v>3971</v>
      </c>
      <c r="I895" s="7976" t="s">
        <v>1931</v>
      </c>
    </row>
    <row customHeight="1" ht="11.25">
      <c r="A896" s="7976" t="s">
        <v>2530</v>
      </c>
      <c r="B896" s="7976" t="s">
        <v>16</v>
      </c>
      <c r="C896" s="7976" t="s">
        <v>2985</v>
      </c>
      <c r="D896" s="7976" t="s">
        <v>2986</v>
      </c>
      <c r="E896" s="7976" t="s">
        <v>2987</v>
      </c>
      <c r="F896" s="7976" t="s">
        <v>2648</v>
      </c>
      <c r="G896" s="7976" t="s">
        <v>2988</v>
      </c>
      <c r="H896" s="7976" t="s">
        <v>22</v>
      </c>
      <c r="I896" s="7976" t="s">
        <v>1931</v>
      </c>
    </row>
    <row customHeight="1" ht="11.25">
      <c r="A897" s="7976" t="s">
        <v>2530</v>
      </c>
      <c r="B897" s="7976" t="s">
        <v>16</v>
      </c>
      <c r="C897" s="7976" t="s">
        <v>4138</v>
      </c>
      <c r="D897" s="7976" t="s">
        <v>4139</v>
      </c>
      <c r="E897" s="7976" t="s">
        <v>4140</v>
      </c>
      <c r="F897" s="7976" t="s">
        <v>2907</v>
      </c>
      <c r="G897" s="7976" t="s">
        <v>4141</v>
      </c>
      <c r="H897" s="7976" t="s">
        <v>22</v>
      </c>
      <c r="I897" s="7976" t="s">
        <v>1931</v>
      </c>
    </row>
    <row customHeight="1" ht="11.25">
      <c r="A898" s="7976" t="s">
        <v>2530</v>
      </c>
      <c r="B898" s="7976" t="s">
        <v>16</v>
      </c>
      <c r="C898" s="7976" t="s">
        <v>3024</v>
      </c>
      <c r="D898" s="7976" t="s">
        <v>3025</v>
      </c>
      <c r="E898" s="7976" t="s">
        <v>3026</v>
      </c>
      <c r="F898" s="7976" t="s">
        <v>2743</v>
      </c>
      <c r="G898" s="7976" t="s">
        <v>22</v>
      </c>
      <c r="H898" s="7976" t="s">
        <v>22</v>
      </c>
      <c r="I898" s="7976" t="s">
        <v>1931</v>
      </c>
    </row>
    <row customHeight="1" ht="11.25">
      <c r="A899" s="7976" t="s">
        <v>2530</v>
      </c>
      <c r="B899" s="7976" t="s">
        <v>16</v>
      </c>
      <c r="C899" s="7976" t="s">
        <v>4142</v>
      </c>
      <c r="D899" s="7976" t="s">
        <v>4143</v>
      </c>
      <c r="E899" s="7976" t="s">
        <v>4144</v>
      </c>
      <c r="F899" s="7976" t="s">
        <v>4145</v>
      </c>
      <c r="G899" s="7976" t="s">
        <v>4146</v>
      </c>
      <c r="H899" s="7976" t="s">
        <v>22</v>
      </c>
      <c r="I899" s="7976" t="s">
        <v>1931</v>
      </c>
    </row>
    <row customHeight="1" ht="11.25">
      <c r="A900" s="7976" t="s">
        <v>2530</v>
      </c>
      <c r="B900" s="7976" t="s">
        <v>16</v>
      </c>
      <c r="C900" s="7976" t="s">
        <v>4147</v>
      </c>
      <c r="D900" s="7976" t="s">
        <v>4148</v>
      </c>
      <c r="E900" s="7976" t="s">
        <v>4149</v>
      </c>
      <c r="F900" s="7976" t="s">
        <v>2597</v>
      </c>
      <c r="G900" s="7976" t="s">
        <v>22</v>
      </c>
      <c r="H900" s="7976" t="s">
        <v>22</v>
      </c>
      <c r="I900" s="7976" t="s">
        <v>1931</v>
      </c>
    </row>
    <row customHeight="1" ht="11.25">
      <c r="A901" s="7976" t="s">
        <v>2530</v>
      </c>
      <c r="B901" s="7976" t="s">
        <v>16</v>
      </c>
      <c r="C901" s="7976" t="s">
        <v>4150</v>
      </c>
      <c r="D901" s="7976" t="s">
        <v>4151</v>
      </c>
      <c r="E901" s="7976" t="s">
        <v>4152</v>
      </c>
      <c r="F901" s="7976" t="s">
        <v>2561</v>
      </c>
      <c r="G901" s="7976" t="s">
        <v>22</v>
      </c>
      <c r="H901" s="7976" t="s">
        <v>22</v>
      </c>
      <c r="I901" s="7976" t="s">
        <v>1931</v>
      </c>
    </row>
    <row customHeight="1" ht="11.25">
      <c r="A902" s="7976" t="s">
        <v>2530</v>
      </c>
      <c r="B902" s="7976" t="s">
        <v>16</v>
      </c>
      <c r="C902" s="7976" t="s">
        <v>4153</v>
      </c>
      <c r="D902" s="7976" t="s">
        <v>4154</v>
      </c>
      <c r="E902" s="7976" t="s">
        <v>4155</v>
      </c>
      <c r="F902" s="7976" t="s">
        <v>2837</v>
      </c>
      <c r="G902" s="7976" t="s">
        <v>4156</v>
      </c>
      <c r="H902" s="7976" t="s">
        <v>22</v>
      </c>
      <c r="I902" s="7976" t="s">
        <v>1931</v>
      </c>
    </row>
    <row customHeight="1" ht="11.25">
      <c r="A903" s="7976" t="s">
        <v>2530</v>
      </c>
      <c r="B903" s="7976" t="s">
        <v>16</v>
      </c>
      <c r="C903" s="7976" t="s">
        <v>4157</v>
      </c>
      <c r="D903" s="7976" t="s">
        <v>4158</v>
      </c>
      <c r="E903" s="7976" t="s">
        <v>4159</v>
      </c>
      <c r="F903" s="7976" t="s">
        <v>2573</v>
      </c>
      <c r="G903" s="7976" t="s">
        <v>4160</v>
      </c>
      <c r="H903" s="7976" t="s">
        <v>22</v>
      </c>
      <c r="I903" s="7976" t="s">
        <v>1931</v>
      </c>
    </row>
    <row customHeight="1" ht="11.25">
      <c r="A904" s="7976" t="s">
        <v>2530</v>
      </c>
      <c r="B904" s="7976" t="s">
        <v>16</v>
      </c>
      <c r="C904" s="7976" t="s">
        <v>4161</v>
      </c>
      <c r="D904" s="7976" t="s">
        <v>4162</v>
      </c>
      <c r="E904" s="7976" t="s">
        <v>4163</v>
      </c>
      <c r="F904" s="7976" t="s">
        <v>2573</v>
      </c>
      <c r="G904" s="7976" t="s">
        <v>4164</v>
      </c>
      <c r="H904" s="7976" t="s">
        <v>22</v>
      </c>
      <c r="I904" s="7976" t="s">
        <v>1931</v>
      </c>
    </row>
    <row customHeight="1" ht="11.25">
      <c r="A905" s="7976" t="s">
        <v>2530</v>
      </c>
      <c r="B905" s="7976" t="s">
        <v>16</v>
      </c>
      <c r="C905" s="7976" t="s">
        <v>4165</v>
      </c>
      <c r="D905" s="7976" t="s">
        <v>4166</v>
      </c>
      <c r="E905" s="7976" t="s">
        <v>4167</v>
      </c>
      <c r="F905" s="7976" t="s">
        <v>2546</v>
      </c>
      <c r="G905" s="7976" t="s">
        <v>4168</v>
      </c>
      <c r="H905" s="7976" t="s">
        <v>22</v>
      </c>
      <c r="I905" s="7976" t="s">
        <v>1931</v>
      </c>
    </row>
    <row customHeight="1" ht="11.25">
      <c r="A906" s="7976" t="s">
        <v>2530</v>
      </c>
      <c r="B906" s="7976" t="s">
        <v>16</v>
      </c>
      <c r="C906" s="7976" t="s">
        <v>4169</v>
      </c>
      <c r="D906" s="7976" t="s">
        <v>4170</v>
      </c>
      <c r="E906" s="7976" t="s">
        <v>4171</v>
      </c>
      <c r="F906" s="7976" t="s">
        <v>2573</v>
      </c>
      <c r="G906" s="7976" t="s">
        <v>4172</v>
      </c>
      <c r="H906" s="7976" t="s">
        <v>22</v>
      </c>
      <c r="I906" s="7976" t="s">
        <v>1931</v>
      </c>
    </row>
    <row customHeight="1" ht="11.25">
      <c r="A907" s="7976" t="s">
        <v>2530</v>
      </c>
      <c r="B907" s="7976" t="s">
        <v>16</v>
      </c>
      <c r="C907" s="7976" t="s">
        <v>4173</v>
      </c>
      <c r="D907" s="7976" t="s">
        <v>4174</v>
      </c>
      <c r="E907" s="7976" t="s">
        <v>4175</v>
      </c>
      <c r="F907" s="7976" t="s">
        <v>2573</v>
      </c>
      <c r="G907" s="7976" t="s">
        <v>22</v>
      </c>
      <c r="H907" s="7976" t="s">
        <v>22</v>
      </c>
      <c r="I907" s="7976" t="s">
        <v>1931</v>
      </c>
    </row>
    <row customHeight="1" ht="11.25">
      <c r="A908" s="7976" t="s">
        <v>2530</v>
      </c>
      <c r="B908" s="7976" t="s">
        <v>16</v>
      </c>
      <c r="C908" s="7976" t="s">
        <v>4176</v>
      </c>
      <c r="D908" s="7976" t="s">
        <v>4177</v>
      </c>
      <c r="E908" s="7976" t="s">
        <v>4178</v>
      </c>
      <c r="F908" s="7976" t="s">
        <v>2907</v>
      </c>
      <c r="G908" s="7976" t="s">
        <v>4179</v>
      </c>
      <c r="H908" s="7976" t="s">
        <v>22</v>
      </c>
      <c r="I908" s="7976" t="s">
        <v>1931</v>
      </c>
    </row>
    <row customHeight="1" ht="11.25">
      <c r="A909" s="7976" t="s">
        <v>2530</v>
      </c>
      <c r="B909" s="7976" t="s">
        <v>16</v>
      </c>
      <c r="C909" s="7976" t="s">
        <v>4180</v>
      </c>
      <c r="D909" s="7976" t="s">
        <v>4181</v>
      </c>
      <c r="E909" s="7976" t="s">
        <v>4182</v>
      </c>
      <c r="F909" s="7976" t="s">
        <v>4183</v>
      </c>
      <c r="G909" s="7976" t="s">
        <v>4184</v>
      </c>
      <c r="H909" s="7976" t="s">
        <v>22</v>
      </c>
      <c r="I909" s="7976" t="s">
        <v>1931</v>
      </c>
    </row>
    <row customHeight="1" ht="11.25">
      <c r="A910" s="7976" t="s">
        <v>2530</v>
      </c>
      <c r="B910" s="7976" t="s">
        <v>16</v>
      </c>
      <c r="C910" s="7976" t="s">
        <v>22</v>
      </c>
      <c r="D910" s="7976" t="s">
        <v>3435</v>
      </c>
      <c r="E910" s="7976" t="s">
        <v>3436</v>
      </c>
      <c r="F910" s="7976" t="s">
        <v>2573</v>
      </c>
      <c r="G910" s="7976" t="s">
        <v>22</v>
      </c>
      <c r="H910" s="7976" t="s">
        <v>22</v>
      </c>
      <c r="I910" s="7976" t="s">
        <v>1931</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7791C7-7A83-8273-A935-0.745FC5B2}" mc:Ignorable="x14ac xr xr2 xr3">
  <sheetPr>
    <tabColor rgb="FFFFCC99"/>
  </sheetPr>
  <dimension ref="A1:G373"/>
  <sheetViews>
    <sheetView topLeftCell="A1" showGridLines="0" workbookViewId="0">
      <selection activeCell="A1" sqref="A1"/>
    </sheetView>
  </sheetViews>
  <sheetFormatPr customHeight="1" defaultRowHeight="11.25"/>
  <cols>
    <col min="1" max="1" style="7976" width="9.140625"/>
  </cols>
  <sheetData>
    <row customHeight="1" ht="11.25">
      <c r="A1" s="519" t="s">
        <v>4185</v>
      </c>
      <c r="B1" s="208" t="s">
        <v>4186</v>
      </c>
      <c r="C1" s="208" t="s">
        <v>4187</v>
      </c>
      <c r="D1" s="208" t="s">
        <v>4188</v>
      </c>
      <c r="E1" s="88" t="s">
        <v>4189</v>
      </c>
      <c r="F1" s="88" t="s">
        <v>4190</v>
      </c>
      <c r="G1" s="88" t="s">
        <v>4191</v>
      </c>
    </row>
    <row customHeight="1" ht="11.25">
      <c r="A2" s="519" t="s">
        <v>16</v>
      </c>
      <c r="B2" s="0" t="s">
        <v>4192</v>
      </c>
      <c r="C2" s="0" t="s">
        <v>4193</v>
      </c>
      <c r="D2" s="0" t="s">
        <v>4192</v>
      </c>
      <c r="E2" s="0" t="s">
        <v>4193</v>
      </c>
      <c r="F2" s="0" t="s">
        <v>4194</v>
      </c>
      <c r="G2" s="0" t="s">
        <v>121</v>
      </c>
    </row>
    <row customHeight="1" ht="11.25">
      <c r="A3" s="519" t="s">
        <v>16</v>
      </c>
      <c r="B3" s="0" t="s">
        <v>4195</v>
      </c>
      <c r="C3" s="0" t="s">
        <v>4196</v>
      </c>
      <c r="D3" s="0" t="s">
        <v>4195</v>
      </c>
      <c r="E3" s="0" t="s">
        <v>4196</v>
      </c>
      <c r="F3" s="0" t="s">
        <v>4197</v>
      </c>
      <c r="G3" s="0" t="s">
        <v>105</v>
      </c>
    </row>
    <row customHeight="1" ht="11.25">
      <c r="A4" s="519" t="s">
        <v>16</v>
      </c>
      <c r="B4" s="0" t="s">
        <v>4195</v>
      </c>
      <c r="C4" s="0" t="s">
        <v>4196</v>
      </c>
      <c r="D4" s="0" t="s">
        <v>4198</v>
      </c>
      <c r="E4" s="0" t="s">
        <v>4199</v>
      </c>
      <c r="F4" s="0" t="s">
        <v>4200</v>
      </c>
      <c r="G4" s="0" t="s">
        <v>91</v>
      </c>
    </row>
    <row customHeight="1" ht="11.25">
      <c r="A5" s="519" t="s">
        <v>16</v>
      </c>
      <c r="B5" s="0" t="s">
        <v>4195</v>
      </c>
      <c r="C5" s="0" t="s">
        <v>4196</v>
      </c>
      <c r="D5" s="0" t="s">
        <v>4201</v>
      </c>
      <c r="E5" s="0" t="s">
        <v>4202</v>
      </c>
      <c r="F5" s="0" t="s">
        <v>4200</v>
      </c>
      <c r="G5" s="0" t="s">
        <v>92</v>
      </c>
    </row>
    <row customHeight="1" ht="11.25">
      <c r="A6" s="519" t="s">
        <v>16</v>
      </c>
      <c r="B6" s="0" t="s">
        <v>4195</v>
      </c>
      <c r="C6" s="0" t="s">
        <v>4196</v>
      </c>
      <c r="D6" s="0" t="s">
        <v>4203</v>
      </c>
      <c r="E6" s="0" t="s">
        <v>4204</v>
      </c>
      <c r="F6" s="0" t="s">
        <v>4200</v>
      </c>
      <c r="G6" s="0" t="s">
        <v>122</v>
      </c>
    </row>
    <row customHeight="1" ht="11.25">
      <c r="A7" s="519" t="s">
        <v>16</v>
      </c>
      <c r="B7" s="0" t="s">
        <v>4195</v>
      </c>
      <c r="C7" s="0" t="s">
        <v>4196</v>
      </c>
      <c r="D7" s="0" t="s">
        <v>4205</v>
      </c>
      <c r="E7" s="0" t="s">
        <v>4206</v>
      </c>
      <c r="F7" s="0" t="s">
        <v>4200</v>
      </c>
      <c r="G7" s="0" t="s">
        <v>93</v>
      </c>
    </row>
    <row customHeight="1" ht="11.25">
      <c r="A8" s="519" t="s">
        <v>16</v>
      </c>
      <c r="B8" s="0" t="s">
        <v>4195</v>
      </c>
      <c r="C8" s="0" t="s">
        <v>4196</v>
      </c>
      <c r="D8" s="0" t="s">
        <v>4207</v>
      </c>
      <c r="E8" s="0" t="s">
        <v>4208</v>
      </c>
      <c r="F8" s="0" t="s">
        <v>4209</v>
      </c>
      <c r="G8" s="0" t="s">
        <v>94</v>
      </c>
    </row>
    <row customHeight="1" ht="11.25">
      <c r="A9" s="519" t="s">
        <v>16</v>
      </c>
      <c r="B9" s="0" t="s">
        <v>4195</v>
      </c>
      <c r="C9" s="0" t="s">
        <v>4196</v>
      </c>
      <c r="D9" s="0" t="s">
        <v>4210</v>
      </c>
      <c r="E9" s="0" t="s">
        <v>4211</v>
      </c>
      <c r="F9" s="0" t="s">
        <v>4209</v>
      </c>
      <c r="G9" s="0" t="s">
        <v>123</v>
      </c>
    </row>
    <row customHeight="1" ht="11.25">
      <c r="A10" s="519" t="s">
        <v>16</v>
      </c>
      <c r="B10" s="0" t="s">
        <v>4195</v>
      </c>
      <c r="C10" s="0" t="s">
        <v>4196</v>
      </c>
      <c r="D10" s="0" t="s">
        <v>4212</v>
      </c>
      <c r="E10" s="0" t="s">
        <v>4213</v>
      </c>
      <c r="F10" s="0" t="s">
        <v>4200</v>
      </c>
      <c r="G10" s="0" t="s">
        <v>172</v>
      </c>
    </row>
    <row customHeight="1" ht="11.25">
      <c r="A11" s="519" t="s">
        <v>16</v>
      </c>
      <c r="B11" s="0" t="s">
        <v>4195</v>
      </c>
      <c r="C11" s="0" t="s">
        <v>4196</v>
      </c>
      <c r="D11" s="0" t="s">
        <v>4214</v>
      </c>
      <c r="E11" s="0" t="s">
        <v>4215</v>
      </c>
      <c r="F11" s="0" t="s">
        <v>4200</v>
      </c>
      <c r="G11" s="0" t="s">
        <v>173</v>
      </c>
    </row>
    <row customHeight="1" ht="11.25">
      <c r="A12" s="519" t="s">
        <v>16</v>
      </c>
      <c r="B12" s="0" t="s">
        <v>4195</v>
      </c>
      <c r="C12" s="0" t="s">
        <v>4196</v>
      </c>
      <c r="D12" s="0" t="s">
        <v>4216</v>
      </c>
      <c r="E12" s="0" t="s">
        <v>4217</v>
      </c>
      <c r="F12" s="0" t="s">
        <v>4200</v>
      </c>
      <c r="G12" s="0" t="s">
        <v>174</v>
      </c>
    </row>
    <row customHeight="1" ht="11.25">
      <c r="A13" s="519" t="s">
        <v>16</v>
      </c>
      <c r="B13" s="0" t="s">
        <v>4195</v>
      </c>
      <c r="C13" s="0" t="s">
        <v>4196</v>
      </c>
      <c r="D13" s="0" t="s">
        <v>4218</v>
      </c>
      <c r="E13" s="0" t="s">
        <v>4219</v>
      </c>
      <c r="F13" s="0" t="s">
        <v>4200</v>
      </c>
      <c r="G13" s="0" t="s">
        <v>175</v>
      </c>
    </row>
    <row customHeight="1" ht="11.25">
      <c r="A14" s="519" t="s">
        <v>16</v>
      </c>
      <c r="B14" s="0" t="s">
        <v>4195</v>
      </c>
      <c r="C14" s="0" t="s">
        <v>4196</v>
      </c>
      <c r="D14" s="0" t="s">
        <v>4220</v>
      </c>
      <c r="E14" s="0" t="s">
        <v>4221</v>
      </c>
      <c r="F14" s="0" t="s">
        <v>4200</v>
      </c>
      <c r="G14" s="0" t="s">
        <v>176</v>
      </c>
    </row>
    <row customHeight="1" ht="11.25">
      <c r="A15" s="519" t="s">
        <v>16</v>
      </c>
      <c r="B15" s="0" t="s">
        <v>4195</v>
      </c>
      <c r="C15" s="0" t="s">
        <v>4196</v>
      </c>
      <c r="D15" s="0" t="s">
        <v>4222</v>
      </c>
      <c r="E15" s="0" t="s">
        <v>4223</v>
      </c>
      <c r="F15" s="0" t="s">
        <v>4200</v>
      </c>
      <c r="G15" s="0" t="s">
        <v>177</v>
      </c>
    </row>
    <row customHeight="1" ht="11.25">
      <c r="A16" s="519" t="s">
        <v>16</v>
      </c>
      <c r="B16" s="0" t="s">
        <v>4195</v>
      </c>
      <c r="C16" s="0" t="s">
        <v>4196</v>
      </c>
      <c r="D16" s="0" t="s">
        <v>4224</v>
      </c>
      <c r="E16" s="0" t="s">
        <v>4225</v>
      </c>
      <c r="F16" s="0" t="s">
        <v>4200</v>
      </c>
      <c r="G16" s="0" t="s">
        <v>1190</v>
      </c>
    </row>
    <row customHeight="1" ht="11.25">
      <c r="A17" s="519" t="s">
        <v>16</v>
      </c>
      <c r="B17" s="0" t="s">
        <v>4226</v>
      </c>
      <c r="C17" s="0" t="s">
        <v>4227</v>
      </c>
      <c r="D17" s="0" t="s">
        <v>4226</v>
      </c>
      <c r="E17" s="0" t="s">
        <v>4227</v>
      </c>
      <c r="F17" s="0" t="s">
        <v>4194</v>
      </c>
      <c r="G17" s="0" t="s">
        <v>1196</v>
      </c>
    </row>
    <row customHeight="1" ht="11.25">
      <c r="A18" s="519" t="s">
        <v>16</v>
      </c>
      <c r="B18" s="0" t="s">
        <v>4228</v>
      </c>
      <c r="C18" s="0" t="s">
        <v>4229</v>
      </c>
      <c r="D18" s="0" t="s">
        <v>4228</v>
      </c>
      <c r="E18" s="0" t="s">
        <v>4229</v>
      </c>
      <c r="F18" s="0" t="s">
        <v>4194</v>
      </c>
      <c r="G18" s="0" t="s">
        <v>1199</v>
      </c>
    </row>
    <row customHeight="1" ht="11.25">
      <c r="A19" s="519" t="s">
        <v>16</v>
      </c>
      <c r="B19" s="0" t="s">
        <v>4230</v>
      </c>
      <c r="C19" s="0" t="s">
        <v>4231</v>
      </c>
      <c r="D19" s="0" t="s">
        <v>4230</v>
      </c>
      <c r="E19" s="0" t="s">
        <v>4231</v>
      </c>
      <c r="F19" s="0" t="s">
        <v>4194</v>
      </c>
      <c r="G19" s="0" t="s">
        <v>1141</v>
      </c>
    </row>
    <row customHeight="1" ht="11.25">
      <c r="A20" s="519" t="s">
        <v>16</v>
      </c>
      <c r="B20" s="0" t="s">
        <v>4232</v>
      </c>
      <c r="C20" s="0" t="s">
        <v>4233</v>
      </c>
      <c r="D20" s="0" t="s">
        <v>4232</v>
      </c>
      <c r="E20" s="0" t="s">
        <v>4233</v>
      </c>
      <c r="F20" s="0" t="s">
        <v>4197</v>
      </c>
      <c r="G20" s="0" t="s">
        <v>1204</v>
      </c>
    </row>
    <row customHeight="1" ht="11.25">
      <c r="A21" s="519" t="s">
        <v>16</v>
      </c>
      <c r="B21" s="0" t="s">
        <v>4232</v>
      </c>
      <c r="C21" s="0" t="s">
        <v>4233</v>
      </c>
      <c r="D21" s="0" t="s">
        <v>4234</v>
      </c>
      <c r="E21" s="0" t="s">
        <v>4235</v>
      </c>
      <c r="F21" s="0" t="s">
        <v>4236</v>
      </c>
      <c r="G21" s="0" t="s">
        <v>1157</v>
      </c>
    </row>
    <row customHeight="1" ht="11.25">
      <c r="A22" s="519" t="s">
        <v>16</v>
      </c>
      <c r="B22" s="0" t="s">
        <v>4232</v>
      </c>
      <c r="C22" s="0" t="s">
        <v>4233</v>
      </c>
      <c r="D22" s="0" t="s">
        <v>4237</v>
      </c>
      <c r="E22" s="0" t="s">
        <v>4238</v>
      </c>
      <c r="F22" s="0" t="s">
        <v>4200</v>
      </c>
      <c r="G22" s="0" t="s">
        <v>1211</v>
      </c>
    </row>
    <row customHeight="1" ht="11.25">
      <c r="A23" s="519" t="s">
        <v>16</v>
      </c>
      <c r="B23" s="0" t="s">
        <v>4232</v>
      </c>
      <c r="C23" s="0" t="s">
        <v>4233</v>
      </c>
      <c r="D23" s="0" t="s">
        <v>4239</v>
      </c>
      <c r="E23" s="0" t="s">
        <v>4240</v>
      </c>
      <c r="F23" s="0" t="s">
        <v>4200</v>
      </c>
      <c r="G23" s="0" t="s">
        <v>1213</v>
      </c>
    </row>
    <row customHeight="1" ht="11.25">
      <c r="A24" s="519" t="s">
        <v>16</v>
      </c>
      <c r="B24" s="0" t="s">
        <v>4232</v>
      </c>
      <c r="C24" s="0" t="s">
        <v>4233</v>
      </c>
      <c r="D24" s="0" t="s">
        <v>4241</v>
      </c>
      <c r="E24" s="0" t="s">
        <v>4242</v>
      </c>
      <c r="F24" s="0" t="s">
        <v>4200</v>
      </c>
      <c r="G24" s="0" t="s">
        <v>1149</v>
      </c>
    </row>
    <row customHeight="1" ht="11.25">
      <c r="A25" s="519" t="s">
        <v>16</v>
      </c>
      <c r="B25" s="0" t="s">
        <v>4232</v>
      </c>
      <c r="C25" s="0" t="s">
        <v>4233</v>
      </c>
      <c r="D25" s="0" t="s">
        <v>4243</v>
      </c>
      <c r="E25" s="0" t="s">
        <v>4244</v>
      </c>
      <c r="F25" s="0" t="s">
        <v>4200</v>
      </c>
      <c r="G25" s="0" t="s">
        <v>1217</v>
      </c>
    </row>
    <row customHeight="1" ht="11.25">
      <c r="A26" s="519" t="s">
        <v>16</v>
      </c>
      <c r="B26" s="0" t="s">
        <v>4232</v>
      </c>
      <c r="C26" s="0" t="s">
        <v>4233</v>
      </c>
      <c r="D26" s="0" t="s">
        <v>4245</v>
      </c>
      <c r="E26" s="0" t="s">
        <v>4246</v>
      </c>
      <c r="F26" s="0" t="s">
        <v>4200</v>
      </c>
      <c r="G26" s="0" t="s">
        <v>1167</v>
      </c>
    </row>
    <row customHeight="1" ht="11.25">
      <c r="A27" s="519" t="s">
        <v>16</v>
      </c>
      <c r="B27" s="0" t="s">
        <v>4232</v>
      </c>
      <c r="C27" s="0" t="s">
        <v>4233</v>
      </c>
      <c r="D27" s="0" t="s">
        <v>4247</v>
      </c>
      <c r="E27" s="0" t="s">
        <v>4248</v>
      </c>
      <c r="F27" s="0" t="s">
        <v>4200</v>
      </c>
      <c r="G27" s="0" t="s">
        <v>1220</v>
      </c>
    </row>
    <row customHeight="1" ht="11.25">
      <c r="A28" s="519" t="s">
        <v>16</v>
      </c>
      <c r="B28" s="0" t="s">
        <v>4232</v>
      </c>
      <c r="C28" s="0" t="s">
        <v>4233</v>
      </c>
      <c r="D28" s="0" t="s">
        <v>4249</v>
      </c>
      <c r="E28" s="0" t="s">
        <v>4250</v>
      </c>
      <c r="F28" s="0" t="s">
        <v>4200</v>
      </c>
      <c r="G28" s="0" t="s">
        <v>1222</v>
      </c>
    </row>
    <row customHeight="1" ht="11.25">
      <c r="A29" s="519" t="s">
        <v>16</v>
      </c>
      <c r="B29" s="0" t="s">
        <v>4232</v>
      </c>
      <c r="C29" s="0" t="s">
        <v>4233</v>
      </c>
      <c r="D29" s="0" t="s">
        <v>4251</v>
      </c>
      <c r="E29" s="0" t="s">
        <v>4252</v>
      </c>
      <c r="F29" s="0" t="s">
        <v>4200</v>
      </c>
      <c r="G29" s="0" t="s">
        <v>1224</v>
      </c>
    </row>
    <row customHeight="1" ht="11.25">
      <c r="A30" s="519" t="s">
        <v>16</v>
      </c>
      <c r="B30" s="0" t="s">
        <v>4232</v>
      </c>
      <c r="C30" s="0" t="s">
        <v>4233</v>
      </c>
      <c r="D30" s="0" t="s">
        <v>4253</v>
      </c>
      <c r="E30" s="0" t="s">
        <v>4254</v>
      </c>
      <c r="F30" s="0" t="s">
        <v>4200</v>
      </c>
      <c r="G30" s="0" t="s">
        <v>1226</v>
      </c>
    </row>
    <row customHeight="1" ht="11.25">
      <c r="A31" s="519" t="s">
        <v>16</v>
      </c>
      <c r="B31" s="0" t="s">
        <v>4255</v>
      </c>
      <c r="C31" s="0" t="s">
        <v>4256</v>
      </c>
      <c r="D31" s="0" t="s">
        <v>4255</v>
      </c>
      <c r="E31" s="0" t="s">
        <v>4256</v>
      </c>
      <c r="F31" s="0" t="s">
        <v>4194</v>
      </c>
      <c r="G31" s="0" t="s">
        <v>1229</v>
      </c>
    </row>
    <row customHeight="1" ht="11.25">
      <c r="A32" s="519" t="s">
        <v>16</v>
      </c>
      <c r="B32" s="0" t="s">
        <v>101</v>
      </c>
      <c r="C32" s="0" t="s">
        <v>4257</v>
      </c>
      <c r="D32" s="0" t="s">
        <v>4258</v>
      </c>
      <c r="E32" s="0" t="s">
        <v>4259</v>
      </c>
      <c r="F32" s="0" t="s">
        <v>4200</v>
      </c>
      <c r="G32" s="0" t="s">
        <v>1145</v>
      </c>
    </row>
    <row customHeight="1" ht="11.25">
      <c r="A33" s="519" t="s">
        <v>16</v>
      </c>
      <c r="B33" s="0" t="s">
        <v>101</v>
      </c>
      <c r="C33" s="0" t="s">
        <v>4257</v>
      </c>
      <c r="D33" s="0" t="s">
        <v>4260</v>
      </c>
      <c r="E33" s="0" t="s">
        <v>4261</v>
      </c>
      <c r="F33" s="0" t="s">
        <v>4200</v>
      </c>
      <c r="G33" s="0" t="s">
        <v>1232</v>
      </c>
    </row>
    <row customHeight="1" ht="11.25">
      <c r="A34" s="519" t="s">
        <v>16</v>
      </c>
      <c r="B34" s="0" t="s">
        <v>101</v>
      </c>
      <c r="C34" s="0" t="s">
        <v>4257</v>
      </c>
      <c r="D34" s="0" t="s">
        <v>101</v>
      </c>
      <c r="E34" s="0" t="s">
        <v>4257</v>
      </c>
      <c r="F34" s="0" t="s">
        <v>4197</v>
      </c>
      <c r="G34" s="0" t="s">
        <v>1234</v>
      </c>
    </row>
    <row customHeight="1" ht="11.25">
      <c r="A35" s="519" t="s">
        <v>16</v>
      </c>
      <c r="B35" s="0" t="s">
        <v>101</v>
      </c>
      <c r="C35" s="0" t="s">
        <v>4257</v>
      </c>
      <c r="D35" s="0" t="s">
        <v>4262</v>
      </c>
      <c r="E35" s="0" t="s">
        <v>4263</v>
      </c>
      <c r="F35" s="0" t="s">
        <v>4236</v>
      </c>
      <c r="G35" s="0" t="s">
        <v>1236</v>
      </c>
    </row>
    <row customHeight="1" ht="11.25">
      <c r="A36" s="519" t="s">
        <v>16</v>
      </c>
      <c r="B36" s="0" t="s">
        <v>101</v>
      </c>
      <c r="C36" s="0" t="s">
        <v>4257</v>
      </c>
      <c r="D36" s="0" t="s">
        <v>4264</v>
      </c>
      <c r="E36" s="0" t="s">
        <v>4265</v>
      </c>
      <c r="F36" s="0" t="s">
        <v>4200</v>
      </c>
      <c r="G36" s="0" t="s">
        <v>1241</v>
      </c>
    </row>
    <row customHeight="1" ht="11.25">
      <c r="A37" s="519" t="s">
        <v>16</v>
      </c>
      <c r="B37" s="0" t="s">
        <v>101</v>
      </c>
      <c r="C37" s="0" t="s">
        <v>4257</v>
      </c>
      <c r="D37" s="0" t="s">
        <v>4266</v>
      </c>
      <c r="E37" s="0" t="s">
        <v>4267</v>
      </c>
      <c r="F37" s="0" t="s">
        <v>4200</v>
      </c>
      <c r="G37" s="0" t="s">
        <v>1243</v>
      </c>
    </row>
    <row customHeight="1" ht="11.25">
      <c r="A38" s="519" t="s">
        <v>16</v>
      </c>
      <c r="B38" s="0" t="s">
        <v>101</v>
      </c>
      <c r="C38" s="0" t="s">
        <v>4257</v>
      </c>
      <c r="D38" s="0" t="s">
        <v>4268</v>
      </c>
      <c r="E38" s="0" t="s">
        <v>4269</v>
      </c>
      <c r="F38" s="0" t="s">
        <v>4200</v>
      </c>
      <c r="G38" s="0" t="s">
        <v>1245</v>
      </c>
    </row>
    <row customHeight="1" ht="11.25">
      <c r="A39" s="519" t="s">
        <v>16</v>
      </c>
      <c r="B39" s="0" t="s">
        <v>101</v>
      </c>
      <c r="C39" s="0" t="s">
        <v>4257</v>
      </c>
      <c r="D39" s="0" t="s">
        <v>4270</v>
      </c>
      <c r="E39" s="0" t="s">
        <v>4271</v>
      </c>
      <c r="F39" s="0" t="s">
        <v>4200</v>
      </c>
      <c r="G39" s="0" t="s">
        <v>1247</v>
      </c>
    </row>
    <row customHeight="1" ht="11.25">
      <c r="A40" s="519" t="s">
        <v>16</v>
      </c>
      <c r="B40" s="0" t="s">
        <v>101</v>
      </c>
      <c r="C40" s="0" t="s">
        <v>4257</v>
      </c>
      <c r="D40" s="0" t="s">
        <v>4272</v>
      </c>
      <c r="E40" s="0" t="s">
        <v>4273</v>
      </c>
      <c r="F40" s="0" t="s">
        <v>4200</v>
      </c>
      <c r="G40" s="0" t="s">
        <v>1249</v>
      </c>
    </row>
    <row customHeight="1" ht="11.25">
      <c r="A41" s="519" t="s">
        <v>16</v>
      </c>
      <c r="B41" s="0" t="s">
        <v>101</v>
      </c>
      <c r="C41" s="0" t="s">
        <v>4257</v>
      </c>
      <c r="D41" s="0" t="s">
        <v>4274</v>
      </c>
      <c r="E41" s="0" t="s">
        <v>4275</v>
      </c>
      <c r="F41" s="0" t="s">
        <v>4200</v>
      </c>
      <c r="G41" s="0" t="s">
        <v>1252</v>
      </c>
    </row>
    <row customHeight="1" ht="11.25">
      <c r="A42" s="519" t="s">
        <v>16</v>
      </c>
      <c r="B42" s="0" t="s">
        <v>101</v>
      </c>
      <c r="C42" s="0" t="s">
        <v>4257</v>
      </c>
      <c r="D42" s="0" t="s">
        <v>4276</v>
      </c>
      <c r="E42" s="0" t="s">
        <v>4277</v>
      </c>
      <c r="F42" s="0" t="s">
        <v>4200</v>
      </c>
      <c r="G42" s="0" t="s">
        <v>1254</v>
      </c>
    </row>
    <row customHeight="1" ht="11.25">
      <c r="A43" s="519" t="s">
        <v>16</v>
      </c>
      <c r="B43" s="0" t="s">
        <v>101</v>
      </c>
      <c r="C43" s="0" t="s">
        <v>4257</v>
      </c>
      <c r="D43" s="0" t="s">
        <v>4278</v>
      </c>
      <c r="E43" s="0" t="s">
        <v>4279</v>
      </c>
      <c r="F43" s="0" t="s">
        <v>4200</v>
      </c>
      <c r="G43" s="0" t="s">
        <v>1256</v>
      </c>
    </row>
    <row customHeight="1" ht="11.25">
      <c r="A44" s="519" t="s">
        <v>16</v>
      </c>
      <c r="B44" s="0" t="s">
        <v>101</v>
      </c>
      <c r="C44" s="0" t="s">
        <v>4257</v>
      </c>
      <c r="D44" s="0" t="s">
        <v>4280</v>
      </c>
      <c r="E44" s="0" t="s">
        <v>4281</v>
      </c>
      <c r="F44" s="0" t="s">
        <v>4200</v>
      </c>
      <c r="G44" s="0" t="s">
        <v>100</v>
      </c>
    </row>
    <row customHeight="1" ht="11.25">
      <c r="A45" s="519" t="s">
        <v>16</v>
      </c>
      <c r="B45" s="0" t="s">
        <v>101</v>
      </c>
      <c r="C45" s="0" t="s">
        <v>4257</v>
      </c>
      <c r="D45" s="0" t="s">
        <v>4282</v>
      </c>
      <c r="E45" s="0" t="s">
        <v>4283</v>
      </c>
      <c r="F45" s="0" t="s">
        <v>4200</v>
      </c>
      <c r="G45" s="0" t="s">
        <v>1259</v>
      </c>
    </row>
    <row customHeight="1" ht="11.25">
      <c r="A46" s="519" t="s">
        <v>16</v>
      </c>
      <c r="B46" s="0" t="s">
        <v>101</v>
      </c>
      <c r="C46" s="0" t="s">
        <v>4257</v>
      </c>
      <c r="D46" s="0" t="s">
        <v>4284</v>
      </c>
      <c r="E46" s="0" t="s">
        <v>4285</v>
      </c>
      <c r="F46" s="0" t="s">
        <v>4200</v>
      </c>
      <c r="G46" s="0" t="s">
        <v>1261</v>
      </c>
    </row>
    <row customHeight="1" ht="11.25">
      <c r="A47" s="519" t="s">
        <v>16</v>
      </c>
      <c r="B47" s="0" t="s">
        <v>101</v>
      </c>
      <c r="C47" s="0" t="s">
        <v>4257</v>
      </c>
      <c r="D47" s="0" t="s">
        <v>102</v>
      </c>
      <c r="E47" s="0" t="s">
        <v>103</v>
      </c>
      <c r="F47" s="0" t="s">
        <v>4209</v>
      </c>
      <c r="G47" s="0" t="s">
        <v>1263</v>
      </c>
    </row>
    <row customHeight="1" ht="11.25">
      <c r="A48" s="519" t="s">
        <v>16</v>
      </c>
      <c r="B48" s="0" t="s">
        <v>101</v>
      </c>
      <c r="C48" s="0" t="s">
        <v>4257</v>
      </c>
      <c r="D48" s="0" t="s">
        <v>4286</v>
      </c>
      <c r="E48" s="0" t="s">
        <v>4287</v>
      </c>
      <c r="F48" s="0" t="s">
        <v>4200</v>
      </c>
      <c r="G48" s="0" t="s">
        <v>1265</v>
      </c>
    </row>
    <row customHeight="1" ht="11.25">
      <c r="A49" s="519" t="s">
        <v>16</v>
      </c>
      <c r="B49" s="0" t="s">
        <v>101</v>
      </c>
      <c r="C49" s="0" t="s">
        <v>4257</v>
      </c>
      <c r="D49" s="0" t="s">
        <v>4288</v>
      </c>
      <c r="E49" s="0" t="s">
        <v>4289</v>
      </c>
      <c r="F49" s="0" t="s">
        <v>4200</v>
      </c>
      <c r="G49" s="0" t="s">
        <v>1267</v>
      </c>
    </row>
    <row customHeight="1" ht="11.25">
      <c r="A50" s="519" t="s">
        <v>16</v>
      </c>
      <c r="B50" s="0" t="s">
        <v>4290</v>
      </c>
      <c r="C50" s="0" t="s">
        <v>4291</v>
      </c>
      <c r="D50" s="0" t="s">
        <v>4290</v>
      </c>
      <c r="E50" s="0" t="s">
        <v>4291</v>
      </c>
      <c r="F50" s="0" t="s">
        <v>4194</v>
      </c>
      <c r="G50" s="0" t="s">
        <v>1270</v>
      </c>
    </row>
    <row customHeight="1" ht="11.25">
      <c r="A51" s="519" t="s">
        <v>16</v>
      </c>
      <c r="B51" s="0" t="s">
        <v>4292</v>
      </c>
      <c r="C51" s="0" t="s">
        <v>4293</v>
      </c>
      <c r="D51" s="0" t="s">
        <v>4294</v>
      </c>
      <c r="E51" s="0" t="s">
        <v>4295</v>
      </c>
      <c r="F51" s="0" t="s">
        <v>4200</v>
      </c>
      <c r="G51" s="0" t="s">
        <v>1272</v>
      </c>
    </row>
    <row customHeight="1" ht="11.25">
      <c r="A52" s="519" t="s">
        <v>16</v>
      </c>
      <c r="B52" s="0" t="s">
        <v>4292</v>
      </c>
      <c r="C52" s="0" t="s">
        <v>4293</v>
      </c>
      <c r="D52" s="0" t="s">
        <v>4296</v>
      </c>
      <c r="E52" s="0" t="s">
        <v>4297</v>
      </c>
      <c r="F52" s="0" t="s">
        <v>4200</v>
      </c>
      <c r="G52" s="0" t="s">
        <v>1276</v>
      </c>
    </row>
    <row customHeight="1" ht="11.25">
      <c r="A53" s="519" t="s">
        <v>16</v>
      </c>
      <c r="B53" s="0" t="s">
        <v>4292</v>
      </c>
      <c r="C53" s="0" t="s">
        <v>4293</v>
      </c>
      <c r="D53" s="0" t="s">
        <v>4292</v>
      </c>
      <c r="E53" s="0" t="s">
        <v>4293</v>
      </c>
      <c r="F53" s="0" t="s">
        <v>4197</v>
      </c>
      <c r="G53" s="0" t="s">
        <v>1979</v>
      </c>
    </row>
    <row customHeight="1" ht="11.25">
      <c r="A54" s="519" t="s">
        <v>16</v>
      </c>
      <c r="B54" s="0" t="s">
        <v>4292</v>
      </c>
      <c r="C54" s="0" t="s">
        <v>4293</v>
      </c>
      <c r="D54" s="0" t="s">
        <v>4298</v>
      </c>
      <c r="E54" s="0" t="s">
        <v>4299</v>
      </c>
      <c r="F54" s="0" t="s">
        <v>4200</v>
      </c>
      <c r="G54" s="0" t="s">
        <v>1982</v>
      </c>
    </row>
    <row customHeight="1" ht="11.25">
      <c r="A55" s="519" t="s">
        <v>16</v>
      </c>
      <c r="B55" s="0" t="s">
        <v>4292</v>
      </c>
      <c r="C55" s="0" t="s">
        <v>4293</v>
      </c>
      <c r="D55" s="0" t="s">
        <v>4300</v>
      </c>
      <c r="E55" s="0" t="s">
        <v>4301</v>
      </c>
      <c r="F55" s="0" t="s">
        <v>4200</v>
      </c>
      <c r="G55" s="0" t="s">
        <v>1987</v>
      </c>
    </row>
    <row customHeight="1" ht="11.25">
      <c r="A56" s="519" t="s">
        <v>16</v>
      </c>
      <c r="B56" s="0" t="s">
        <v>4292</v>
      </c>
      <c r="C56" s="0" t="s">
        <v>4293</v>
      </c>
      <c r="D56" s="0" t="s">
        <v>4302</v>
      </c>
      <c r="E56" s="0" t="s">
        <v>4303</v>
      </c>
      <c r="F56" s="0" t="s">
        <v>4200</v>
      </c>
      <c r="G56" s="0" t="s">
        <v>1991</v>
      </c>
    </row>
    <row customHeight="1" ht="11.25">
      <c r="A57" s="519" t="s">
        <v>16</v>
      </c>
      <c r="B57" s="0" t="s">
        <v>4292</v>
      </c>
      <c r="C57" s="0" t="s">
        <v>4293</v>
      </c>
      <c r="D57" s="0" t="s">
        <v>4304</v>
      </c>
      <c r="E57" s="0" t="s">
        <v>4305</v>
      </c>
      <c r="F57" s="0" t="s">
        <v>4200</v>
      </c>
      <c r="G57" s="0" t="s">
        <v>1136</v>
      </c>
    </row>
    <row customHeight="1" ht="11.25">
      <c r="A58" s="519" t="s">
        <v>16</v>
      </c>
      <c r="B58" s="0" t="s">
        <v>4292</v>
      </c>
      <c r="C58" s="0" t="s">
        <v>4293</v>
      </c>
      <c r="D58" s="0" t="s">
        <v>4306</v>
      </c>
      <c r="E58" s="0" t="s">
        <v>4307</v>
      </c>
      <c r="F58" s="0" t="s">
        <v>4200</v>
      </c>
      <c r="G58" s="0" t="s">
        <v>1996</v>
      </c>
    </row>
    <row customHeight="1" ht="11.25">
      <c r="A59" s="519" t="s">
        <v>16</v>
      </c>
      <c r="B59" s="0" t="s">
        <v>4292</v>
      </c>
      <c r="C59" s="0" t="s">
        <v>4293</v>
      </c>
      <c r="D59" s="0" t="s">
        <v>4308</v>
      </c>
      <c r="E59" s="0" t="s">
        <v>4309</v>
      </c>
      <c r="F59" s="0" t="s">
        <v>4200</v>
      </c>
      <c r="G59" s="0" t="s">
        <v>2000</v>
      </c>
    </row>
    <row customHeight="1" ht="11.25">
      <c r="A60" s="519" t="s">
        <v>16</v>
      </c>
      <c r="B60" s="0" t="s">
        <v>4292</v>
      </c>
      <c r="C60" s="0" t="s">
        <v>4293</v>
      </c>
      <c r="D60" s="0" t="s">
        <v>4310</v>
      </c>
      <c r="E60" s="0" t="s">
        <v>4311</v>
      </c>
      <c r="F60" s="0" t="s">
        <v>4200</v>
      </c>
      <c r="G60" s="0" t="s">
        <v>2003</v>
      </c>
    </row>
    <row customHeight="1" ht="11.25">
      <c r="A61" s="519" t="s">
        <v>16</v>
      </c>
      <c r="B61" s="0" t="s">
        <v>4312</v>
      </c>
      <c r="C61" s="0" t="s">
        <v>4313</v>
      </c>
      <c r="D61" s="0" t="s">
        <v>4314</v>
      </c>
      <c r="E61" s="0" t="s">
        <v>4315</v>
      </c>
      <c r="F61" s="0" t="s">
        <v>4200</v>
      </c>
      <c r="G61" s="0" t="s">
        <v>4316</v>
      </c>
    </row>
    <row customHeight="1" ht="11.25">
      <c r="A62" s="519" t="s">
        <v>16</v>
      </c>
      <c r="B62" s="0" t="s">
        <v>4312</v>
      </c>
      <c r="C62" s="0" t="s">
        <v>4313</v>
      </c>
      <c r="D62" s="0" t="s">
        <v>4312</v>
      </c>
      <c r="E62" s="0" t="s">
        <v>4313</v>
      </c>
      <c r="F62" s="0" t="s">
        <v>4197</v>
      </c>
      <c r="G62" s="0" t="s">
        <v>4317</v>
      </c>
    </row>
    <row customHeight="1" ht="11.25">
      <c r="A63" s="519" t="s">
        <v>16</v>
      </c>
      <c r="B63" s="0" t="s">
        <v>4312</v>
      </c>
      <c r="C63" s="0" t="s">
        <v>4313</v>
      </c>
      <c r="D63" s="0" t="s">
        <v>4318</v>
      </c>
      <c r="E63" s="0" t="s">
        <v>4319</v>
      </c>
      <c r="F63" s="0" t="s">
        <v>4200</v>
      </c>
      <c r="G63" s="0" t="s">
        <v>4320</v>
      </c>
    </row>
    <row customHeight="1" ht="11.25">
      <c r="A64" s="519" t="s">
        <v>16</v>
      </c>
      <c r="B64" s="0" t="s">
        <v>4312</v>
      </c>
      <c r="C64" s="0" t="s">
        <v>4313</v>
      </c>
      <c r="D64" s="0" t="s">
        <v>4321</v>
      </c>
      <c r="E64" s="0" t="s">
        <v>4322</v>
      </c>
      <c r="F64" s="0" t="s">
        <v>4200</v>
      </c>
      <c r="G64" s="0" t="s">
        <v>4323</v>
      </c>
    </row>
    <row customHeight="1" ht="11.25">
      <c r="A65" s="519" t="s">
        <v>16</v>
      </c>
      <c r="B65" s="0" t="s">
        <v>4312</v>
      </c>
      <c r="C65" s="0" t="s">
        <v>4313</v>
      </c>
      <c r="D65" s="0" t="s">
        <v>4324</v>
      </c>
      <c r="E65" s="0" t="s">
        <v>4325</v>
      </c>
      <c r="F65" s="0" t="s">
        <v>4200</v>
      </c>
      <c r="G65" s="0" t="s">
        <v>4326</v>
      </c>
    </row>
    <row customHeight="1" ht="11.25">
      <c r="A66" s="519" t="s">
        <v>16</v>
      </c>
      <c r="B66" s="0" t="s">
        <v>4312</v>
      </c>
      <c r="C66" s="0" t="s">
        <v>4313</v>
      </c>
      <c r="D66" s="0" t="s">
        <v>4327</v>
      </c>
      <c r="E66" s="0" t="s">
        <v>4328</v>
      </c>
      <c r="F66" s="0" t="s">
        <v>4236</v>
      </c>
      <c r="G66" s="0" t="s">
        <v>4329</v>
      </c>
    </row>
    <row customHeight="1" ht="11.25">
      <c r="A67" s="519" t="s">
        <v>16</v>
      </c>
      <c r="B67" s="0" t="s">
        <v>4312</v>
      </c>
      <c r="C67" s="0" t="s">
        <v>4313</v>
      </c>
      <c r="D67" s="0" t="s">
        <v>4330</v>
      </c>
      <c r="E67" s="0" t="s">
        <v>4331</v>
      </c>
      <c r="F67" s="0" t="s">
        <v>4200</v>
      </c>
      <c r="G67" s="0" t="s">
        <v>2308</v>
      </c>
    </row>
    <row customHeight="1" ht="11.25">
      <c r="A68" s="519" t="s">
        <v>16</v>
      </c>
      <c r="B68" s="0" t="s">
        <v>4312</v>
      </c>
      <c r="C68" s="0" t="s">
        <v>4313</v>
      </c>
      <c r="D68" s="0" t="s">
        <v>4332</v>
      </c>
      <c r="E68" s="0" t="s">
        <v>4333</v>
      </c>
      <c r="F68" s="0" t="s">
        <v>4200</v>
      </c>
      <c r="G68" s="0" t="s">
        <v>4334</v>
      </c>
    </row>
    <row customHeight="1" ht="11.25">
      <c r="A69" s="519" t="s">
        <v>16</v>
      </c>
      <c r="B69" s="0" t="s">
        <v>4312</v>
      </c>
      <c r="C69" s="0" t="s">
        <v>4313</v>
      </c>
      <c r="D69" s="0" t="s">
        <v>4335</v>
      </c>
      <c r="E69" s="0" t="s">
        <v>4336</v>
      </c>
      <c r="F69" s="0" t="s">
        <v>4200</v>
      </c>
      <c r="G69" s="0" t="s">
        <v>1118</v>
      </c>
    </row>
    <row customHeight="1" ht="11.25">
      <c r="A70" s="519" t="s">
        <v>16</v>
      </c>
      <c r="B70" s="0" t="s">
        <v>4312</v>
      </c>
      <c r="C70" s="0" t="s">
        <v>4313</v>
      </c>
      <c r="D70" s="0" t="s">
        <v>4337</v>
      </c>
      <c r="E70" s="0" t="s">
        <v>4338</v>
      </c>
      <c r="F70" s="0" t="s">
        <v>4200</v>
      </c>
      <c r="G70" s="0" t="s">
        <v>112</v>
      </c>
    </row>
    <row customHeight="1" ht="11.25">
      <c r="A71" s="519" t="s">
        <v>16</v>
      </c>
      <c r="B71" s="0" t="s">
        <v>4312</v>
      </c>
      <c r="C71" s="0" t="s">
        <v>4313</v>
      </c>
      <c r="D71" s="0" t="s">
        <v>4339</v>
      </c>
      <c r="E71" s="0" t="s">
        <v>4340</v>
      </c>
      <c r="F71" s="0" t="s">
        <v>4200</v>
      </c>
      <c r="G71" s="0" t="s">
        <v>4341</v>
      </c>
    </row>
    <row customHeight="1" ht="11.25">
      <c r="A72" s="519" t="s">
        <v>16</v>
      </c>
      <c r="B72" s="0" t="s">
        <v>4342</v>
      </c>
      <c r="C72" s="0" t="s">
        <v>4343</v>
      </c>
      <c r="D72" s="0" t="s">
        <v>4342</v>
      </c>
      <c r="E72" s="0" t="s">
        <v>4343</v>
      </c>
      <c r="F72" s="0" t="s">
        <v>4344</v>
      </c>
      <c r="G72" s="0" t="s">
        <v>4345</v>
      </c>
    </row>
    <row customHeight="1" ht="11.25">
      <c r="A73" s="519" t="s">
        <v>16</v>
      </c>
      <c r="B73" s="0" t="s">
        <v>113</v>
      </c>
      <c r="C73" s="0" t="s">
        <v>114</v>
      </c>
      <c r="D73" s="0" t="s">
        <v>113</v>
      </c>
      <c r="E73" s="0" t="s">
        <v>114</v>
      </c>
      <c r="F73" s="0" t="s">
        <v>4344</v>
      </c>
      <c r="G73" s="0" t="s">
        <v>4346</v>
      </c>
    </row>
    <row customHeight="1" ht="11.25">
      <c r="A74" s="519" t="s">
        <v>16</v>
      </c>
      <c r="B74" s="0" t="s">
        <v>4347</v>
      </c>
      <c r="C74" s="0" t="s">
        <v>4348</v>
      </c>
      <c r="D74" s="0" t="s">
        <v>4347</v>
      </c>
      <c r="E74" s="0" t="s">
        <v>4348</v>
      </c>
      <c r="F74" s="0" t="s">
        <v>4344</v>
      </c>
      <c r="G74" s="0" t="s">
        <v>4349</v>
      </c>
    </row>
    <row customHeight="1" ht="11.25">
      <c r="A75" s="519" t="s">
        <v>16</v>
      </c>
      <c r="B75" s="0" t="s">
        <v>4350</v>
      </c>
      <c r="C75" s="0" t="s">
        <v>4351</v>
      </c>
      <c r="D75" s="0" t="s">
        <v>4350</v>
      </c>
      <c r="E75" s="0" t="s">
        <v>4351</v>
      </c>
      <c r="F75" s="0" t="s">
        <v>4344</v>
      </c>
      <c r="G75" s="0" t="s">
        <v>4352</v>
      </c>
    </row>
    <row customHeight="1" ht="11.25">
      <c r="A76" s="519" t="s">
        <v>16</v>
      </c>
      <c r="B76" s="0" t="s">
        <v>4353</v>
      </c>
      <c r="C76" s="0" t="s">
        <v>4354</v>
      </c>
      <c r="D76" s="0" t="s">
        <v>4353</v>
      </c>
      <c r="E76" s="0" t="s">
        <v>4354</v>
      </c>
      <c r="F76" s="0" t="s">
        <v>4194</v>
      </c>
      <c r="G76" s="0" t="s">
        <v>4355</v>
      </c>
    </row>
    <row customHeight="1" ht="11.25">
      <c r="A77" s="519" t="s">
        <v>16</v>
      </c>
      <c r="B77" s="0" t="s">
        <v>4356</v>
      </c>
      <c r="C77" s="0" t="s">
        <v>4357</v>
      </c>
      <c r="D77" s="0" t="s">
        <v>4358</v>
      </c>
      <c r="E77" s="0" t="s">
        <v>4359</v>
      </c>
      <c r="F77" s="0" t="s">
        <v>4200</v>
      </c>
      <c r="G77" s="0" t="s">
        <v>4360</v>
      </c>
    </row>
    <row customHeight="1" ht="11.25">
      <c r="A78" s="519" t="s">
        <v>16</v>
      </c>
      <c r="B78" s="0" t="s">
        <v>4356</v>
      </c>
      <c r="C78" s="0" t="s">
        <v>4357</v>
      </c>
      <c r="D78" s="0" t="s">
        <v>4361</v>
      </c>
      <c r="E78" s="0" t="s">
        <v>4362</v>
      </c>
      <c r="F78" s="0" t="s">
        <v>4200</v>
      </c>
      <c r="G78" s="0" t="s">
        <v>4363</v>
      </c>
    </row>
    <row customHeight="1" ht="11.25">
      <c r="A79" s="519" t="s">
        <v>16</v>
      </c>
      <c r="B79" s="0" t="s">
        <v>4356</v>
      </c>
      <c r="C79" s="0" t="s">
        <v>4357</v>
      </c>
      <c r="D79" s="0" t="s">
        <v>4364</v>
      </c>
      <c r="E79" s="0" t="s">
        <v>4365</v>
      </c>
      <c r="F79" s="0" t="s">
        <v>4200</v>
      </c>
      <c r="G79" s="0" t="s">
        <v>4366</v>
      </c>
    </row>
    <row customHeight="1" ht="11.25">
      <c r="A80" s="519" t="s">
        <v>16</v>
      </c>
      <c r="B80" s="0" t="s">
        <v>4356</v>
      </c>
      <c r="C80" s="0" t="s">
        <v>4357</v>
      </c>
      <c r="D80" s="0" t="s">
        <v>4367</v>
      </c>
      <c r="E80" s="0" t="s">
        <v>4368</v>
      </c>
      <c r="F80" s="0" t="s">
        <v>4200</v>
      </c>
      <c r="G80" s="0" t="s">
        <v>4369</v>
      </c>
    </row>
    <row customHeight="1" ht="11.25">
      <c r="A81" s="519" t="s">
        <v>16</v>
      </c>
      <c r="B81" s="0" t="s">
        <v>4356</v>
      </c>
      <c r="C81" s="0" t="s">
        <v>4357</v>
      </c>
      <c r="D81" s="0" t="s">
        <v>4356</v>
      </c>
      <c r="E81" s="0" t="s">
        <v>4357</v>
      </c>
      <c r="F81" s="0" t="s">
        <v>4197</v>
      </c>
      <c r="G81" s="0" t="s">
        <v>4370</v>
      </c>
    </row>
    <row customHeight="1" ht="11.25">
      <c r="A82" s="519" t="s">
        <v>16</v>
      </c>
      <c r="B82" s="0" t="s">
        <v>4356</v>
      </c>
      <c r="C82" s="0" t="s">
        <v>4357</v>
      </c>
      <c r="D82" s="0" t="s">
        <v>4371</v>
      </c>
      <c r="E82" s="0" t="s">
        <v>4372</v>
      </c>
      <c r="F82" s="0" t="s">
        <v>4200</v>
      </c>
      <c r="G82" s="0" t="s">
        <v>4373</v>
      </c>
    </row>
    <row customHeight="1" ht="11.25">
      <c r="A83" s="519" t="s">
        <v>16</v>
      </c>
      <c r="B83" s="0" t="s">
        <v>4356</v>
      </c>
      <c r="C83" s="0" t="s">
        <v>4357</v>
      </c>
      <c r="D83" s="0" t="s">
        <v>4374</v>
      </c>
      <c r="E83" s="0" t="s">
        <v>4375</v>
      </c>
      <c r="F83" s="0" t="s">
        <v>4200</v>
      </c>
      <c r="G83" s="0" t="s">
        <v>4376</v>
      </c>
    </row>
    <row customHeight="1" ht="11.25">
      <c r="A84" s="519" t="s">
        <v>16</v>
      </c>
      <c r="B84" s="0" t="s">
        <v>4356</v>
      </c>
      <c r="C84" s="0" t="s">
        <v>4357</v>
      </c>
      <c r="D84" s="0" t="s">
        <v>4377</v>
      </c>
      <c r="E84" s="0" t="s">
        <v>4378</v>
      </c>
      <c r="F84" s="0" t="s">
        <v>4200</v>
      </c>
      <c r="G84" s="0" t="s">
        <v>4379</v>
      </c>
    </row>
    <row customHeight="1" ht="11.25">
      <c r="A85" s="519" t="s">
        <v>16</v>
      </c>
      <c r="B85" s="0" t="s">
        <v>4356</v>
      </c>
      <c r="C85" s="0" t="s">
        <v>4357</v>
      </c>
      <c r="D85" s="0" t="s">
        <v>4380</v>
      </c>
      <c r="E85" s="0" t="s">
        <v>4381</v>
      </c>
      <c r="F85" s="0" t="s">
        <v>4200</v>
      </c>
      <c r="G85" s="0" t="s">
        <v>4382</v>
      </c>
    </row>
    <row customHeight="1" ht="11.25">
      <c r="A86" s="519" t="s">
        <v>16</v>
      </c>
      <c r="B86" s="0" t="s">
        <v>4356</v>
      </c>
      <c r="C86" s="0" t="s">
        <v>4357</v>
      </c>
      <c r="D86" s="0" t="s">
        <v>4383</v>
      </c>
      <c r="E86" s="0" t="s">
        <v>4384</v>
      </c>
      <c r="F86" s="0" t="s">
        <v>4200</v>
      </c>
      <c r="G86" s="0" t="s">
        <v>4385</v>
      </c>
    </row>
    <row customHeight="1" ht="11.25">
      <c r="A87" s="519" t="s">
        <v>16</v>
      </c>
      <c r="B87" s="0" t="s">
        <v>4356</v>
      </c>
      <c r="C87" s="0" t="s">
        <v>4357</v>
      </c>
      <c r="D87" s="0" t="s">
        <v>4386</v>
      </c>
      <c r="E87" s="0" t="s">
        <v>4387</v>
      </c>
      <c r="F87" s="0" t="s">
        <v>4200</v>
      </c>
      <c r="G87" s="0" t="s">
        <v>4388</v>
      </c>
    </row>
    <row customHeight="1" ht="11.25">
      <c r="A88" s="519" t="s">
        <v>16</v>
      </c>
      <c r="B88" s="0" t="s">
        <v>4389</v>
      </c>
      <c r="C88" s="0" t="s">
        <v>4390</v>
      </c>
      <c r="D88" s="0" t="s">
        <v>4389</v>
      </c>
      <c r="E88" s="0" t="s">
        <v>4390</v>
      </c>
      <c r="F88" s="0" t="s">
        <v>4194</v>
      </c>
      <c r="G88" s="0" t="s">
        <v>1126</v>
      </c>
    </row>
    <row customHeight="1" ht="11.25">
      <c r="A89" s="519" t="s">
        <v>16</v>
      </c>
      <c r="B89" s="0" t="s">
        <v>4391</v>
      </c>
      <c r="C89" s="0" t="s">
        <v>4392</v>
      </c>
      <c r="D89" s="0" t="s">
        <v>4393</v>
      </c>
      <c r="E89" s="0" t="s">
        <v>4394</v>
      </c>
      <c r="F89" s="0" t="s">
        <v>4200</v>
      </c>
      <c r="G89" s="0" t="s">
        <v>4395</v>
      </c>
    </row>
    <row customHeight="1" ht="11.25">
      <c r="A90" s="519" t="s">
        <v>16</v>
      </c>
      <c r="B90" s="0" t="s">
        <v>4391</v>
      </c>
      <c r="C90" s="0" t="s">
        <v>4392</v>
      </c>
      <c r="D90" s="0" t="s">
        <v>4396</v>
      </c>
      <c r="E90" s="0" t="s">
        <v>4397</v>
      </c>
      <c r="F90" s="0" t="s">
        <v>4200</v>
      </c>
      <c r="G90" s="0" t="s">
        <v>4398</v>
      </c>
    </row>
    <row customHeight="1" ht="11.25">
      <c r="A91" s="519" t="s">
        <v>16</v>
      </c>
      <c r="B91" s="0" t="s">
        <v>4391</v>
      </c>
      <c r="C91" s="0" t="s">
        <v>4392</v>
      </c>
      <c r="D91" s="0" t="s">
        <v>4399</v>
      </c>
      <c r="E91" s="0" t="s">
        <v>4400</v>
      </c>
      <c r="F91" s="0" t="s">
        <v>4200</v>
      </c>
      <c r="G91" s="0" t="s">
        <v>4401</v>
      </c>
    </row>
    <row customHeight="1" ht="11.25">
      <c r="A92" s="519" t="s">
        <v>16</v>
      </c>
      <c r="B92" s="0" t="s">
        <v>4391</v>
      </c>
      <c r="C92" s="0" t="s">
        <v>4392</v>
      </c>
      <c r="D92" s="0" t="s">
        <v>4391</v>
      </c>
      <c r="E92" s="0" t="s">
        <v>4392</v>
      </c>
      <c r="F92" s="0" t="s">
        <v>4197</v>
      </c>
      <c r="G92" s="0" t="s">
        <v>4402</v>
      </c>
    </row>
    <row customHeight="1" ht="11.25">
      <c r="A93" s="519" t="s">
        <v>16</v>
      </c>
      <c r="B93" s="0" t="s">
        <v>4391</v>
      </c>
      <c r="C93" s="0" t="s">
        <v>4392</v>
      </c>
      <c r="D93" s="0" t="s">
        <v>4403</v>
      </c>
      <c r="E93" s="0" t="s">
        <v>4404</v>
      </c>
      <c r="F93" s="0" t="s">
        <v>4209</v>
      </c>
      <c r="G93" s="0" t="s">
        <v>4405</v>
      </c>
    </row>
    <row customHeight="1" ht="11.25">
      <c r="A94" s="519" t="s">
        <v>16</v>
      </c>
      <c r="B94" s="0" t="s">
        <v>4391</v>
      </c>
      <c r="C94" s="0" t="s">
        <v>4392</v>
      </c>
      <c r="D94" s="0" t="s">
        <v>4406</v>
      </c>
      <c r="E94" s="0" t="s">
        <v>4407</v>
      </c>
      <c r="F94" s="0" t="s">
        <v>4200</v>
      </c>
      <c r="G94" s="0" t="s">
        <v>4408</v>
      </c>
    </row>
    <row customHeight="1" ht="11.25">
      <c r="A95" s="519" t="s">
        <v>16</v>
      </c>
      <c r="B95" s="0" t="s">
        <v>4391</v>
      </c>
      <c r="C95" s="0" t="s">
        <v>4392</v>
      </c>
      <c r="D95" s="0" t="s">
        <v>4409</v>
      </c>
      <c r="E95" s="0" t="s">
        <v>4410</v>
      </c>
      <c r="F95" s="0" t="s">
        <v>4200</v>
      </c>
      <c r="G95" s="0" t="s">
        <v>4411</v>
      </c>
    </row>
    <row customHeight="1" ht="11.25">
      <c r="A96" s="519" t="s">
        <v>16</v>
      </c>
      <c r="B96" s="0" t="s">
        <v>4391</v>
      </c>
      <c r="C96" s="0" t="s">
        <v>4392</v>
      </c>
      <c r="D96" s="0" t="s">
        <v>4412</v>
      </c>
      <c r="E96" s="0" t="s">
        <v>4413</v>
      </c>
      <c r="F96" s="0" t="s">
        <v>4200</v>
      </c>
      <c r="G96" s="0" t="s">
        <v>4414</v>
      </c>
    </row>
    <row customHeight="1" ht="11.25">
      <c r="A97" s="519" t="s">
        <v>16</v>
      </c>
      <c r="B97" s="0" t="s">
        <v>4391</v>
      </c>
      <c r="C97" s="0" t="s">
        <v>4392</v>
      </c>
      <c r="D97" s="0" t="s">
        <v>4415</v>
      </c>
      <c r="E97" s="0" t="s">
        <v>4416</v>
      </c>
      <c r="F97" s="0" t="s">
        <v>4200</v>
      </c>
      <c r="G97" s="0" t="s">
        <v>4417</v>
      </c>
    </row>
    <row customHeight="1" ht="11.25">
      <c r="A98" s="519" t="s">
        <v>16</v>
      </c>
      <c r="B98" s="0" t="s">
        <v>4418</v>
      </c>
      <c r="C98" s="0" t="s">
        <v>4419</v>
      </c>
      <c r="D98" s="0" t="s">
        <v>4418</v>
      </c>
      <c r="E98" s="0" t="s">
        <v>4419</v>
      </c>
      <c r="F98" s="0" t="s">
        <v>4194</v>
      </c>
      <c r="G98" s="0" t="s">
        <v>4420</v>
      </c>
    </row>
    <row customHeight="1" ht="11.25">
      <c r="A99" s="519" t="s">
        <v>16</v>
      </c>
      <c r="B99" s="0" t="s">
        <v>4421</v>
      </c>
      <c r="C99" s="0" t="s">
        <v>4422</v>
      </c>
      <c r="D99" s="0" t="s">
        <v>4421</v>
      </c>
      <c r="E99" s="0" t="s">
        <v>4422</v>
      </c>
      <c r="F99" s="0" t="s">
        <v>4194</v>
      </c>
      <c r="G99" s="0" t="s">
        <v>4423</v>
      </c>
    </row>
    <row customHeight="1" ht="11.25">
      <c r="A100" s="519" t="s">
        <v>16</v>
      </c>
      <c r="B100" s="0" t="s">
        <v>4424</v>
      </c>
      <c r="C100" s="0" t="s">
        <v>4425</v>
      </c>
      <c r="D100" s="0" t="s">
        <v>4426</v>
      </c>
      <c r="E100" s="0" t="s">
        <v>4427</v>
      </c>
      <c r="F100" s="0" t="s">
        <v>4200</v>
      </c>
      <c r="G100" s="0" t="s">
        <v>4428</v>
      </c>
    </row>
    <row customHeight="1" ht="11.25">
      <c r="A101" s="519" t="s">
        <v>16</v>
      </c>
      <c r="B101" s="0" t="s">
        <v>4424</v>
      </c>
      <c r="C101" s="0" t="s">
        <v>4425</v>
      </c>
      <c r="D101" s="0" t="s">
        <v>4429</v>
      </c>
      <c r="E101" s="0" t="s">
        <v>4430</v>
      </c>
      <c r="F101" s="0" t="s">
        <v>4200</v>
      </c>
      <c r="G101" s="0" t="s">
        <v>4431</v>
      </c>
    </row>
    <row customHeight="1" ht="11.25">
      <c r="A102" s="519" t="s">
        <v>16</v>
      </c>
      <c r="B102" s="0" t="s">
        <v>4424</v>
      </c>
      <c r="C102" s="0" t="s">
        <v>4425</v>
      </c>
      <c r="D102" s="0" t="s">
        <v>4432</v>
      </c>
      <c r="E102" s="0" t="s">
        <v>4433</v>
      </c>
      <c r="F102" s="0" t="s">
        <v>4200</v>
      </c>
      <c r="G102" s="0" t="s">
        <v>4434</v>
      </c>
    </row>
    <row customHeight="1" ht="11.25">
      <c r="A103" s="519" t="s">
        <v>16</v>
      </c>
      <c r="B103" s="0" t="s">
        <v>4424</v>
      </c>
      <c r="C103" s="0" t="s">
        <v>4425</v>
      </c>
      <c r="D103" s="0" t="s">
        <v>4435</v>
      </c>
      <c r="E103" s="0" t="s">
        <v>4436</v>
      </c>
      <c r="F103" s="0" t="s">
        <v>4200</v>
      </c>
      <c r="G103" s="0" t="s">
        <v>4437</v>
      </c>
    </row>
    <row customHeight="1" ht="11.25">
      <c r="A104" s="519" t="s">
        <v>16</v>
      </c>
      <c r="B104" s="0" t="s">
        <v>4424</v>
      </c>
      <c r="C104" s="0" t="s">
        <v>4425</v>
      </c>
      <c r="D104" s="0" t="s">
        <v>4424</v>
      </c>
      <c r="E104" s="0" t="s">
        <v>4425</v>
      </c>
      <c r="F104" s="0" t="s">
        <v>4197</v>
      </c>
      <c r="G104" s="0" t="s">
        <v>4438</v>
      </c>
    </row>
    <row customHeight="1" ht="11.25">
      <c r="A105" s="519" t="s">
        <v>16</v>
      </c>
      <c r="B105" s="0" t="s">
        <v>4424</v>
      </c>
      <c r="C105" s="0" t="s">
        <v>4425</v>
      </c>
      <c r="D105" s="0" t="s">
        <v>4439</v>
      </c>
      <c r="E105" s="0" t="s">
        <v>4440</v>
      </c>
      <c r="F105" s="0" t="s">
        <v>4200</v>
      </c>
      <c r="G105" s="0" t="s">
        <v>4441</v>
      </c>
    </row>
    <row customHeight="1" ht="11.25">
      <c r="A106" s="519" t="s">
        <v>16</v>
      </c>
      <c r="B106" s="0" t="s">
        <v>4424</v>
      </c>
      <c r="C106" s="0" t="s">
        <v>4425</v>
      </c>
      <c r="D106" s="0" t="s">
        <v>4442</v>
      </c>
      <c r="E106" s="0" t="s">
        <v>4443</v>
      </c>
      <c r="F106" s="0" t="s">
        <v>4200</v>
      </c>
      <c r="G106" s="0" t="s">
        <v>4444</v>
      </c>
    </row>
    <row customHeight="1" ht="11.25">
      <c r="A107" s="519" t="s">
        <v>16</v>
      </c>
      <c r="B107" s="0" t="s">
        <v>4424</v>
      </c>
      <c r="C107" s="0" t="s">
        <v>4425</v>
      </c>
      <c r="D107" s="0" t="s">
        <v>4445</v>
      </c>
      <c r="E107" s="0" t="s">
        <v>4446</v>
      </c>
      <c r="F107" s="0" t="s">
        <v>4200</v>
      </c>
      <c r="G107" s="0" t="s">
        <v>4447</v>
      </c>
    </row>
    <row customHeight="1" ht="11.25">
      <c r="A108" s="519" t="s">
        <v>16</v>
      </c>
      <c r="B108" s="0" t="s">
        <v>4424</v>
      </c>
      <c r="C108" s="0" t="s">
        <v>4425</v>
      </c>
      <c r="D108" s="0" t="s">
        <v>4448</v>
      </c>
      <c r="E108" s="0" t="s">
        <v>4449</v>
      </c>
      <c r="F108" s="0" t="s">
        <v>4200</v>
      </c>
      <c r="G108" s="0" t="s">
        <v>4450</v>
      </c>
    </row>
    <row customHeight="1" ht="11.25">
      <c r="A109" s="519" t="s">
        <v>16</v>
      </c>
      <c r="B109" s="0" t="s">
        <v>4424</v>
      </c>
      <c r="C109" s="0" t="s">
        <v>4425</v>
      </c>
      <c r="D109" s="0" t="s">
        <v>4451</v>
      </c>
      <c r="E109" s="0" t="s">
        <v>4452</v>
      </c>
      <c r="F109" s="0" t="s">
        <v>4200</v>
      </c>
      <c r="G109" s="0" t="s">
        <v>4453</v>
      </c>
    </row>
    <row customHeight="1" ht="11.25">
      <c r="A110" s="519" t="s">
        <v>16</v>
      </c>
      <c r="B110" s="0" t="s">
        <v>4424</v>
      </c>
      <c r="C110" s="0" t="s">
        <v>4425</v>
      </c>
      <c r="D110" s="0" t="s">
        <v>4454</v>
      </c>
      <c r="E110" s="0" t="s">
        <v>4455</v>
      </c>
      <c r="F110" s="0" t="s">
        <v>4200</v>
      </c>
      <c r="G110" s="0" t="s">
        <v>4456</v>
      </c>
    </row>
    <row customHeight="1" ht="11.25">
      <c r="A111" s="519" t="s">
        <v>16</v>
      </c>
      <c r="B111" s="0" t="s">
        <v>4424</v>
      </c>
      <c r="C111" s="0" t="s">
        <v>4425</v>
      </c>
      <c r="D111" s="0" t="s">
        <v>4457</v>
      </c>
      <c r="E111" s="0" t="s">
        <v>4458</v>
      </c>
      <c r="F111" s="0" t="s">
        <v>4200</v>
      </c>
      <c r="G111" s="0" t="s">
        <v>4459</v>
      </c>
    </row>
    <row customHeight="1" ht="11.25">
      <c r="A112" s="519" t="s">
        <v>16</v>
      </c>
      <c r="B112" s="0" t="s">
        <v>4460</v>
      </c>
      <c r="C112" s="0" t="s">
        <v>4461</v>
      </c>
      <c r="D112" s="0" t="s">
        <v>4460</v>
      </c>
      <c r="E112" s="0" t="s">
        <v>4461</v>
      </c>
      <c r="F112" s="0" t="s">
        <v>4194</v>
      </c>
      <c r="G112" s="0" t="s">
        <v>655</v>
      </c>
    </row>
    <row customHeight="1" ht="11.25">
      <c r="A113" s="519" t="s">
        <v>16</v>
      </c>
      <c r="B113" s="0" t="s">
        <v>4462</v>
      </c>
      <c r="C113" s="0" t="s">
        <v>4463</v>
      </c>
      <c r="D113" s="0" t="s">
        <v>4464</v>
      </c>
      <c r="E113" s="0" t="s">
        <v>4465</v>
      </c>
      <c r="F113" s="0" t="s">
        <v>4200</v>
      </c>
      <c r="G113" s="0" t="s">
        <v>4466</v>
      </c>
    </row>
    <row customHeight="1" ht="11.25">
      <c r="A114" s="519" t="s">
        <v>16</v>
      </c>
      <c r="B114" s="0" t="s">
        <v>4462</v>
      </c>
      <c r="C114" s="0" t="s">
        <v>4463</v>
      </c>
      <c r="D114" s="0" t="s">
        <v>4467</v>
      </c>
      <c r="E114" s="0" t="s">
        <v>4468</v>
      </c>
      <c r="F114" s="0" t="s">
        <v>4200</v>
      </c>
      <c r="G114" s="0" t="s">
        <v>4469</v>
      </c>
    </row>
    <row customHeight="1" ht="11.25">
      <c r="A115" s="519" t="s">
        <v>16</v>
      </c>
      <c r="B115" s="0" t="s">
        <v>4462</v>
      </c>
      <c r="C115" s="0" t="s">
        <v>4463</v>
      </c>
      <c r="D115" s="0" t="s">
        <v>4470</v>
      </c>
      <c r="E115" s="0" t="s">
        <v>4471</v>
      </c>
      <c r="F115" s="0" t="s">
        <v>4209</v>
      </c>
      <c r="G115" s="0" t="s">
        <v>4472</v>
      </c>
    </row>
    <row customHeight="1" ht="11.25">
      <c r="A116" s="519" t="s">
        <v>16</v>
      </c>
      <c r="B116" s="0" t="s">
        <v>4462</v>
      </c>
      <c r="C116" s="0" t="s">
        <v>4463</v>
      </c>
      <c r="D116" s="0" t="s">
        <v>4473</v>
      </c>
      <c r="E116" s="0" t="s">
        <v>4474</v>
      </c>
      <c r="F116" s="0" t="s">
        <v>4200</v>
      </c>
      <c r="G116" s="0" t="s">
        <v>4475</v>
      </c>
    </row>
    <row customHeight="1" ht="11.25">
      <c r="A117" s="519" t="s">
        <v>16</v>
      </c>
      <c r="B117" s="0" t="s">
        <v>4462</v>
      </c>
      <c r="C117" s="0" t="s">
        <v>4463</v>
      </c>
      <c r="D117" s="0" t="s">
        <v>4476</v>
      </c>
      <c r="E117" s="0" t="s">
        <v>4477</v>
      </c>
      <c r="F117" s="0" t="s">
        <v>4200</v>
      </c>
      <c r="G117" s="0" t="s">
        <v>4478</v>
      </c>
    </row>
    <row customHeight="1" ht="11.25">
      <c r="A118" s="519" t="s">
        <v>16</v>
      </c>
      <c r="B118" s="0" t="s">
        <v>4462</v>
      </c>
      <c r="C118" s="0" t="s">
        <v>4463</v>
      </c>
      <c r="D118" s="0" t="s">
        <v>4479</v>
      </c>
      <c r="E118" s="0" t="s">
        <v>4480</v>
      </c>
      <c r="F118" s="0" t="s">
        <v>4200</v>
      </c>
      <c r="G118" s="0" t="s">
        <v>4481</v>
      </c>
    </row>
    <row customHeight="1" ht="11.25">
      <c r="A119" s="519" t="s">
        <v>16</v>
      </c>
      <c r="B119" s="0" t="s">
        <v>4462</v>
      </c>
      <c r="C119" s="0" t="s">
        <v>4463</v>
      </c>
      <c r="D119" s="0" t="s">
        <v>4462</v>
      </c>
      <c r="E119" s="0" t="s">
        <v>4463</v>
      </c>
      <c r="F119" s="0" t="s">
        <v>4197</v>
      </c>
      <c r="G119" s="0" t="s">
        <v>4482</v>
      </c>
    </row>
    <row customHeight="1" ht="11.25">
      <c r="A120" s="519" t="s">
        <v>16</v>
      </c>
      <c r="B120" s="0" t="s">
        <v>4462</v>
      </c>
      <c r="C120" s="0" t="s">
        <v>4463</v>
      </c>
      <c r="D120" s="0" t="s">
        <v>4483</v>
      </c>
      <c r="E120" s="0" t="s">
        <v>4484</v>
      </c>
      <c r="F120" s="0" t="s">
        <v>4209</v>
      </c>
      <c r="G120" s="0" t="s">
        <v>4485</v>
      </c>
    </row>
    <row customHeight="1" ht="11.25">
      <c r="A121" s="519" t="s">
        <v>16</v>
      </c>
      <c r="B121" s="0" t="s">
        <v>4462</v>
      </c>
      <c r="C121" s="0" t="s">
        <v>4463</v>
      </c>
      <c r="D121" s="0" t="s">
        <v>4486</v>
      </c>
      <c r="E121" s="0" t="s">
        <v>4487</v>
      </c>
      <c r="F121" s="0" t="s">
        <v>4209</v>
      </c>
      <c r="G121" s="0" t="s">
        <v>4488</v>
      </c>
    </row>
    <row customHeight="1" ht="11.25">
      <c r="A122" s="519" t="s">
        <v>16</v>
      </c>
      <c r="B122" s="0" t="s">
        <v>4462</v>
      </c>
      <c r="C122" s="0" t="s">
        <v>4463</v>
      </c>
      <c r="D122" s="0" t="s">
        <v>4489</v>
      </c>
      <c r="E122" s="0" t="s">
        <v>4490</v>
      </c>
      <c r="F122" s="0" t="s">
        <v>4200</v>
      </c>
      <c r="G122" s="0" t="s">
        <v>4491</v>
      </c>
    </row>
    <row customHeight="1" ht="11.25">
      <c r="A123" s="519" t="s">
        <v>16</v>
      </c>
      <c r="B123" s="0" t="s">
        <v>4462</v>
      </c>
      <c r="C123" s="0" t="s">
        <v>4463</v>
      </c>
      <c r="D123" s="0" t="s">
        <v>4492</v>
      </c>
      <c r="E123" s="0" t="s">
        <v>4493</v>
      </c>
      <c r="F123" s="0" t="s">
        <v>4200</v>
      </c>
      <c r="G123" s="0" t="s">
        <v>4494</v>
      </c>
    </row>
    <row customHeight="1" ht="11.25">
      <c r="A124" s="519" t="s">
        <v>16</v>
      </c>
      <c r="B124" s="0" t="s">
        <v>4462</v>
      </c>
      <c r="C124" s="0" t="s">
        <v>4463</v>
      </c>
      <c r="D124" s="0" t="s">
        <v>4495</v>
      </c>
      <c r="E124" s="0" t="s">
        <v>4496</v>
      </c>
      <c r="F124" s="0" t="s">
        <v>4200</v>
      </c>
      <c r="G124" s="0" t="s">
        <v>4497</v>
      </c>
    </row>
    <row customHeight="1" ht="11.25">
      <c r="A125" s="519" t="s">
        <v>16</v>
      </c>
      <c r="B125" s="0" t="s">
        <v>4462</v>
      </c>
      <c r="C125" s="0" t="s">
        <v>4463</v>
      </c>
      <c r="D125" s="0" t="s">
        <v>4498</v>
      </c>
      <c r="E125" s="0" t="s">
        <v>4499</v>
      </c>
      <c r="F125" s="0" t="s">
        <v>4200</v>
      </c>
      <c r="G125" s="0" t="s">
        <v>4500</v>
      </c>
    </row>
    <row customHeight="1" ht="11.25">
      <c r="A126" s="519" t="s">
        <v>16</v>
      </c>
      <c r="B126" s="0" t="s">
        <v>4462</v>
      </c>
      <c r="C126" s="0" t="s">
        <v>4463</v>
      </c>
      <c r="D126" s="0" t="s">
        <v>4501</v>
      </c>
      <c r="E126" s="0" t="s">
        <v>4502</v>
      </c>
      <c r="F126" s="0" t="s">
        <v>4200</v>
      </c>
      <c r="G126" s="0" t="s">
        <v>4503</v>
      </c>
    </row>
    <row customHeight="1" ht="11.25">
      <c r="A127" s="519" t="s">
        <v>16</v>
      </c>
      <c r="B127" s="0" t="s">
        <v>4504</v>
      </c>
      <c r="C127" s="0" t="s">
        <v>4505</v>
      </c>
      <c r="D127" s="0" t="s">
        <v>4504</v>
      </c>
      <c r="E127" s="0" t="s">
        <v>4505</v>
      </c>
      <c r="F127" s="0" t="s">
        <v>4194</v>
      </c>
      <c r="G127" s="0" t="s">
        <v>4506</v>
      </c>
    </row>
    <row customHeight="1" ht="11.25">
      <c r="A128" s="519" t="s">
        <v>16</v>
      </c>
      <c r="B128" s="0" t="s">
        <v>4507</v>
      </c>
      <c r="C128" s="0" t="s">
        <v>4508</v>
      </c>
      <c r="D128" s="0" t="s">
        <v>4507</v>
      </c>
      <c r="E128" s="0" t="s">
        <v>4508</v>
      </c>
      <c r="F128" s="0" t="s">
        <v>4194</v>
      </c>
      <c r="G128" s="0" t="s">
        <v>4509</v>
      </c>
    </row>
    <row customHeight="1" ht="11.25">
      <c r="A129" s="519" t="s">
        <v>16</v>
      </c>
      <c r="B129" s="0" t="s">
        <v>4510</v>
      </c>
      <c r="C129" s="0" t="s">
        <v>4511</v>
      </c>
      <c r="D129" s="0" t="s">
        <v>4512</v>
      </c>
      <c r="E129" s="0" t="s">
        <v>4513</v>
      </c>
      <c r="F129" s="0" t="s">
        <v>4200</v>
      </c>
      <c r="G129" s="0" t="s">
        <v>4514</v>
      </c>
    </row>
    <row customHeight="1" ht="11.25">
      <c r="A130" s="519" t="s">
        <v>16</v>
      </c>
      <c r="B130" s="0" t="s">
        <v>4510</v>
      </c>
      <c r="C130" s="0" t="s">
        <v>4511</v>
      </c>
      <c r="D130" s="0" t="s">
        <v>4515</v>
      </c>
      <c r="E130" s="0" t="s">
        <v>4516</v>
      </c>
      <c r="F130" s="0" t="s">
        <v>4200</v>
      </c>
      <c r="G130" s="0" t="s">
        <v>4517</v>
      </c>
    </row>
    <row customHeight="1" ht="11.25">
      <c r="A131" s="519" t="s">
        <v>16</v>
      </c>
      <c r="B131" s="0" t="s">
        <v>4510</v>
      </c>
      <c r="C131" s="0" t="s">
        <v>4511</v>
      </c>
      <c r="D131" s="0" t="s">
        <v>4518</v>
      </c>
      <c r="E131" s="0" t="s">
        <v>4519</v>
      </c>
      <c r="F131" s="0" t="s">
        <v>4200</v>
      </c>
      <c r="G131" s="0" t="s">
        <v>4520</v>
      </c>
    </row>
    <row customHeight="1" ht="11.25">
      <c r="A132" s="519" t="s">
        <v>16</v>
      </c>
      <c r="B132" s="0" t="s">
        <v>4510</v>
      </c>
      <c r="C132" s="0" t="s">
        <v>4511</v>
      </c>
      <c r="D132" s="0" t="s">
        <v>4521</v>
      </c>
      <c r="E132" s="0" t="s">
        <v>4522</v>
      </c>
      <c r="F132" s="0" t="s">
        <v>4200</v>
      </c>
      <c r="G132" s="0" t="s">
        <v>4523</v>
      </c>
    </row>
    <row customHeight="1" ht="11.25">
      <c r="A133" s="519" t="s">
        <v>16</v>
      </c>
      <c r="B133" s="0" t="s">
        <v>4510</v>
      </c>
      <c r="C133" s="0" t="s">
        <v>4511</v>
      </c>
      <c r="D133" s="0" t="s">
        <v>4524</v>
      </c>
      <c r="E133" s="0" t="s">
        <v>4525</v>
      </c>
      <c r="F133" s="0" t="s">
        <v>4200</v>
      </c>
      <c r="G133" s="0" t="s">
        <v>4526</v>
      </c>
    </row>
    <row customHeight="1" ht="11.25">
      <c r="A134" s="519" t="s">
        <v>16</v>
      </c>
      <c r="B134" s="0" t="s">
        <v>4510</v>
      </c>
      <c r="C134" s="0" t="s">
        <v>4511</v>
      </c>
      <c r="D134" s="0" t="s">
        <v>4527</v>
      </c>
      <c r="E134" s="0" t="s">
        <v>4528</v>
      </c>
      <c r="F134" s="0" t="s">
        <v>4200</v>
      </c>
      <c r="G134" s="0" t="s">
        <v>4529</v>
      </c>
    </row>
    <row customHeight="1" ht="11.25">
      <c r="A135" s="519" t="s">
        <v>16</v>
      </c>
      <c r="B135" s="0" t="s">
        <v>4510</v>
      </c>
      <c r="C135" s="0" t="s">
        <v>4511</v>
      </c>
      <c r="D135" s="0" t="s">
        <v>4530</v>
      </c>
      <c r="E135" s="0" t="s">
        <v>4531</v>
      </c>
      <c r="F135" s="0" t="s">
        <v>4200</v>
      </c>
      <c r="G135" s="0" t="s">
        <v>4532</v>
      </c>
    </row>
    <row customHeight="1" ht="11.25">
      <c r="A136" s="519" t="s">
        <v>16</v>
      </c>
      <c r="B136" s="0" t="s">
        <v>4510</v>
      </c>
      <c r="C136" s="0" t="s">
        <v>4511</v>
      </c>
      <c r="D136" s="0" t="s">
        <v>4533</v>
      </c>
      <c r="E136" s="0" t="s">
        <v>4534</v>
      </c>
      <c r="F136" s="0" t="s">
        <v>4200</v>
      </c>
      <c r="G136" s="0" t="s">
        <v>4535</v>
      </c>
    </row>
    <row customHeight="1" ht="11.25">
      <c r="A137" s="519" t="s">
        <v>16</v>
      </c>
      <c r="B137" s="0" t="s">
        <v>4510</v>
      </c>
      <c r="C137" s="0" t="s">
        <v>4511</v>
      </c>
      <c r="D137" s="0" t="s">
        <v>4536</v>
      </c>
      <c r="E137" s="0" t="s">
        <v>4537</v>
      </c>
      <c r="F137" s="0" t="s">
        <v>4200</v>
      </c>
      <c r="G137" s="0" t="s">
        <v>4538</v>
      </c>
    </row>
    <row customHeight="1" ht="11.25">
      <c r="A138" s="519" t="s">
        <v>16</v>
      </c>
      <c r="B138" s="0" t="s">
        <v>4510</v>
      </c>
      <c r="C138" s="0" t="s">
        <v>4511</v>
      </c>
      <c r="D138" s="0" t="s">
        <v>4510</v>
      </c>
      <c r="E138" s="0" t="s">
        <v>4511</v>
      </c>
      <c r="F138" s="0" t="s">
        <v>4197</v>
      </c>
      <c r="G138" s="0" t="s">
        <v>4539</v>
      </c>
    </row>
    <row customHeight="1" ht="11.25">
      <c r="A139" s="519" t="s">
        <v>16</v>
      </c>
      <c r="B139" s="0" t="s">
        <v>4510</v>
      </c>
      <c r="C139" s="0" t="s">
        <v>4511</v>
      </c>
      <c r="D139" s="0" t="s">
        <v>4540</v>
      </c>
      <c r="E139" s="0" t="s">
        <v>4541</v>
      </c>
      <c r="F139" s="0" t="s">
        <v>4200</v>
      </c>
      <c r="G139" s="0" t="s">
        <v>4542</v>
      </c>
    </row>
    <row customHeight="1" ht="11.25">
      <c r="A140" s="519" t="s">
        <v>16</v>
      </c>
      <c r="B140" s="0" t="s">
        <v>4510</v>
      </c>
      <c r="C140" s="0" t="s">
        <v>4511</v>
      </c>
      <c r="D140" s="0" t="s">
        <v>4543</v>
      </c>
      <c r="E140" s="0" t="s">
        <v>4544</v>
      </c>
      <c r="F140" s="0" t="s">
        <v>4200</v>
      </c>
      <c r="G140" s="0" t="s">
        <v>4545</v>
      </c>
    </row>
    <row customHeight="1" ht="11.25">
      <c r="A141" s="519" t="s">
        <v>16</v>
      </c>
      <c r="B141" s="0" t="s">
        <v>4510</v>
      </c>
      <c r="C141" s="0" t="s">
        <v>4511</v>
      </c>
      <c r="D141" s="0" t="s">
        <v>4546</v>
      </c>
      <c r="E141" s="0" t="s">
        <v>4547</v>
      </c>
      <c r="F141" s="0" t="s">
        <v>4548</v>
      </c>
      <c r="G141" s="0" t="s">
        <v>4549</v>
      </c>
    </row>
    <row customHeight="1" ht="11.25">
      <c r="A142" s="519" t="s">
        <v>16</v>
      </c>
      <c r="B142" s="0" t="s">
        <v>4510</v>
      </c>
      <c r="C142" s="0" t="s">
        <v>4511</v>
      </c>
      <c r="D142" s="0" t="s">
        <v>4550</v>
      </c>
      <c r="E142" s="0" t="s">
        <v>4551</v>
      </c>
      <c r="F142" s="0" t="s">
        <v>4200</v>
      </c>
      <c r="G142" s="0" t="s">
        <v>4552</v>
      </c>
    </row>
    <row customHeight="1" ht="11.25">
      <c r="A143" s="519" t="s">
        <v>16</v>
      </c>
      <c r="B143" s="0" t="s">
        <v>4510</v>
      </c>
      <c r="C143" s="0" t="s">
        <v>4511</v>
      </c>
      <c r="D143" s="0" t="s">
        <v>4553</v>
      </c>
      <c r="E143" s="0" t="s">
        <v>4554</v>
      </c>
      <c r="F143" s="0" t="s">
        <v>4200</v>
      </c>
      <c r="G143" s="0" t="s">
        <v>4555</v>
      </c>
    </row>
    <row customHeight="1" ht="11.25">
      <c r="A144" s="519" t="s">
        <v>16</v>
      </c>
      <c r="B144" s="0" t="s">
        <v>4510</v>
      </c>
      <c r="C144" s="0" t="s">
        <v>4511</v>
      </c>
      <c r="D144" s="0" t="s">
        <v>4556</v>
      </c>
      <c r="E144" s="0" t="s">
        <v>4557</v>
      </c>
      <c r="F144" s="0" t="s">
        <v>4200</v>
      </c>
      <c r="G144" s="0" t="s">
        <v>4558</v>
      </c>
    </row>
    <row customHeight="1" ht="11.25">
      <c r="A145" s="519" t="s">
        <v>16</v>
      </c>
      <c r="B145" s="0" t="s">
        <v>4510</v>
      </c>
      <c r="C145" s="0" t="s">
        <v>4511</v>
      </c>
      <c r="D145" s="0" t="s">
        <v>4559</v>
      </c>
      <c r="E145" s="0" t="s">
        <v>4560</v>
      </c>
      <c r="F145" s="0" t="s">
        <v>4200</v>
      </c>
      <c r="G145" s="0" t="s">
        <v>4561</v>
      </c>
    </row>
    <row customHeight="1" ht="11.25">
      <c r="A146" s="519" t="s">
        <v>16</v>
      </c>
      <c r="B146" s="0" t="s">
        <v>4562</v>
      </c>
      <c r="C146" s="0" t="s">
        <v>4563</v>
      </c>
      <c r="D146" s="0" t="s">
        <v>4562</v>
      </c>
      <c r="E146" s="0" t="s">
        <v>4563</v>
      </c>
      <c r="F146" s="0" t="s">
        <v>4194</v>
      </c>
      <c r="G146" s="0" t="s">
        <v>4564</v>
      </c>
    </row>
    <row customHeight="1" ht="11.25">
      <c r="A147" s="519" t="s">
        <v>16</v>
      </c>
      <c r="B147" s="0" t="s">
        <v>4565</v>
      </c>
      <c r="C147" s="0" t="s">
        <v>4566</v>
      </c>
      <c r="D147" s="0" t="s">
        <v>4567</v>
      </c>
      <c r="E147" s="0" t="s">
        <v>4568</v>
      </c>
      <c r="F147" s="0" t="s">
        <v>4200</v>
      </c>
      <c r="G147" s="0" t="s">
        <v>4569</v>
      </c>
    </row>
    <row customHeight="1" ht="11.25">
      <c r="A148" s="519" t="s">
        <v>16</v>
      </c>
      <c r="B148" s="0" t="s">
        <v>4565</v>
      </c>
      <c r="C148" s="0" t="s">
        <v>4566</v>
      </c>
      <c r="D148" s="0" t="s">
        <v>4570</v>
      </c>
      <c r="E148" s="0" t="s">
        <v>4571</v>
      </c>
      <c r="F148" s="0" t="s">
        <v>4200</v>
      </c>
      <c r="G148" s="0" t="s">
        <v>4572</v>
      </c>
    </row>
    <row customHeight="1" ht="11.25">
      <c r="A149" s="519" t="s">
        <v>16</v>
      </c>
      <c r="B149" s="0" t="s">
        <v>4565</v>
      </c>
      <c r="C149" s="0" t="s">
        <v>4566</v>
      </c>
      <c r="D149" s="0" t="s">
        <v>4573</v>
      </c>
      <c r="E149" s="0" t="s">
        <v>4574</v>
      </c>
      <c r="F149" s="0" t="s">
        <v>4200</v>
      </c>
      <c r="G149" s="0" t="s">
        <v>4575</v>
      </c>
    </row>
    <row customHeight="1" ht="11.25">
      <c r="A150" s="519" t="s">
        <v>16</v>
      </c>
      <c r="B150" s="0" t="s">
        <v>4565</v>
      </c>
      <c r="C150" s="0" t="s">
        <v>4566</v>
      </c>
      <c r="D150" s="0" t="s">
        <v>4576</v>
      </c>
      <c r="E150" s="0" t="s">
        <v>4577</v>
      </c>
      <c r="F150" s="0" t="s">
        <v>4200</v>
      </c>
      <c r="G150" s="0" t="s">
        <v>4578</v>
      </c>
    </row>
    <row customHeight="1" ht="11.25">
      <c r="A151" s="519" t="s">
        <v>16</v>
      </c>
      <c r="B151" s="0" t="s">
        <v>4565</v>
      </c>
      <c r="C151" s="0" t="s">
        <v>4566</v>
      </c>
      <c r="D151" s="0" t="s">
        <v>4565</v>
      </c>
      <c r="E151" s="0" t="s">
        <v>4566</v>
      </c>
      <c r="F151" s="0" t="s">
        <v>4197</v>
      </c>
      <c r="G151" s="0" t="s">
        <v>4579</v>
      </c>
    </row>
    <row customHeight="1" ht="11.25">
      <c r="A152" s="519" t="s">
        <v>16</v>
      </c>
      <c r="B152" s="0" t="s">
        <v>4565</v>
      </c>
      <c r="C152" s="0" t="s">
        <v>4566</v>
      </c>
      <c r="D152" s="0" t="s">
        <v>4580</v>
      </c>
      <c r="E152" s="0" t="s">
        <v>4581</v>
      </c>
      <c r="F152" s="0" t="s">
        <v>4200</v>
      </c>
      <c r="G152" s="0" t="s">
        <v>4582</v>
      </c>
    </row>
    <row customHeight="1" ht="11.25">
      <c r="A153" s="519" t="s">
        <v>16</v>
      </c>
      <c r="B153" s="0" t="s">
        <v>4565</v>
      </c>
      <c r="C153" s="0" t="s">
        <v>4566</v>
      </c>
      <c r="D153" s="0" t="s">
        <v>4583</v>
      </c>
      <c r="E153" s="0" t="s">
        <v>4584</v>
      </c>
      <c r="F153" s="0" t="s">
        <v>4200</v>
      </c>
      <c r="G153" s="0" t="s">
        <v>4585</v>
      </c>
    </row>
    <row customHeight="1" ht="11.25">
      <c r="A154" s="519" t="s">
        <v>16</v>
      </c>
      <c r="B154" s="0" t="s">
        <v>4565</v>
      </c>
      <c r="C154" s="0" t="s">
        <v>4566</v>
      </c>
      <c r="D154" s="0" t="s">
        <v>4586</v>
      </c>
      <c r="E154" s="0" t="s">
        <v>4587</v>
      </c>
      <c r="F154" s="0" t="s">
        <v>4200</v>
      </c>
      <c r="G154" s="0" t="s">
        <v>4588</v>
      </c>
    </row>
    <row customHeight="1" ht="11.25">
      <c r="A155" s="519" t="s">
        <v>16</v>
      </c>
      <c r="B155" s="0" t="s">
        <v>4565</v>
      </c>
      <c r="C155" s="0" t="s">
        <v>4566</v>
      </c>
      <c r="D155" s="0" t="s">
        <v>4589</v>
      </c>
      <c r="E155" s="0" t="s">
        <v>4590</v>
      </c>
      <c r="F155" s="0" t="s">
        <v>4200</v>
      </c>
      <c r="G155" s="0" t="s">
        <v>4591</v>
      </c>
    </row>
    <row customHeight="1" ht="11.25">
      <c r="A156" s="519" t="s">
        <v>16</v>
      </c>
      <c r="B156" s="0" t="s">
        <v>4565</v>
      </c>
      <c r="C156" s="0" t="s">
        <v>4566</v>
      </c>
      <c r="D156" s="0" t="s">
        <v>4592</v>
      </c>
      <c r="E156" s="0" t="s">
        <v>4593</v>
      </c>
      <c r="F156" s="0" t="s">
        <v>4200</v>
      </c>
      <c r="G156" s="0" t="s">
        <v>4594</v>
      </c>
    </row>
    <row customHeight="1" ht="11.25">
      <c r="A157" s="519" t="s">
        <v>16</v>
      </c>
      <c r="B157" s="0" t="s">
        <v>4565</v>
      </c>
      <c r="C157" s="0" t="s">
        <v>4566</v>
      </c>
      <c r="D157" s="0" t="s">
        <v>4595</v>
      </c>
      <c r="E157" s="0" t="s">
        <v>4596</v>
      </c>
      <c r="F157" s="0" t="s">
        <v>4200</v>
      </c>
      <c r="G157" s="0" t="s">
        <v>4597</v>
      </c>
    </row>
    <row customHeight="1" ht="11.25">
      <c r="A158" s="519" t="s">
        <v>16</v>
      </c>
      <c r="B158" s="0" t="s">
        <v>4565</v>
      </c>
      <c r="C158" s="0" t="s">
        <v>4566</v>
      </c>
      <c r="D158" s="0" t="s">
        <v>4598</v>
      </c>
      <c r="E158" s="0" t="s">
        <v>4599</v>
      </c>
      <c r="F158" s="0" t="s">
        <v>4200</v>
      </c>
      <c r="G158" s="0" t="s">
        <v>4600</v>
      </c>
    </row>
    <row customHeight="1" ht="11.25">
      <c r="A159" s="519" t="s">
        <v>16</v>
      </c>
      <c r="B159" s="0" t="s">
        <v>4565</v>
      </c>
      <c r="C159" s="0" t="s">
        <v>4566</v>
      </c>
      <c r="D159" s="0" t="s">
        <v>4601</v>
      </c>
      <c r="E159" s="0" t="s">
        <v>4602</v>
      </c>
      <c r="F159" s="0" t="s">
        <v>4200</v>
      </c>
      <c r="G159" s="0" t="s">
        <v>4603</v>
      </c>
    </row>
    <row customHeight="1" ht="11.25">
      <c r="A160" s="519" t="s">
        <v>16</v>
      </c>
      <c r="B160" s="0" t="s">
        <v>4565</v>
      </c>
      <c r="C160" s="0" t="s">
        <v>4566</v>
      </c>
      <c r="D160" s="0" t="s">
        <v>4604</v>
      </c>
      <c r="E160" s="0" t="s">
        <v>4605</v>
      </c>
      <c r="F160" s="0" t="s">
        <v>4200</v>
      </c>
      <c r="G160" s="0" t="s">
        <v>4606</v>
      </c>
    </row>
    <row customHeight="1" ht="11.25">
      <c r="A161" s="519" t="s">
        <v>16</v>
      </c>
      <c r="B161" s="0" t="s">
        <v>4565</v>
      </c>
      <c r="C161" s="0" t="s">
        <v>4566</v>
      </c>
      <c r="D161" s="0" t="s">
        <v>4607</v>
      </c>
      <c r="E161" s="0" t="s">
        <v>4608</v>
      </c>
      <c r="F161" s="0" t="s">
        <v>4200</v>
      </c>
      <c r="G161" s="0" t="s">
        <v>4609</v>
      </c>
    </row>
    <row customHeight="1" ht="11.25">
      <c r="A162" s="519" t="s">
        <v>16</v>
      </c>
      <c r="B162" s="0" t="s">
        <v>4610</v>
      </c>
      <c r="C162" s="0" t="s">
        <v>4611</v>
      </c>
      <c r="D162" s="0" t="s">
        <v>4610</v>
      </c>
      <c r="E162" s="0" t="s">
        <v>4611</v>
      </c>
      <c r="F162" s="0" t="s">
        <v>4194</v>
      </c>
      <c r="G162" s="0" t="s">
        <v>4612</v>
      </c>
    </row>
    <row customHeight="1" ht="11.25">
      <c r="A163" s="519" t="s">
        <v>16</v>
      </c>
      <c r="B163" s="0" t="s">
        <v>4613</v>
      </c>
      <c r="C163" s="0" t="s">
        <v>4614</v>
      </c>
      <c r="D163" s="0" t="s">
        <v>4615</v>
      </c>
      <c r="E163" s="0" t="s">
        <v>4616</v>
      </c>
      <c r="F163" s="0" t="s">
        <v>4200</v>
      </c>
      <c r="G163" s="0" t="s">
        <v>4617</v>
      </c>
    </row>
    <row customHeight="1" ht="11.25">
      <c r="A164" s="519" t="s">
        <v>16</v>
      </c>
      <c r="B164" s="0" t="s">
        <v>4613</v>
      </c>
      <c r="C164" s="0" t="s">
        <v>4614</v>
      </c>
      <c r="D164" s="0" t="s">
        <v>4618</v>
      </c>
      <c r="E164" s="0" t="s">
        <v>4619</v>
      </c>
      <c r="F164" s="0" t="s">
        <v>4200</v>
      </c>
      <c r="G164" s="0" t="s">
        <v>4620</v>
      </c>
    </row>
    <row customHeight="1" ht="11.25">
      <c r="A165" s="519" t="s">
        <v>16</v>
      </c>
      <c r="B165" s="0" t="s">
        <v>4613</v>
      </c>
      <c r="C165" s="0" t="s">
        <v>4614</v>
      </c>
      <c r="D165" s="0" t="s">
        <v>4621</v>
      </c>
      <c r="E165" s="0" t="s">
        <v>4622</v>
      </c>
      <c r="F165" s="0" t="s">
        <v>4200</v>
      </c>
      <c r="G165" s="0" t="s">
        <v>4623</v>
      </c>
    </row>
    <row customHeight="1" ht="11.25">
      <c r="A166" s="519" t="s">
        <v>16</v>
      </c>
      <c r="B166" s="0" t="s">
        <v>4613</v>
      </c>
      <c r="C166" s="0" t="s">
        <v>4614</v>
      </c>
      <c r="D166" s="0" t="s">
        <v>4624</v>
      </c>
      <c r="E166" s="0" t="s">
        <v>4625</v>
      </c>
      <c r="F166" s="0" t="s">
        <v>4200</v>
      </c>
      <c r="G166" s="0" t="s">
        <v>4626</v>
      </c>
    </row>
    <row customHeight="1" ht="11.25">
      <c r="A167" s="519" t="s">
        <v>16</v>
      </c>
      <c r="B167" s="0" t="s">
        <v>4613</v>
      </c>
      <c r="C167" s="0" t="s">
        <v>4614</v>
      </c>
      <c r="D167" s="0" t="s">
        <v>4627</v>
      </c>
      <c r="E167" s="0" t="s">
        <v>4628</v>
      </c>
      <c r="F167" s="0" t="s">
        <v>4200</v>
      </c>
      <c r="G167" s="0" t="s">
        <v>4629</v>
      </c>
    </row>
    <row customHeight="1" ht="11.25">
      <c r="A168" s="519" t="s">
        <v>16</v>
      </c>
      <c r="B168" s="0" t="s">
        <v>4613</v>
      </c>
      <c r="C168" s="0" t="s">
        <v>4614</v>
      </c>
      <c r="D168" s="0" t="s">
        <v>4630</v>
      </c>
      <c r="E168" s="0" t="s">
        <v>4631</v>
      </c>
      <c r="F168" s="0" t="s">
        <v>4209</v>
      </c>
      <c r="G168" s="0" t="s">
        <v>4632</v>
      </c>
    </row>
    <row customHeight="1" ht="11.25">
      <c r="A169" s="519" t="s">
        <v>16</v>
      </c>
      <c r="B169" s="0" t="s">
        <v>4613</v>
      </c>
      <c r="C169" s="0" t="s">
        <v>4614</v>
      </c>
      <c r="D169" s="0" t="s">
        <v>4613</v>
      </c>
      <c r="E169" s="0" t="s">
        <v>4614</v>
      </c>
      <c r="F169" s="0" t="s">
        <v>4197</v>
      </c>
      <c r="G169" s="0" t="s">
        <v>4633</v>
      </c>
    </row>
    <row customHeight="1" ht="11.25">
      <c r="A170" s="519" t="s">
        <v>16</v>
      </c>
      <c r="B170" s="0" t="s">
        <v>4613</v>
      </c>
      <c r="C170" s="0" t="s">
        <v>4614</v>
      </c>
      <c r="D170" s="0" t="s">
        <v>4634</v>
      </c>
      <c r="E170" s="0" t="s">
        <v>4635</v>
      </c>
      <c r="F170" s="0" t="s">
        <v>4200</v>
      </c>
      <c r="G170" s="0" t="s">
        <v>4636</v>
      </c>
    </row>
    <row customHeight="1" ht="11.25">
      <c r="A171" s="519" t="s">
        <v>16</v>
      </c>
      <c r="B171" s="0" t="s">
        <v>4613</v>
      </c>
      <c r="C171" s="0" t="s">
        <v>4614</v>
      </c>
      <c r="D171" s="0" t="s">
        <v>4637</v>
      </c>
      <c r="E171" s="0" t="s">
        <v>4638</v>
      </c>
      <c r="F171" s="0" t="s">
        <v>4200</v>
      </c>
      <c r="G171" s="0" t="s">
        <v>4639</v>
      </c>
    </row>
    <row customHeight="1" ht="11.25">
      <c r="A172" s="519" t="s">
        <v>16</v>
      </c>
      <c r="B172" s="0" t="s">
        <v>4613</v>
      </c>
      <c r="C172" s="0" t="s">
        <v>4614</v>
      </c>
      <c r="D172" s="0" t="s">
        <v>4640</v>
      </c>
      <c r="E172" s="0" t="s">
        <v>4641</v>
      </c>
      <c r="F172" s="0" t="s">
        <v>4200</v>
      </c>
      <c r="G172" s="0" t="s">
        <v>4642</v>
      </c>
    </row>
    <row customHeight="1" ht="11.25">
      <c r="A173" s="519" t="s">
        <v>16</v>
      </c>
      <c r="B173" s="0" t="s">
        <v>4613</v>
      </c>
      <c r="C173" s="0" t="s">
        <v>4614</v>
      </c>
      <c r="D173" s="0" t="s">
        <v>4643</v>
      </c>
      <c r="E173" s="0" t="s">
        <v>4644</v>
      </c>
      <c r="F173" s="0" t="s">
        <v>4200</v>
      </c>
      <c r="G173" s="0" t="s">
        <v>4645</v>
      </c>
    </row>
    <row customHeight="1" ht="11.25">
      <c r="A174" s="519" t="s">
        <v>16</v>
      </c>
      <c r="B174" s="0" t="s">
        <v>4613</v>
      </c>
      <c r="C174" s="0" t="s">
        <v>4614</v>
      </c>
      <c r="D174" s="0" t="s">
        <v>4646</v>
      </c>
      <c r="E174" s="0" t="s">
        <v>4647</v>
      </c>
      <c r="F174" s="0" t="s">
        <v>4200</v>
      </c>
      <c r="G174" s="0" t="s">
        <v>4648</v>
      </c>
    </row>
    <row customHeight="1" ht="11.25">
      <c r="A175" s="519" t="s">
        <v>16</v>
      </c>
      <c r="B175" s="0" t="s">
        <v>4613</v>
      </c>
      <c r="C175" s="0" t="s">
        <v>4614</v>
      </c>
      <c r="D175" s="0" t="s">
        <v>4649</v>
      </c>
      <c r="E175" s="0" t="s">
        <v>4650</v>
      </c>
      <c r="F175" s="0" t="s">
        <v>4200</v>
      </c>
      <c r="G175" s="0" t="s">
        <v>4651</v>
      </c>
    </row>
    <row customHeight="1" ht="11.25">
      <c r="A176" s="519" t="s">
        <v>16</v>
      </c>
      <c r="B176" s="0" t="s">
        <v>4613</v>
      </c>
      <c r="C176" s="0" t="s">
        <v>4614</v>
      </c>
      <c r="D176" s="0" t="s">
        <v>4652</v>
      </c>
      <c r="E176" s="0" t="s">
        <v>4653</v>
      </c>
      <c r="F176" s="0" t="s">
        <v>4200</v>
      </c>
      <c r="G176" s="0" t="s">
        <v>4654</v>
      </c>
    </row>
    <row customHeight="1" ht="11.25">
      <c r="A177" s="519" t="s">
        <v>16</v>
      </c>
      <c r="B177" s="0" t="s">
        <v>4613</v>
      </c>
      <c r="C177" s="0" t="s">
        <v>4614</v>
      </c>
      <c r="D177" s="0" t="s">
        <v>4655</v>
      </c>
      <c r="E177" s="0" t="s">
        <v>4656</v>
      </c>
      <c r="F177" s="0" t="s">
        <v>4200</v>
      </c>
      <c r="G177" s="0" t="s">
        <v>4657</v>
      </c>
    </row>
    <row customHeight="1" ht="11.25">
      <c r="A178" s="519" t="s">
        <v>16</v>
      </c>
      <c r="B178" s="0" t="s">
        <v>4613</v>
      </c>
      <c r="C178" s="0" t="s">
        <v>4614</v>
      </c>
      <c r="D178" s="0" t="s">
        <v>4658</v>
      </c>
      <c r="E178" s="0" t="s">
        <v>4659</v>
      </c>
      <c r="F178" s="0" t="s">
        <v>4200</v>
      </c>
      <c r="G178" s="0" t="s">
        <v>4660</v>
      </c>
    </row>
    <row customHeight="1" ht="11.25">
      <c r="A179" s="519" t="s">
        <v>16</v>
      </c>
      <c r="B179" s="0" t="s">
        <v>4661</v>
      </c>
      <c r="C179" s="0" t="s">
        <v>4662</v>
      </c>
      <c r="D179" s="0" t="s">
        <v>4661</v>
      </c>
      <c r="E179" s="0" t="s">
        <v>4662</v>
      </c>
      <c r="F179" s="0" t="s">
        <v>4194</v>
      </c>
      <c r="G179" s="0" t="s">
        <v>4663</v>
      </c>
    </row>
    <row customHeight="1" ht="11.25">
      <c r="A180" s="519" t="s">
        <v>16</v>
      </c>
      <c r="B180" s="0" t="s">
        <v>4664</v>
      </c>
      <c r="C180" s="0" t="s">
        <v>4665</v>
      </c>
      <c r="D180" s="0" t="s">
        <v>4666</v>
      </c>
      <c r="E180" s="0" t="s">
        <v>4667</v>
      </c>
      <c r="F180" s="0" t="s">
        <v>4209</v>
      </c>
      <c r="G180" s="0" t="s">
        <v>4668</v>
      </c>
    </row>
    <row customHeight="1" ht="11.25">
      <c r="A181" s="519" t="s">
        <v>16</v>
      </c>
      <c r="B181" s="0" t="s">
        <v>4664</v>
      </c>
      <c r="C181" s="0" t="s">
        <v>4665</v>
      </c>
      <c r="D181" s="0" t="s">
        <v>4669</v>
      </c>
      <c r="E181" s="0" t="s">
        <v>4670</v>
      </c>
      <c r="F181" s="0" t="s">
        <v>4209</v>
      </c>
      <c r="G181" s="0" t="s">
        <v>4671</v>
      </c>
    </row>
    <row customHeight="1" ht="11.25">
      <c r="A182" s="519" t="s">
        <v>16</v>
      </c>
      <c r="B182" s="0" t="s">
        <v>4664</v>
      </c>
      <c r="C182" s="0" t="s">
        <v>4665</v>
      </c>
      <c r="D182" s="0" t="s">
        <v>4264</v>
      </c>
      <c r="E182" s="0" t="s">
        <v>4672</v>
      </c>
      <c r="F182" s="0" t="s">
        <v>4209</v>
      </c>
      <c r="G182" s="0" t="s">
        <v>4673</v>
      </c>
    </row>
    <row customHeight="1" ht="11.25">
      <c r="A183" s="519" t="s">
        <v>16</v>
      </c>
      <c r="B183" s="0" t="s">
        <v>4664</v>
      </c>
      <c r="C183" s="0" t="s">
        <v>4665</v>
      </c>
      <c r="D183" s="0" t="s">
        <v>4674</v>
      </c>
      <c r="E183" s="0" t="s">
        <v>4675</v>
      </c>
      <c r="F183" s="0" t="s">
        <v>4209</v>
      </c>
      <c r="G183" s="0" t="s">
        <v>4676</v>
      </c>
    </row>
    <row customHeight="1" ht="11.25">
      <c r="A184" s="519" t="s">
        <v>16</v>
      </c>
      <c r="B184" s="0" t="s">
        <v>4664</v>
      </c>
      <c r="C184" s="0" t="s">
        <v>4665</v>
      </c>
      <c r="D184" s="0" t="s">
        <v>4677</v>
      </c>
      <c r="E184" s="0" t="s">
        <v>4678</v>
      </c>
      <c r="F184" s="0" t="s">
        <v>4548</v>
      </c>
      <c r="G184" s="0" t="s">
        <v>4679</v>
      </c>
    </row>
    <row customHeight="1" ht="11.25">
      <c r="A185" s="519" t="s">
        <v>16</v>
      </c>
      <c r="B185" s="0" t="s">
        <v>4664</v>
      </c>
      <c r="C185" s="0" t="s">
        <v>4665</v>
      </c>
      <c r="D185" s="0" t="s">
        <v>4664</v>
      </c>
      <c r="E185" s="0" t="s">
        <v>4665</v>
      </c>
      <c r="F185" s="0" t="s">
        <v>4197</v>
      </c>
      <c r="G185" s="0" t="s">
        <v>4680</v>
      </c>
    </row>
    <row customHeight="1" ht="11.25">
      <c r="A186" s="519" t="s">
        <v>16</v>
      </c>
      <c r="B186" s="0" t="s">
        <v>4664</v>
      </c>
      <c r="C186" s="0" t="s">
        <v>4665</v>
      </c>
      <c r="D186" s="0" t="s">
        <v>4681</v>
      </c>
      <c r="E186" s="0" t="s">
        <v>4682</v>
      </c>
      <c r="F186" s="0" t="s">
        <v>4236</v>
      </c>
      <c r="G186" s="0" t="s">
        <v>4683</v>
      </c>
    </row>
    <row customHeight="1" ht="11.25">
      <c r="A187" s="519" t="s">
        <v>16</v>
      </c>
      <c r="B187" s="0" t="s">
        <v>4664</v>
      </c>
      <c r="C187" s="0" t="s">
        <v>4665</v>
      </c>
      <c r="D187" s="0" t="s">
        <v>4684</v>
      </c>
      <c r="E187" s="0" t="s">
        <v>4685</v>
      </c>
      <c r="F187" s="0" t="s">
        <v>4200</v>
      </c>
      <c r="G187" s="0" t="s">
        <v>4686</v>
      </c>
    </row>
    <row customHeight="1" ht="11.25">
      <c r="A188" s="519" t="s">
        <v>16</v>
      </c>
      <c r="B188" s="0" t="s">
        <v>4664</v>
      </c>
      <c r="C188" s="0" t="s">
        <v>4665</v>
      </c>
      <c r="D188" s="0" t="s">
        <v>4687</v>
      </c>
      <c r="E188" s="0" t="s">
        <v>4688</v>
      </c>
      <c r="F188" s="0" t="s">
        <v>4200</v>
      </c>
      <c r="G188" s="0" t="s">
        <v>4689</v>
      </c>
    </row>
    <row customHeight="1" ht="11.25">
      <c r="A189" s="519" t="s">
        <v>16</v>
      </c>
      <c r="B189" s="0" t="s">
        <v>4690</v>
      </c>
      <c r="C189" s="0" t="s">
        <v>4691</v>
      </c>
      <c r="D189" s="0" t="s">
        <v>4690</v>
      </c>
      <c r="E189" s="0" t="s">
        <v>4691</v>
      </c>
      <c r="F189" s="0" t="s">
        <v>4194</v>
      </c>
      <c r="G189" s="0" t="s">
        <v>4692</v>
      </c>
    </row>
    <row customHeight="1" ht="11.25">
      <c r="A190" s="519" t="s">
        <v>16</v>
      </c>
      <c r="B190" s="0" t="s">
        <v>4693</v>
      </c>
      <c r="C190" s="0" t="s">
        <v>4694</v>
      </c>
      <c r="D190" s="0" t="s">
        <v>4695</v>
      </c>
      <c r="E190" s="0" t="s">
        <v>4696</v>
      </c>
      <c r="F190" s="0" t="s">
        <v>4200</v>
      </c>
      <c r="G190" s="0" t="s">
        <v>4697</v>
      </c>
    </row>
    <row customHeight="1" ht="11.25">
      <c r="A191" s="519" t="s">
        <v>16</v>
      </c>
      <c r="B191" s="0" t="s">
        <v>4693</v>
      </c>
      <c r="C191" s="0" t="s">
        <v>4694</v>
      </c>
      <c r="D191" s="0" t="s">
        <v>4698</v>
      </c>
      <c r="E191" s="0" t="s">
        <v>4699</v>
      </c>
      <c r="F191" s="0" t="s">
        <v>4200</v>
      </c>
      <c r="G191" s="0" t="s">
        <v>4700</v>
      </c>
    </row>
    <row customHeight="1" ht="11.25">
      <c r="A192" s="519" t="s">
        <v>16</v>
      </c>
      <c r="B192" s="0" t="s">
        <v>4693</v>
      </c>
      <c r="C192" s="0" t="s">
        <v>4694</v>
      </c>
      <c r="D192" s="0" t="s">
        <v>4701</v>
      </c>
      <c r="E192" s="0" t="s">
        <v>4702</v>
      </c>
      <c r="F192" s="0" t="s">
        <v>4200</v>
      </c>
      <c r="G192" s="0" t="s">
        <v>4703</v>
      </c>
    </row>
    <row customHeight="1" ht="11.25">
      <c r="A193" s="519" t="s">
        <v>16</v>
      </c>
      <c r="B193" s="0" t="s">
        <v>4693</v>
      </c>
      <c r="C193" s="0" t="s">
        <v>4694</v>
      </c>
      <c r="D193" s="0" t="s">
        <v>4704</v>
      </c>
      <c r="E193" s="0" t="s">
        <v>4705</v>
      </c>
      <c r="F193" s="0" t="s">
        <v>4200</v>
      </c>
      <c r="G193" s="0" t="s">
        <v>4706</v>
      </c>
    </row>
    <row customHeight="1" ht="11.25">
      <c r="A194" s="519" t="s">
        <v>16</v>
      </c>
      <c r="B194" s="0" t="s">
        <v>4693</v>
      </c>
      <c r="C194" s="0" t="s">
        <v>4694</v>
      </c>
      <c r="D194" s="0" t="s">
        <v>4707</v>
      </c>
      <c r="E194" s="0" t="s">
        <v>4708</v>
      </c>
      <c r="F194" s="0" t="s">
        <v>4200</v>
      </c>
      <c r="G194" s="0" t="s">
        <v>4709</v>
      </c>
    </row>
    <row customHeight="1" ht="11.25">
      <c r="A195" s="519" t="s">
        <v>16</v>
      </c>
      <c r="B195" s="0" t="s">
        <v>4693</v>
      </c>
      <c r="C195" s="0" t="s">
        <v>4694</v>
      </c>
      <c r="D195" s="0" t="s">
        <v>4710</v>
      </c>
      <c r="E195" s="0" t="s">
        <v>4711</v>
      </c>
      <c r="F195" s="0" t="s">
        <v>4200</v>
      </c>
      <c r="G195" s="0" t="s">
        <v>4712</v>
      </c>
    </row>
    <row customHeight="1" ht="11.25">
      <c r="A196" s="519" t="s">
        <v>16</v>
      </c>
      <c r="B196" s="0" t="s">
        <v>4693</v>
      </c>
      <c r="C196" s="0" t="s">
        <v>4694</v>
      </c>
      <c r="D196" s="0" t="s">
        <v>4713</v>
      </c>
      <c r="E196" s="0" t="s">
        <v>4714</v>
      </c>
      <c r="F196" s="0" t="s">
        <v>4200</v>
      </c>
      <c r="G196" s="0" t="s">
        <v>4715</v>
      </c>
    </row>
    <row customHeight="1" ht="11.25">
      <c r="A197" s="519" t="s">
        <v>16</v>
      </c>
      <c r="B197" s="0" t="s">
        <v>4693</v>
      </c>
      <c r="C197" s="0" t="s">
        <v>4694</v>
      </c>
      <c r="D197" s="0" t="s">
        <v>4716</v>
      </c>
      <c r="E197" s="0" t="s">
        <v>4717</v>
      </c>
      <c r="F197" s="0" t="s">
        <v>4200</v>
      </c>
      <c r="G197" s="0" t="s">
        <v>4718</v>
      </c>
    </row>
    <row customHeight="1" ht="11.25">
      <c r="A198" s="519" t="s">
        <v>16</v>
      </c>
      <c r="B198" s="0" t="s">
        <v>4693</v>
      </c>
      <c r="C198" s="0" t="s">
        <v>4694</v>
      </c>
      <c r="D198" s="0" t="s">
        <v>4719</v>
      </c>
      <c r="E198" s="0" t="s">
        <v>4720</v>
      </c>
      <c r="F198" s="0" t="s">
        <v>4200</v>
      </c>
      <c r="G198" s="0" t="s">
        <v>4721</v>
      </c>
    </row>
    <row customHeight="1" ht="11.25">
      <c r="A199" s="519" t="s">
        <v>16</v>
      </c>
      <c r="B199" s="0" t="s">
        <v>4693</v>
      </c>
      <c r="C199" s="0" t="s">
        <v>4694</v>
      </c>
      <c r="D199" s="0" t="s">
        <v>4693</v>
      </c>
      <c r="E199" s="0" t="s">
        <v>4694</v>
      </c>
      <c r="F199" s="0" t="s">
        <v>4197</v>
      </c>
      <c r="G199" s="0" t="s">
        <v>4722</v>
      </c>
    </row>
    <row customHeight="1" ht="11.25">
      <c r="A200" s="519" t="s">
        <v>16</v>
      </c>
      <c r="B200" s="0" t="s">
        <v>4693</v>
      </c>
      <c r="C200" s="0" t="s">
        <v>4694</v>
      </c>
      <c r="D200" s="0" t="s">
        <v>4723</v>
      </c>
      <c r="E200" s="0" t="s">
        <v>4724</v>
      </c>
      <c r="F200" s="0" t="s">
        <v>4236</v>
      </c>
      <c r="G200" s="0" t="s">
        <v>4725</v>
      </c>
    </row>
    <row customHeight="1" ht="11.25">
      <c r="A201" s="519" t="s">
        <v>16</v>
      </c>
      <c r="B201" s="0" t="s">
        <v>4693</v>
      </c>
      <c r="C201" s="0" t="s">
        <v>4694</v>
      </c>
      <c r="D201" s="0" t="s">
        <v>4726</v>
      </c>
      <c r="E201" s="0" t="s">
        <v>4727</v>
      </c>
      <c r="F201" s="0" t="s">
        <v>4200</v>
      </c>
      <c r="G201" s="0" t="s">
        <v>4728</v>
      </c>
    </row>
    <row customHeight="1" ht="11.25">
      <c r="A202" s="519" t="s">
        <v>16</v>
      </c>
      <c r="B202" s="0" t="s">
        <v>4693</v>
      </c>
      <c r="C202" s="0" t="s">
        <v>4694</v>
      </c>
      <c r="D202" s="0" t="s">
        <v>4729</v>
      </c>
      <c r="E202" s="0" t="s">
        <v>4730</v>
      </c>
      <c r="F202" s="0" t="s">
        <v>4200</v>
      </c>
      <c r="G202" s="0" t="s">
        <v>4731</v>
      </c>
    </row>
    <row customHeight="1" ht="11.25">
      <c r="A203" s="519" t="s">
        <v>16</v>
      </c>
      <c r="B203" s="0" t="s">
        <v>4693</v>
      </c>
      <c r="C203" s="0" t="s">
        <v>4694</v>
      </c>
      <c r="D203" s="0" t="s">
        <v>4732</v>
      </c>
      <c r="E203" s="0" t="s">
        <v>4733</v>
      </c>
      <c r="F203" s="0" t="s">
        <v>4200</v>
      </c>
      <c r="G203" s="0" t="s">
        <v>4734</v>
      </c>
    </row>
    <row customHeight="1" ht="11.25">
      <c r="A204" s="519" t="s">
        <v>16</v>
      </c>
      <c r="B204" s="0" t="s">
        <v>4693</v>
      </c>
      <c r="C204" s="0" t="s">
        <v>4694</v>
      </c>
      <c r="D204" s="0" t="s">
        <v>4735</v>
      </c>
      <c r="E204" s="0" t="s">
        <v>4736</v>
      </c>
      <c r="F204" s="0" t="s">
        <v>4200</v>
      </c>
      <c r="G204" s="0" t="s">
        <v>4737</v>
      </c>
    </row>
    <row customHeight="1" ht="11.25">
      <c r="A205" s="519" t="s">
        <v>16</v>
      </c>
      <c r="B205" s="0" t="s">
        <v>4693</v>
      </c>
      <c r="C205" s="0" t="s">
        <v>4694</v>
      </c>
      <c r="D205" s="0" t="s">
        <v>4738</v>
      </c>
      <c r="E205" s="0" t="s">
        <v>4739</v>
      </c>
      <c r="F205" s="0" t="s">
        <v>4209</v>
      </c>
      <c r="G205" s="0" t="s">
        <v>4740</v>
      </c>
    </row>
    <row customHeight="1" ht="11.25">
      <c r="A206" s="519" t="s">
        <v>16</v>
      </c>
      <c r="B206" s="0" t="s">
        <v>4741</v>
      </c>
      <c r="C206" s="0" t="s">
        <v>4742</v>
      </c>
      <c r="D206" s="0" t="s">
        <v>4741</v>
      </c>
      <c r="E206" s="0" t="s">
        <v>4742</v>
      </c>
      <c r="F206" s="0" t="s">
        <v>4194</v>
      </c>
      <c r="G206" s="0" t="s">
        <v>4743</v>
      </c>
    </row>
    <row customHeight="1" ht="11.25">
      <c r="A207" s="519" t="s">
        <v>16</v>
      </c>
      <c r="B207" s="0" t="s">
        <v>4744</v>
      </c>
      <c r="C207" s="0" t="s">
        <v>4745</v>
      </c>
      <c r="D207" s="0" t="s">
        <v>4744</v>
      </c>
      <c r="E207" s="0" t="s">
        <v>4745</v>
      </c>
      <c r="F207" s="0" t="s">
        <v>4194</v>
      </c>
      <c r="G207" s="0" t="s">
        <v>4746</v>
      </c>
    </row>
    <row customHeight="1" ht="11.25">
      <c r="A208" s="519" t="s">
        <v>16</v>
      </c>
      <c r="B208" s="0" t="s">
        <v>4747</v>
      </c>
      <c r="C208" s="0" t="s">
        <v>4748</v>
      </c>
      <c r="D208" s="0" t="s">
        <v>4749</v>
      </c>
      <c r="E208" s="0" t="s">
        <v>4750</v>
      </c>
      <c r="F208" s="0" t="s">
        <v>4200</v>
      </c>
      <c r="G208" s="0" t="s">
        <v>4751</v>
      </c>
    </row>
    <row customHeight="1" ht="11.25">
      <c r="A209" s="519" t="s">
        <v>16</v>
      </c>
      <c r="B209" s="0" t="s">
        <v>4747</v>
      </c>
      <c r="C209" s="0" t="s">
        <v>4748</v>
      </c>
      <c r="D209" s="0" t="s">
        <v>4752</v>
      </c>
      <c r="E209" s="0" t="s">
        <v>4753</v>
      </c>
      <c r="F209" s="0" t="s">
        <v>4200</v>
      </c>
      <c r="G209" s="0" t="s">
        <v>4754</v>
      </c>
    </row>
    <row customHeight="1" ht="11.25">
      <c r="A210" s="519" t="s">
        <v>16</v>
      </c>
      <c r="B210" s="0" t="s">
        <v>4747</v>
      </c>
      <c r="C210" s="0" t="s">
        <v>4748</v>
      </c>
      <c r="D210" s="0" t="s">
        <v>4755</v>
      </c>
      <c r="E210" s="0" t="s">
        <v>4756</v>
      </c>
      <c r="F210" s="0" t="s">
        <v>4200</v>
      </c>
      <c r="G210" s="0" t="s">
        <v>4757</v>
      </c>
    </row>
    <row customHeight="1" ht="11.25">
      <c r="A211" s="519" t="s">
        <v>16</v>
      </c>
      <c r="B211" s="0" t="s">
        <v>4747</v>
      </c>
      <c r="C211" s="0" t="s">
        <v>4748</v>
      </c>
      <c r="D211" s="0" t="s">
        <v>4758</v>
      </c>
      <c r="E211" s="0" t="s">
        <v>4759</v>
      </c>
      <c r="F211" s="0" t="s">
        <v>4200</v>
      </c>
      <c r="G211" s="0" t="s">
        <v>4760</v>
      </c>
    </row>
    <row customHeight="1" ht="11.25">
      <c r="A212" s="519" t="s">
        <v>16</v>
      </c>
      <c r="B212" s="0" t="s">
        <v>4747</v>
      </c>
      <c r="C212" s="0" t="s">
        <v>4748</v>
      </c>
      <c r="D212" s="0" t="s">
        <v>4761</v>
      </c>
      <c r="E212" s="0" t="s">
        <v>4762</v>
      </c>
      <c r="F212" s="0" t="s">
        <v>4200</v>
      </c>
      <c r="G212" s="0" t="s">
        <v>4763</v>
      </c>
    </row>
    <row customHeight="1" ht="11.25">
      <c r="A213" s="519" t="s">
        <v>16</v>
      </c>
      <c r="B213" s="0" t="s">
        <v>4747</v>
      </c>
      <c r="C213" s="0" t="s">
        <v>4748</v>
      </c>
      <c r="D213" s="0" t="s">
        <v>4764</v>
      </c>
      <c r="E213" s="0" t="s">
        <v>4765</v>
      </c>
      <c r="F213" s="0" t="s">
        <v>4209</v>
      </c>
      <c r="G213" s="0" t="s">
        <v>4766</v>
      </c>
    </row>
    <row customHeight="1" ht="11.25">
      <c r="A214" s="519" t="s">
        <v>16</v>
      </c>
      <c r="B214" s="0" t="s">
        <v>4747</v>
      </c>
      <c r="C214" s="0" t="s">
        <v>4748</v>
      </c>
      <c r="D214" s="0" t="s">
        <v>4767</v>
      </c>
      <c r="E214" s="0" t="s">
        <v>4768</v>
      </c>
      <c r="F214" s="0" t="s">
        <v>4209</v>
      </c>
      <c r="G214" s="0" t="s">
        <v>4769</v>
      </c>
    </row>
    <row customHeight="1" ht="11.25">
      <c r="A215" s="519" t="s">
        <v>16</v>
      </c>
      <c r="B215" s="0" t="s">
        <v>4747</v>
      </c>
      <c r="C215" s="0" t="s">
        <v>4748</v>
      </c>
      <c r="D215" s="0" t="s">
        <v>4770</v>
      </c>
      <c r="E215" s="0" t="s">
        <v>4771</v>
      </c>
      <c r="F215" s="0" t="s">
        <v>4200</v>
      </c>
      <c r="G215" s="0" t="s">
        <v>4772</v>
      </c>
    </row>
    <row customHeight="1" ht="11.25">
      <c r="A216" s="519" t="s">
        <v>16</v>
      </c>
      <c r="B216" s="0" t="s">
        <v>4747</v>
      </c>
      <c r="C216" s="0" t="s">
        <v>4748</v>
      </c>
      <c r="D216" s="0" t="s">
        <v>4747</v>
      </c>
      <c r="E216" s="0" t="s">
        <v>4748</v>
      </c>
      <c r="F216" s="0" t="s">
        <v>4197</v>
      </c>
      <c r="G216" s="0" t="s">
        <v>4773</v>
      </c>
    </row>
    <row customHeight="1" ht="11.25">
      <c r="A217" s="519" t="s">
        <v>16</v>
      </c>
      <c r="B217" s="0" t="s">
        <v>4747</v>
      </c>
      <c r="C217" s="0" t="s">
        <v>4748</v>
      </c>
      <c r="D217" s="0" t="s">
        <v>4774</v>
      </c>
      <c r="E217" s="0" t="s">
        <v>4775</v>
      </c>
      <c r="F217" s="0" t="s">
        <v>4209</v>
      </c>
      <c r="G217" s="0" t="s">
        <v>4776</v>
      </c>
    </row>
    <row customHeight="1" ht="11.25">
      <c r="A218" s="519" t="s">
        <v>16</v>
      </c>
      <c r="B218" s="0" t="s">
        <v>4747</v>
      </c>
      <c r="C218" s="0" t="s">
        <v>4748</v>
      </c>
      <c r="D218" s="0" t="s">
        <v>4777</v>
      </c>
      <c r="E218" s="0" t="s">
        <v>4778</v>
      </c>
      <c r="F218" s="0" t="s">
        <v>4200</v>
      </c>
      <c r="G218" s="0" t="s">
        <v>4779</v>
      </c>
    </row>
    <row customHeight="1" ht="11.25">
      <c r="A219" s="519" t="s">
        <v>16</v>
      </c>
      <c r="B219" s="0" t="s">
        <v>4747</v>
      </c>
      <c r="C219" s="0" t="s">
        <v>4748</v>
      </c>
      <c r="D219" s="0" t="s">
        <v>4780</v>
      </c>
      <c r="E219" s="0" t="s">
        <v>4781</v>
      </c>
      <c r="F219" s="0" t="s">
        <v>4200</v>
      </c>
      <c r="G219" s="0" t="s">
        <v>4782</v>
      </c>
    </row>
    <row customHeight="1" ht="11.25">
      <c r="A220" s="519" t="s">
        <v>16</v>
      </c>
      <c r="B220" s="0" t="s">
        <v>4747</v>
      </c>
      <c r="C220" s="0" t="s">
        <v>4748</v>
      </c>
      <c r="D220" s="0" t="s">
        <v>4783</v>
      </c>
      <c r="E220" s="0" t="s">
        <v>4784</v>
      </c>
      <c r="F220" s="0" t="s">
        <v>4200</v>
      </c>
      <c r="G220" s="0" t="s">
        <v>4785</v>
      </c>
    </row>
    <row customHeight="1" ht="11.25">
      <c r="A221" s="519" t="s">
        <v>16</v>
      </c>
      <c r="B221" s="0" t="s">
        <v>4747</v>
      </c>
      <c r="C221" s="0" t="s">
        <v>4748</v>
      </c>
      <c r="D221" s="0" t="s">
        <v>4786</v>
      </c>
      <c r="E221" s="0" t="s">
        <v>4787</v>
      </c>
      <c r="F221" s="0" t="s">
        <v>4200</v>
      </c>
      <c r="G221" s="0" t="s">
        <v>4788</v>
      </c>
    </row>
    <row customHeight="1" ht="11.25">
      <c r="A222" s="519" t="s">
        <v>16</v>
      </c>
      <c r="B222" s="0" t="s">
        <v>4747</v>
      </c>
      <c r="C222" s="0" t="s">
        <v>4748</v>
      </c>
      <c r="D222" s="0" t="s">
        <v>4789</v>
      </c>
      <c r="E222" s="0" t="s">
        <v>4790</v>
      </c>
      <c r="F222" s="0" t="s">
        <v>4200</v>
      </c>
      <c r="G222" s="0" t="s">
        <v>4791</v>
      </c>
    </row>
    <row customHeight="1" ht="11.25">
      <c r="A223" s="519" t="s">
        <v>16</v>
      </c>
      <c r="B223" s="0" t="s">
        <v>4747</v>
      </c>
      <c r="C223" s="0" t="s">
        <v>4748</v>
      </c>
      <c r="D223" s="0" t="s">
        <v>4792</v>
      </c>
      <c r="E223" s="0" t="s">
        <v>4793</v>
      </c>
      <c r="F223" s="0" t="s">
        <v>4200</v>
      </c>
      <c r="G223" s="0" t="s">
        <v>4794</v>
      </c>
    </row>
    <row customHeight="1" ht="11.25">
      <c r="A224" s="519" t="s">
        <v>16</v>
      </c>
      <c r="B224" s="0" t="s">
        <v>4747</v>
      </c>
      <c r="C224" s="0" t="s">
        <v>4748</v>
      </c>
      <c r="D224" s="0" t="s">
        <v>4280</v>
      </c>
      <c r="E224" s="0" t="s">
        <v>4795</v>
      </c>
      <c r="F224" s="0" t="s">
        <v>4200</v>
      </c>
      <c r="G224" s="0" t="s">
        <v>4796</v>
      </c>
    </row>
    <row customHeight="1" ht="11.25">
      <c r="A225" s="519" t="s">
        <v>16</v>
      </c>
      <c r="B225" s="0" t="s">
        <v>4747</v>
      </c>
      <c r="C225" s="0" t="s">
        <v>4748</v>
      </c>
      <c r="D225" s="0" t="s">
        <v>4797</v>
      </c>
      <c r="E225" s="0" t="s">
        <v>4798</v>
      </c>
      <c r="F225" s="0" t="s">
        <v>4200</v>
      </c>
      <c r="G225" s="0" t="s">
        <v>4799</v>
      </c>
    </row>
    <row customHeight="1" ht="11.25">
      <c r="A226" s="519" t="s">
        <v>16</v>
      </c>
      <c r="B226" s="0" t="s">
        <v>4747</v>
      </c>
      <c r="C226" s="0" t="s">
        <v>4748</v>
      </c>
      <c r="D226" s="0" t="s">
        <v>4800</v>
      </c>
      <c r="E226" s="0" t="s">
        <v>4801</v>
      </c>
      <c r="F226" s="0" t="s">
        <v>4200</v>
      </c>
      <c r="G226" s="0" t="s">
        <v>4802</v>
      </c>
    </row>
    <row customHeight="1" ht="11.25">
      <c r="A227" s="519" t="s">
        <v>16</v>
      </c>
      <c r="B227" s="0" t="s">
        <v>4747</v>
      </c>
      <c r="C227" s="0" t="s">
        <v>4748</v>
      </c>
      <c r="D227" s="0" t="s">
        <v>4803</v>
      </c>
      <c r="E227" s="0" t="s">
        <v>4804</v>
      </c>
      <c r="F227" s="0" t="s">
        <v>4209</v>
      </c>
      <c r="G227" s="0" t="s">
        <v>4805</v>
      </c>
    </row>
    <row customHeight="1" ht="11.25">
      <c r="A228" s="519" t="s">
        <v>16</v>
      </c>
      <c r="B228" s="0" t="s">
        <v>4806</v>
      </c>
      <c r="C228" s="0" t="s">
        <v>4807</v>
      </c>
      <c r="D228" s="0" t="s">
        <v>4806</v>
      </c>
      <c r="E228" s="0" t="s">
        <v>4807</v>
      </c>
      <c r="F228" s="0" t="s">
        <v>4194</v>
      </c>
      <c r="G228" s="0" t="s">
        <v>4808</v>
      </c>
    </row>
    <row customHeight="1" ht="11.25">
      <c r="A229" s="519" t="s">
        <v>16</v>
      </c>
      <c r="B229" s="0" t="s">
        <v>4809</v>
      </c>
      <c r="C229" s="0" t="s">
        <v>4810</v>
      </c>
      <c r="D229" s="0" t="s">
        <v>4811</v>
      </c>
      <c r="E229" s="0" t="s">
        <v>4812</v>
      </c>
      <c r="F229" s="0" t="s">
        <v>4200</v>
      </c>
      <c r="G229" s="0" t="s">
        <v>4813</v>
      </c>
    </row>
    <row customHeight="1" ht="11.25">
      <c r="A230" s="519" t="s">
        <v>16</v>
      </c>
      <c r="B230" s="0" t="s">
        <v>4809</v>
      </c>
      <c r="C230" s="0" t="s">
        <v>4810</v>
      </c>
      <c r="D230" s="0" t="s">
        <v>4814</v>
      </c>
      <c r="E230" s="0" t="s">
        <v>4815</v>
      </c>
      <c r="F230" s="0" t="s">
        <v>4200</v>
      </c>
      <c r="G230" s="0" t="s">
        <v>4816</v>
      </c>
    </row>
    <row customHeight="1" ht="11.25">
      <c r="A231" s="519" t="s">
        <v>16</v>
      </c>
      <c r="B231" s="0" t="s">
        <v>4809</v>
      </c>
      <c r="C231" s="0" t="s">
        <v>4810</v>
      </c>
      <c r="D231" s="0" t="s">
        <v>4817</v>
      </c>
      <c r="E231" s="0" t="s">
        <v>4818</v>
      </c>
      <c r="F231" s="0" t="s">
        <v>4200</v>
      </c>
      <c r="G231" s="0" t="s">
        <v>4819</v>
      </c>
    </row>
    <row customHeight="1" ht="11.25">
      <c r="A232" s="519" t="s">
        <v>16</v>
      </c>
      <c r="B232" s="0" t="s">
        <v>4809</v>
      </c>
      <c r="C232" s="0" t="s">
        <v>4810</v>
      </c>
      <c r="D232" s="0" t="s">
        <v>4820</v>
      </c>
      <c r="E232" s="0" t="s">
        <v>4821</v>
      </c>
      <c r="F232" s="0" t="s">
        <v>4200</v>
      </c>
      <c r="G232" s="0" t="s">
        <v>4822</v>
      </c>
    </row>
    <row customHeight="1" ht="11.25">
      <c r="A233" s="519" t="s">
        <v>16</v>
      </c>
      <c r="B233" s="0" t="s">
        <v>4809</v>
      </c>
      <c r="C233" s="0" t="s">
        <v>4810</v>
      </c>
      <c r="D233" s="0" t="s">
        <v>4823</v>
      </c>
      <c r="E233" s="0" t="s">
        <v>4824</v>
      </c>
      <c r="F233" s="0" t="s">
        <v>4200</v>
      </c>
      <c r="G233" s="0" t="s">
        <v>4825</v>
      </c>
    </row>
    <row customHeight="1" ht="11.25">
      <c r="A234" s="519" t="s">
        <v>16</v>
      </c>
      <c r="B234" s="0" t="s">
        <v>4809</v>
      </c>
      <c r="C234" s="0" t="s">
        <v>4810</v>
      </c>
      <c r="D234" s="0" t="s">
        <v>4826</v>
      </c>
      <c r="E234" s="0" t="s">
        <v>4827</v>
      </c>
      <c r="F234" s="0" t="s">
        <v>4200</v>
      </c>
      <c r="G234" s="0" t="s">
        <v>4828</v>
      </c>
    </row>
    <row customHeight="1" ht="11.25">
      <c r="A235" s="519" t="s">
        <v>16</v>
      </c>
      <c r="B235" s="0" t="s">
        <v>4809</v>
      </c>
      <c r="C235" s="0" t="s">
        <v>4810</v>
      </c>
      <c r="D235" s="0" t="s">
        <v>4829</v>
      </c>
      <c r="E235" s="0" t="s">
        <v>4830</v>
      </c>
      <c r="F235" s="0" t="s">
        <v>4200</v>
      </c>
      <c r="G235" s="0" t="s">
        <v>4831</v>
      </c>
    </row>
    <row customHeight="1" ht="11.25">
      <c r="A236" s="519" t="s">
        <v>16</v>
      </c>
      <c r="B236" s="0" t="s">
        <v>4809</v>
      </c>
      <c r="C236" s="0" t="s">
        <v>4810</v>
      </c>
      <c r="D236" s="0" t="s">
        <v>4832</v>
      </c>
      <c r="E236" s="0" t="s">
        <v>4833</v>
      </c>
      <c r="F236" s="0" t="s">
        <v>4200</v>
      </c>
      <c r="G236" s="0" t="s">
        <v>4834</v>
      </c>
    </row>
    <row customHeight="1" ht="11.25">
      <c r="A237" s="519" t="s">
        <v>16</v>
      </c>
      <c r="B237" s="0" t="s">
        <v>4809</v>
      </c>
      <c r="C237" s="0" t="s">
        <v>4810</v>
      </c>
      <c r="D237" s="0" t="s">
        <v>4809</v>
      </c>
      <c r="E237" s="0" t="s">
        <v>4810</v>
      </c>
      <c r="F237" s="0" t="s">
        <v>4197</v>
      </c>
      <c r="G237" s="0" t="s">
        <v>4835</v>
      </c>
    </row>
    <row customHeight="1" ht="11.25">
      <c r="A238" s="519" t="s">
        <v>16</v>
      </c>
      <c r="B238" s="0" t="s">
        <v>4809</v>
      </c>
      <c r="C238" s="0" t="s">
        <v>4810</v>
      </c>
      <c r="D238" s="0" t="s">
        <v>4836</v>
      </c>
      <c r="E238" s="0" t="s">
        <v>4837</v>
      </c>
      <c r="F238" s="0" t="s">
        <v>4200</v>
      </c>
      <c r="G238" s="0" t="s">
        <v>4838</v>
      </c>
    </row>
    <row customHeight="1" ht="11.25">
      <c r="A239" s="519" t="s">
        <v>16</v>
      </c>
      <c r="B239" s="0" t="s">
        <v>4809</v>
      </c>
      <c r="C239" s="0" t="s">
        <v>4810</v>
      </c>
      <c r="D239" s="0" t="s">
        <v>4839</v>
      </c>
      <c r="E239" s="0" t="s">
        <v>4840</v>
      </c>
      <c r="F239" s="0" t="s">
        <v>4200</v>
      </c>
      <c r="G239" s="0" t="s">
        <v>4841</v>
      </c>
    </row>
    <row customHeight="1" ht="11.25">
      <c r="A240" s="519" t="s">
        <v>16</v>
      </c>
      <c r="B240" s="0" t="s">
        <v>4809</v>
      </c>
      <c r="C240" s="0" t="s">
        <v>4810</v>
      </c>
      <c r="D240" s="0" t="s">
        <v>4284</v>
      </c>
      <c r="E240" s="0" t="s">
        <v>4842</v>
      </c>
      <c r="F240" s="0" t="s">
        <v>4200</v>
      </c>
      <c r="G240" s="0" t="s">
        <v>4843</v>
      </c>
    </row>
    <row customHeight="1" ht="11.25">
      <c r="A241" s="519" t="s">
        <v>16</v>
      </c>
      <c r="B241" s="0" t="s">
        <v>4844</v>
      </c>
      <c r="C241" s="0" t="s">
        <v>4845</v>
      </c>
      <c r="D241" s="0" t="s">
        <v>4844</v>
      </c>
      <c r="E241" s="0" t="s">
        <v>4845</v>
      </c>
      <c r="F241" s="0" t="s">
        <v>4194</v>
      </c>
      <c r="G241" s="0" t="s">
        <v>4846</v>
      </c>
    </row>
    <row customHeight="1" ht="11.25">
      <c r="A242" s="519" t="s">
        <v>16</v>
      </c>
      <c r="B242" s="0" t="s">
        <v>4847</v>
      </c>
      <c r="C242" s="0" t="s">
        <v>4848</v>
      </c>
      <c r="D242" s="0" t="s">
        <v>4849</v>
      </c>
      <c r="E242" s="0" t="s">
        <v>4850</v>
      </c>
      <c r="F242" s="0" t="s">
        <v>4200</v>
      </c>
      <c r="G242" s="0" t="s">
        <v>4851</v>
      </c>
    </row>
    <row customHeight="1" ht="11.25">
      <c r="A243" s="519" t="s">
        <v>16</v>
      </c>
      <c r="B243" s="0" t="s">
        <v>4847</v>
      </c>
      <c r="C243" s="0" t="s">
        <v>4848</v>
      </c>
      <c r="D243" s="0" t="s">
        <v>4852</v>
      </c>
      <c r="E243" s="0" t="s">
        <v>4853</v>
      </c>
      <c r="F243" s="0" t="s">
        <v>4200</v>
      </c>
      <c r="G243" s="0" t="s">
        <v>108</v>
      </c>
    </row>
    <row customHeight="1" ht="11.25">
      <c r="A244" s="519" t="s">
        <v>16</v>
      </c>
      <c r="B244" s="0" t="s">
        <v>4847</v>
      </c>
      <c r="C244" s="0" t="s">
        <v>4848</v>
      </c>
      <c r="D244" s="0" t="s">
        <v>4854</v>
      </c>
      <c r="E244" s="0" t="s">
        <v>4855</v>
      </c>
      <c r="F244" s="0" t="s">
        <v>4200</v>
      </c>
      <c r="G244" s="0" t="s">
        <v>4856</v>
      </c>
    </row>
    <row customHeight="1" ht="11.25">
      <c r="A245" s="519" t="s">
        <v>16</v>
      </c>
      <c r="B245" s="0" t="s">
        <v>4847</v>
      </c>
      <c r="C245" s="0" t="s">
        <v>4848</v>
      </c>
      <c r="D245" s="0" t="s">
        <v>4857</v>
      </c>
      <c r="E245" s="0" t="s">
        <v>4858</v>
      </c>
      <c r="F245" s="0" t="s">
        <v>4200</v>
      </c>
      <c r="G245" s="0" t="s">
        <v>4859</v>
      </c>
    </row>
    <row customHeight="1" ht="11.25">
      <c r="A246" s="519" t="s">
        <v>16</v>
      </c>
      <c r="B246" s="0" t="s">
        <v>4847</v>
      </c>
      <c r="C246" s="0" t="s">
        <v>4848</v>
      </c>
      <c r="D246" s="0" t="s">
        <v>4860</v>
      </c>
      <c r="E246" s="0" t="s">
        <v>4861</v>
      </c>
      <c r="F246" s="0" t="s">
        <v>4200</v>
      </c>
      <c r="G246" s="0" t="s">
        <v>4862</v>
      </c>
    </row>
    <row customHeight="1" ht="11.25">
      <c r="A247" s="519" t="s">
        <v>16</v>
      </c>
      <c r="B247" s="0" t="s">
        <v>4847</v>
      </c>
      <c r="C247" s="0" t="s">
        <v>4848</v>
      </c>
      <c r="D247" s="0" t="s">
        <v>4863</v>
      </c>
      <c r="E247" s="0" t="s">
        <v>4864</v>
      </c>
      <c r="F247" s="0" t="s">
        <v>4200</v>
      </c>
      <c r="G247" s="0" t="s">
        <v>4865</v>
      </c>
    </row>
    <row customHeight="1" ht="11.25">
      <c r="A248" s="519" t="s">
        <v>16</v>
      </c>
      <c r="B248" s="0" t="s">
        <v>4847</v>
      </c>
      <c r="C248" s="0" t="s">
        <v>4848</v>
      </c>
      <c r="D248" s="0" t="s">
        <v>4866</v>
      </c>
      <c r="E248" s="0" t="s">
        <v>4867</v>
      </c>
      <c r="F248" s="0" t="s">
        <v>4209</v>
      </c>
      <c r="G248" s="0" t="s">
        <v>4868</v>
      </c>
    </row>
    <row customHeight="1" ht="11.25">
      <c r="A249" s="519" t="s">
        <v>16</v>
      </c>
      <c r="B249" s="0" t="s">
        <v>4847</v>
      </c>
      <c r="C249" s="0" t="s">
        <v>4848</v>
      </c>
      <c r="D249" s="0" t="s">
        <v>4869</v>
      </c>
      <c r="E249" s="0" t="s">
        <v>4870</v>
      </c>
      <c r="F249" s="0" t="s">
        <v>4200</v>
      </c>
      <c r="G249" s="0" t="s">
        <v>4871</v>
      </c>
    </row>
    <row customHeight="1" ht="11.25">
      <c r="A250" s="519" t="s">
        <v>16</v>
      </c>
      <c r="B250" s="0" t="s">
        <v>4847</v>
      </c>
      <c r="C250" s="0" t="s">
        <v>4848</v>
      </c>
      <c r="D250" s="0" t="s">
        <v>4847</v>
      </c>
      <c r="E250" s="0" t="s">
        <v>4848</v>
      </c>
      <c r="F250" s="0" t="s">
        <v>4197</v>
      </c>
      <c r="G250" s="0" t="s">
        <v>4872</v>
      </c>
    </row>
    <row customHeight="1" ht="11.25">
      <c r="A251" s="519" t="s">
        <v>16</v>
      </c>
      <c r="B251" s="0" t="s">
        <v>4847</v>
      </c>
      <c r="C251" s="0" t="s">
        <v>4848</v>
      </c>
      <c r="D251" s="0" t="s">
        <v>4873</v>
      </c>
      <c r="E251" s="0" t="s">
        <v>4874</v>
      </c>
      <c r="F251" s="0" t="s">
        <v>4200</v>
      </c>
      <c r="G251" s="0" t="s">
        <v>4875</v>
      </c>
    </row>
    <row customHeight="1" ht="11.25">
      <c r="A252" s="519" t="s">
        <v>16</v>
      </c>
      <c r="B252" s="0" t="s">
        <v>4847</v>
      </c>
      <c r="C252" s="0" t="s">
        <v>4848</v>
      </c>
      <c r="D252" s="0" t="s">
        <v>4876</v>
      </c>
      <c r="E252" s="0" t="s">
        <v>4877</v>
      </c>
      <c r="F252" s="0" t="s">
        <v>4200</v>
      </c>
      <c r="G252" s="0" t="s">
        <v>4878</v>
      </c>
    </row>
    <row customHeight="1" ht="11.25">
      <c r="A253" s="519" t="s">
        <v>16</v>
      </c>
      <c r="B253" s="0" t="s">
        <v>4847</v>
      </c>
      <c r="C253" s="0" t="s">
        <v>4848</v>
      </c>
      <c r="D253" s="0" t="s">
        <v>4879</v>
      </c>
      <c r="E253" s="0" t="s">
        <v>4880</v>
      </c>
      <c r="F253" s="0" t="s">
        <v>4200</v>
      </c>
      <c r="G253" s="0" t="s">
        <v>4881</v>
      </c>
    </row>
    <row customHeight="1" ht="11.25">
      <c r="A254" s="519" t="s">
        <v>16</v>
      </c>
      <c r="B254" s="0" t="s">
        <v>4847</v>
      </c>
      <c r="C254" s="0" t="s">
        <v>4848</v>
      </c>
      <c r="D254" s="0" t="s">
        <v>4882</v>
      </c>
      <c r="E254" s="0" t="s">
        <v>4883</v>
      </c>
      <c r="F254" s="0" t="s">
        <v>4200</v>
      </c>
      <c r="G254" s="0" t="s">
        <v>4884</v>
      </c>
    </row>
    <row customHeight="1" ht="11.25">
      <c r="A255" s="519" t="s">
        <v>16</v>
      </c>
      <c r="B255" s="0" t="s">
        <v>4847</v>
      </c>
      <c r="C255" s="0" t="s">
        <v>4848</v>
      </c>
      <c r="D255" s="0" t="s">
        <v>4885</v>
      </c>
      <c r="E255" s="0" t="s">
        <v>4886</v>
      </c>
      <c r="F255" s="0" t="s">
        <v>4200</v>
      </c>
      <c r="G255" s="0" t="s">
        <v>4887</v>
      </c>
    </row>
    <row customHeight="1" ht="11.25">
      <c r="A256" s="519" t="s">
        <v>16</v>
      </c>
      <c r="B256" s="0" t="s">
        <v>109</v>
      </c>
      <c r="C256" s="0" t="s">
        <v>110</v>
      </c>
      <c r="D256" s="0" t="s">
        <v>109</v>
      </c>
      <c r="E256" s="0" t="s">
        <v>110</v>
      </c>
      <c r="F256" s="0" t="s">
        <v>4194</v>
      </c>
      <c r="G256" s="0" t="s">
        <v>4888</v>
      </c>
    </row>
    <row customHeight="1" ht="11.25">
      <c r="A257" s="519" t="s">
        <v>16</v>
      </c>
      <c r="B257" s="0" t="s">
        <v>4889</v>
      </c>
      <c r="C257" s="0" t="s">
        <v>4890</v>
      </c>
      <c r="D257" s="0" t="s">
        <v>4891</v>
      </c>
      <c r="E257" s="0" t="s">
        <v>4892</v>
      </c>
      <c r="F257" s="0" t="s">
        <v>4200</v>
      </c>
      <c r="G257" s="0" t="s">
        <v>4893</v>
      </c>
    </row>
    <row customHeight="1" ht="11.25">
      <c r="A258" s="519" t="s">
        <v>16</v>
      </c>
      <c r="B258" s="0" t="s">
        <v>4889</v>
      </c>
      <c r="C258" s="0" t="s">
        <v>4890</v>
      </c>
      <c r="D258" s="0" t="s">
        <v>4894</v>
      </c>
      <c r="E258" s="0" t="s">
        <v>4895</v>
      </c>
      <c r="F258" s="0" t="s">
        <v>4200</v>
      </c>
      <c r="G258" s="0" t="s">
        <v>4896</v>
      </c>
    </row>
    <row customHeight="1" ht="11.25">
      <c r="A259" s="519" t="s">
        <v>16</v>
      </c>
      <c r="B259" s="0" t="s">
        <v>4889</v>
      </c>
      <c r="C259" s="0" t="s">
        <v>4890</v>
      </c>
      <c r="D259" s="0" t="s">
        <v>4897</v>
      </c>
      <c r="E259" s="0" t="s">
        <v>4898</v>
      </c>
      <c r="F259" s="0" t="s">
        <v>4200</v>
      </c>
      <c r="G259" s="0" t="s">
        <v>4899</v>
      </c>
    </row>
    <row customHeight="1" ht="11.25">
      <c r="A260" s="519" t="s">
        <v>16</v>
      </c>
      <c r="B260" s="0" t="s">
        <v>4889</v>
      </c>
      <c r="C260" s="0" t="s">
        <v>4890</v>
      </c>
      <c r="D260" s="0" t="s">
        <v>4900</v>
      </c>
      <c r="E260" s="0" t="s">
        <v>4901</v>
      </c>
      <c r="F260" s="0" t="s">
        <v>4200</v>
      </c>
      <c r="G260" s="0" t="s">
        <v>4902</v>
      </c>
    </row>
    <row customHeight="1" ht="11.25">
      <c r="A261" s="519" t="s">
        <v>16</v>
      </c>
      <c r="B261" s="0" t="s">
        <v>4889</v>
      </c>
      <c r="C261" s="0" t="s">
        <v>4890</v>
      </c>
      <c r="D261" s="0" t="s">
        <v>4903</v>
      </c>
      <c r="E261" s="0" t="s">
        <v>4904</v>
      </c>
      <c r="F261" s="0" t="s">
        <v>4200</v>
      </c>
      <c r="G261" s="0" t="s">
        <v>4905</v>
      </c>
    </row>
    <row customHeight="1" ht="11.25">
      <c r="A262" s="519" t="s">
        <v>16</v>
      </c>
      <c r="B262" s="0" t="s">
        <v>4889</v>
      </c>
      <c r="C262" s="0" t="s">
        <v>4890</v>
      </c>
      <c r="D262" s="0" t="s">
        <v>4906</v>
      </c>
      <c r="E262" s="0" t="s">
        <v>4907</v>
      </c>
      <c r="F262" s="0" t="s">
        <v>4209</v>
      </c>
      <c r="G262" s="0" t="s">
        <v>4908</v>
      </c>
    </row>
    <row customHeight="1" ht="11.25">
      <c r="A263" s="519" t="s">
        <v>16</v>
      </c>
      <c r="B263" s="0" t="s">
        <v>4889</v>
      </c>
      <c r="C263" s="0" t="s">
        <v>4890</v>
      </c>
      <c r="D263" s="0" t="s">
        <v>4909</v>
      </c>
      <c r="E263" s="0" t="s">
        <v>4910</v>
      </c>
      <c r="F263" s="0" t="s">
        <v>4548</v>
      </c>
      <c r="G263" s="0" t="s">
        <v>4911</v>
      </c>
    </row>
    <row customHeight="1" ht="11.25">
      <c r="A264" s="519" t="s">
        <v>16</v>
      </c>
      <c r="B264" s="0" t="s">
        <v>4889</v>
      </c>
      <c r="C264" s="0" t="s">
        <v>4890</v>
      </c>
      <c r="D264" s="0" t="s">
        <v>4912</v>
      </c>
      <c r="E264" s="0" t="s">
        <v>4913</v>
      </c>
      <c r="F264" s="0" t="s">
        <v>4200</v>
      </c>
      <c r="G264" s="0" t="s">
        <v>4914</v>
      </c>
    </row>
    <row customHeight="1" ht="11.25">
      <c r="A265" s="519" t="s">
        <v>16</v>
      </c>
      <c r="B265" s="0" t="s">
        <v>4889</v>
      </c>
      <c r="C265" s="0" t="s">
        <v>4890</v>
      </c>
      <c r="D265" s="0" t="s">
        <v>4889</v>
      </c>
      <c r="E265" s="0" t="s">
        <v>4890</v>
      </c>
      <c r="F265" s="0" t="s">
        <v>4197</v>
      </c>
      <c r="G265" s="0" t="s">
        <v>4915</v>
      </c>
    </row>
    <row customHeight="1" ht="11.25">
      <c r="A266" s="519" t="s">
        <v>16</v>
      </c>
      <c r="B266" s="0" t="s">
        <v>4889</v>
      </c>
      <c r="C266" s="0" t="s">
        <v>4890</v>
      </c>
      <c r="D266" s="0" t="s">
        <v>4916</v>
      </c>
      <c r="E266" s="0" t="s">
        <v>4917</v>
      </c>
      <c r="F266" s="0" t="s">
        <v>4236</v>
      </c>
      <c r="G266" s="0" t="s">
        <v>4918</v>
      </c>
    </row>
    <row customHeight="1" ht="11.25">
      <c r="A267" s="519" t="s">
        <v>16</v>
      </c>
      <c r="B267" s="0" t="s">
        <v>4889</v>
      </c>
      <c r="C267" s="0" t="s">
        <v>4890</v>
      </c>
      <c r="D267" s="0" t="s">
        <v>4919</v>
      </c>
      <c r="E267" s="0" t="s">
        <v>4920</v>
      </c>
      <c r="F267" s="0" t="s">
        <v>4209</v>
      </c>
      <c r="G267" s="0" t="s">
        <v>4921</v>
      </c>
    </row>
    <row customHeight="1" ht="11.25">
      <c r="A268" s="519" t="s">
        <v>16</v>
      </c>
      <c r="B268" s="0" t="s">
        <v>4889</v>
      </c>
      <c r="C268" s="0" t="s">
        <v>4890</v>
      </c>
      <c r="D268" s="0" t="s">
        <v>4922</v>
      </c>
      <c r="E268" s="0" t="s">
        <v>4923</v>
      </c>
      <c r="F268" s="0" t="s">
        <v>4200</v>
      </c>
      <c r="G268" s="0" t="s">
        <v>4924</v>
      </c>
    </row>
    <row customHeight="1" ht="11.25">
      <c r="A269" s="519" t="s">
        <v>16</v>
      </c>
      <c r="B269" s="0" t="s">
        <v>4889</v>
      </c>
      <c r="C269" s="0" t="s">
        <v>4890</v>
      </c>
      <c r="D269" s="0" t="s">
        <v>4925</v>
      </c>
      <c r="E269" s="0" t="s">
        <v>4926</v>
      </c>
      <c r="F269" s="0" t="s">
        <v>4200</v>
      </c>
      <c r="G269" s="0" t="s">
        <v>4927</v>
      </c>
    </row>
    <row customHeight="1" ht="11.25">
      <c r="A270" s="519" t="s">
        <v>16</v>
      </c>
      <c r="B270" s="0" t="s">
        <v>4889</v>
      </c>
      <c r="C270" s="0" t="s">
        <v>4890</v>
      </c>
      <c r="D270" s="0" t="s">
        <v>4928</v>
      </c>
      <c r="E270" s="0" t="s">
        <v>4929</v>
      </c>
      <c r="F270" s="0" t="s">
        <v>4200</v>
      </c>
      <c r="G270" s="0" t="s">
        <v>4930</v>
      </c>
    </row>
    <row customHeight="1" ht="11.25">
      <c r="A271" s="519" t="s">
        <v>16</v>
      </c>
      <c r="B271" s="0" t="s">
        <v>4889</v>
      </c>
      <c r="C271" s="0" t="s">
        <v>4890</v>
      </c>
      <c r="D271" s="0" t="s">
        <v>4931</v>
      </c>
      <c r="E271" s="0" t="s">
        <v>4932</v>
      </c>
      <c r="F271" s="0" t="s">
        <v>4200</v>
      </c>
      <c r="G271" s="0" t="s">
        <v>4933</v>
      </c>
    </row>
    <row customHeight="1" ht="11.25">
      <c r="A272" s="519" t="s">
        <v>16</v>
      </c>
      <c r="B272" s="0" t="s">
        <v>4889</v>
      </c>
      <c r="C272" s="0" t="s">
        <v>4890</v>
      </c>
      <c r="D272" s="0" t="s">
        <v>4934</v>
      </c>
      <c r="E272" s="0" t="s">
        <v>4935</v>
      </c>
      <c r="F272" s="0" t="s">
        <v>4200</v>
      </c>
      <c r="G272" s="0" t="s">
        <v>4936</v>
      </c>
    </row>
    <row customHeight="1" ht="11.25">
      <c r="A273" s="519" t="s">
        <v>16</v>
      </c>
      <c r="B273" s="0" t="s">
        <v>4937</v>
      </c>
      <c r="C273" s="0" t="s">
        <v>4938</v>
      </c>
      <c r="D273" s="0" t="s">
        <v>4707</v>
      </c>
      <c r="E273" s="0" t="s">
        <v>4939</v>
      </c>
      <c r="F273" s="0" t="s">
        <v>4200</v>
      </c>
      <c r="G273" s="0" t="s">
        <v>4940</v>
      </c>
    </row>
    <row customHeight="1" ht="11.25">
      <c r="A274" s="519" t="s">
        <v>16</v>
      </c>
      <c r="B274" s="0" t="s">
        <v>4937</v>
      </c>
      <c r="C274" s="0" t="s">
        <v>4938</v>
      </c>
      <c r="D274" s="0" t="s">
        <v>4941</v>
      </c>
      <c r="E274" s="0" t="s">
        <v>4942</v>
      </c>
      <c r="F274" s="0" t="s">
        <v>4548</v>
      </c>
      <c r="G274" s="0" t="s">
        <v>4943</v>
      </c>
    </row>
    <row customHeight="1" ht="11.25">
      <c r="A275" s="519" t="s">
        <v>16</v>
      </c>
      <c r="B275" s="0" t="s">
        <v>4937</v>
      </c>
      <c r="C275" s="0" t="s">
        <v>4938</v>
      </c>
      <c r="D275" s="0" t="s">
        <v>4937</v>
      </c>
      <c r="E275" s="0" t="s">
        <v>4938</v>
      </c>
      <c r="F275" s="0" t="s">
        <v>4197</v>
      </c>
      <c r="G275" s="0" t="s">
        <v>4944</v>
      </c>
    </row>
    <row customHeight="1" ht="11.25">
      <c r="A276" s="519" t="s">
        <v>16</v>
      </c>
      <c r="B276" s="0" t="s">
        <v>4937</v>
      </c>
      <c r="C276" s="0" t="s">
        <v>4938</v>
      </c>
      <c r="D276" s="0" t="s">
        <v>4945</v>
      </c>
      <c r="E276" s="0" t="s">
        <v>4946</v>
      </c>
      <c r="F276" s="0" t="s">
        <v>4200</v>
      </c>
      <c r="G276" s="0" t="s">
        <v>4947</v>
      </c>
    </row>
    <row customHeight="1" ht="11.25">
      <c r="A277" s="519" t="s">
        <v>16</v>
      </c>
      <c r="B277" s="0" t="s">
        <v>4948</v>
      </c>
      <c r="C277" s="0" t="s">
        <v>4949</v>
      </c>
      <c r="D277" s="0" t="s">
        <v>4948</v>
      </c>
      <c r="E277" s="0" t="s">
        <v>4949</v>
      </c>
      <c r="F277" s="0" t="s">
        <v>4194</v>
      </c>
      <c r="G277" s="0" t="s">
        <v>4950</v>
      </c>
    </row>
    <row customHeight="1" ht="11.25">
      <c r="A278" s="519" t="s">
        <v>16</v>
      </c>
      <c r="B278" s="0" t="s">
        <v>4951</v>
      </c>
      <c r="C278" s="0" t="s">
        <v>4952</v>
      </c>
      <c r="D278" s="0" t="s">
        <v>4951</v>
      </c>
      <c r="E278" s="0" t="s">
        <v>4952</v>
      </c>
      <c r="F278" s="0" t="s">
        <v>4194</v>
      </c>
      <c r="G278" s="0" t="s">
        <v>4953</v>
      </c>
    </row>
    <row customHeight="1" ht="11.25">
      <c r="A279" s="519" t="s">
        <v>16</v>
      </c>
      <c r="B279" s="0" t="s">
        <v>4954</v>
      </c>
      <c r="C279" s="0" t="s">
        <v>4955</v>
      </c>
      <c r="D279" s="0" t="s">
        <v>4956</v>
      </c>
      <c r="E279" s="0" t="s">
        <v>4957</v>
      </c>
      <c r="F279" s="0" t="s">
        <v>4200</v>
      </c>
      <c r="G279" s="0" t="s">
        <v>4958</v>
      </c>
    </row>
    <row customHeight="1" ht="11.25">
      <c r="A280" s="519" t="s">
        <v>16</v>
      </c>
      <c r="B280" s="0" t="s">
        <v>4954</v>
      </c>
      <c r="C280" s="0" t="s">
        <v>4955</v>
      </c>
      <c r="D280" s="0" t="s">
        <v>4959</v>
      </c>
      <c r="E280" s="0" t="s">
        <v>4960</v>
      </c>
      <c r="F280" s="0" t="s">
        <v>4200</v>
      </c>
      <c r="G280" s="0" t="s">
        <v>4961</v>
      </c>
    </row>
    <row customHeight="1" ht="11.25">
      <c r="A281" s="519" t="s">
        <v>16</v>
      </c>
      <c r="B281" s="0" t="s">
        <v>4954</v>
      </c>
      <c r="C281" s="0" t="s">
        <v>4955</v>
      </c>
      <c r="D281" s="0" t="s">
        <v>4962</v>
      </c>
      <c r="E281" s="0" t="s">
        <v>4963</v>
      </c>
      <c r="F281" s="0" t="s">
        <v>4200</v>
      </c>
      <c r="G281" s="0" t="s">
        <v>4964</v>
      </c>
    </row>
    <row customHeight="1" ht="11.25">
      <c r="A282" s="519" t="s">
        <v>16</v>
      </c>
      <c r="B282" s="0" t="s">
        <v>4954</v>
      </c>
      <c r="C282" s="0" t="s">
        <v>4955</v>
      </c>
      <c r="D282" s="0" t="s">
        <v>4965</v>
      </c>
      <c r="E282" s="0" t="s">
        <v>4966</v>
      </c>
      <c r="F282" s="0" t="s">
        <v>4200</v>
      </c>
      <c r="G282" s="0" t="s">
        <v>4967</v>
      </c>
    </row>
    <row customHeight="1" ht="11.25">
      <c r="A283" s="519" t="s">
        <v>16</v>
      </c>
      <c r="B283" s="0" t="s">
        <v>4954</v>
      </c>
      <c r="C283" s="0" t="s">
        <v>4955</v>
      </c>
      <c r="D283" s="0" t="s">
        <v>4968</v>
      </c>
      <c r="E283" s="0" t="s">
        <v>4969</v>
      </c>
      <c r="F283" s="0" t="s">
        <v>4209</v>
      </c>
      <c r="G283" s="0" t="s">
        <v>4970</v>
      </c>
    </row>
    <row customHeight="1" ht="11.25">
      <c r="A284" s="519" t="s">
        <v>16</v>
      </c>
      <c r="B284" s="0" t="s">
        <v>4954</v>
      </c>
      <c r="C284" s="0" t="s">
        <v>4955</v>
      </c>
      <c r="D284" s="0" t="s">
        <v>4971</v>
      </c>
      <c r="E284" s="0" t="s">
        <v>4972</v>
      </c>
      <c r="F284" s="0" t="s">
        <v>4200</v>
      </c>
      <c r="G284" s="0" t="s">
        <v>4973</v>
      </c>
    </row>
    <row customHeight="1" ht="11.25">
      <c r="A285" s="519" t="s">
        <v>16</v>
      </c>
      <c r="B285" s="0" t="s">
        <v>4954</v>
      </c>
      <c r="C285" s="0" t="s">
        <v>4955</v>
      </c>
      <c r="D285" s="0" t="s">
        <v>4974</v>
      </c>
      <c r="E285" s="0" t="s">
        <v>4975</v>
      </c>
      <c r="F285" s="0" t="s">
        <v>4200</v>
      </c>
      <c r="G285" s="0" t="s">
        <v>4976</v>
      </c>
    </row>
    <row customHeight="1" ht="11.25">
      <c r="A286" s="519" t="s">
        <v>16</v>
      </c>
      <c r="B286" s="0" t="s">
        <v>4954</v>
      </c>
      <c r="C286" s="0" t="s">
        <v>4955</v>
      </c>
      <c r="D286" s="0" t="s">
        <v>4977</v>
      </c>
      <c r="E286" s="0" t="s">
        <v>4978</v>
      </c>
      <c r="F286" s="0" t="s">
        <v>4200</v>
      </c>
      <c r="G286" s="0" t="s">
        <v>4979</v>
      </c>
    </row>
    <row customHeight="1" ht="11.25">
      <c r="A287" s="519" t="s">
        <v>16</v>
      </c>
      <c r="B287" s="0" t="s">
        <v>4954</v>
      </c>
      <c r="C287" s="0" t="s">
        <v>4955</v>
      </c>
      <c r="D287" s="0" t="s">
        <v>4954</v>
      </c>
      <c r="E287" s="0" t="s">
        <v>4955</v>
      </c>
      <c r="F287" s="0" t="s">
        <v>4197</v>
      </c>
      <c r="G287" s="0" t="s">
        <v>4980</v>
      </c>
    </row>
    <row customHeight="1" ht="11.25">
      <c r="A288" s="519" t="s">
        <v>16</v>
      </c>
      <c r="B288" s="0" t="s">
        <v>4954</v>
      </c>
      <c r="C288" s="0" t="s">
        <v>4955</v>
      </c>
      <c r="D288" s="0" t="s">
        <v>4981</v>
      </c>
      <c r="E288" s="0" t="s">
        <v>4982</v>
      </c>
      <c r="F288" s="0" t="s">
        <v>4200</v>
      </c>
      <c r="G288" s="0" t="s">
        <v>4983</v>
      </c>
    </row>
    <row customHeight="1" ht="11.25">
      <c r="A289" s="519" t="s">
        <v>16</v>
      </c>
      <c r="B289" s="0" t="s">
        <v>4954</v>
      </c>
      <c r="C289" s="0" t="s">
        <v>4955</v>
      </c>
      <c r="D289" s="0" t="s">
        <v>4984</v>
      </c>
      <c r="E289" s="0" t="s">
        <v>4985</v>
      </c>
      <c r="F289" s="0" t="s">
        <v>4200</v>
      </c>
      <c r="G289" s="0" t="s">
        <v>4986</v>
      </c>
    </row>
    <row customHeight="1" ht="11.25">
      <c r="A290" s="519" t="s">
        <v>16</v>
      </c>
      <c r="B290" s="0" t="s">
        <v>4987</v>
      </c>
      <c r="C290" s="0" t="s">
        <v>4988</v>
      </c>
      <c r="D290" s="0" t="s">
        <v>4987</v>
      </c>
      <c r="E290" s="0" t="s">
        <v>4988</v>
      </c>
      <c r="F290" s="0" t="s">
        <v>4194</v>
      </c>
      <c r="G290" s="0" t="s">
        <v>4989</v>
      </c>
    </row>
    <row customHeight="1" ht="11.25">
      <c r="A291" s="519" t="s">
        <v>16</v>
      </c>
      <c r="B291" s="0" t="s">
        <v>4990</v>
      </c>
      <c r="C291" s="0" t="s">
        <v>4991</v>
      </c>
      <c r="D291" s="0" t="s">
        <v>4992</v>
      </c>
      <c r="E291" s="0" t="s">
        <v>4993</v>
      </c>
      <c r="F291" s="0" t="s">
        <v>4200</v>
      </c>
      <c r="G291" s="0" t="s">
        <v>4994</v>
      </c>
    </row>
    <row customHeight="1" ht="11.25">
      <c r="A292" s="519" t="s">
        <v>16</v>
      </c>
      <c r="B292" s="0" t="s">
        <v>4990</v>
      </c>
      <c r="C292" s="0" t="s">
        <v>4991</v>
      </c>
      <c r="D292" s="0" t="s">
        <v>4995</v>
      </c>
      <c r="E292" s="0" t="s">
        <v>4996</v>
      </c>
      <c r="F292" s="0" t="s">
        <v>4200</v>
      </c>
      <c r="G292" s="0" t="s">
        <v>4997</v>
      </c>
    </row>
    <row customHeight="1" ht="11.25">
      <c r="A293" s="519" t="s">
        <v>16</v>
      </c>
      <c r="B293" s="0" t="s">
        <v>4990</v>
      </c>
      <c r="C293" s="0" t="s">
        <v>4991</v>
      </c>
      <c r="D293" s="0" t="s">
        <v>4998</v>
      </c>
      <c r="E293" s="0" t="s">
        <v>4999</v>
      </c>
      <c r="F293" s="0" t="s">
        <v>4200</v>
      </c>
      <c r="G293" s="0" t="s">
        <v>5000</v>
      </c>
    </row>
    <row customHeight="1" ht="11.25">
      <c r="A294" s="519" t="s">
        <v>16</v>
      </c>
      <c r="B294" s="0" t="s">
        <v>4990</v>
      </c>
      <c r="C294" s="0" t="s">
        <v>4991</v>
      </c>
      <c r="D294" s="0" t="s">
        <v>5001</v>
      </c>
      <c r="E294" s="0" t="s">
        <v>5002</v>
      </c>
      <c r="F294" s="0" t="s">
        <v>4200</v>
      </c>
      <c r="G294" s="0" t="s">
        <v>5003</v>
      </c>
    </row>
    <row customHeight="1" ht="11.25">
      <c r="A295" s="519" t="s">
        <v>16</v>
      </c>
      <c r="B295" s="0" t="s">
        <v>4990</v>
      </c>
      <c r="C295" s="0" t="s">
        <v>4991</v>
      </c>
      <c r="D295" s="0" t="s">
        <v>5004</v>
      </c>
      <c r="E295" s="0" t="s">
        <v>5005</v>
      </c>
      <c r="F295" s="0" t="s">
        <v>4200</v>
      </c>
      <c r="G295" s="0" t="s">
        <v>5006</v>
      </c>
    </row>
    <row customHeight="1" ht="11.25">
      <c r="A296" s="519" t="s">
        <v>16</v>
      </c>
      <c r="B296" s="0" t="s">
        <v>4990</v>
      </c>
      <c r="C296" s="0" t="s">
        <v>4991</v>
      </c>
      <c r="D296" s="0" t="s">
        <v>5007</v>
      </c>
      <c r="E296" s="0" t="s">
        <v>5008</v>
      </c>
      <c r="F296" s="0" t="s">
        <v>4209</v>
      </c>
      <c r="G296" s="0" t="s">
        <v>5009</v>
      </c>
    </row>
    <row customHeight="1" ht="11.25">
      <c r="A297" s="519" t="s">
        <v>16</v>
      </c>
      <c r="B297" s="0" t="s">
        <v>4990</v>
      </c>
      <c r="C297" s="0" t="s">
        <v>4991</v>
      </c>
      <c r="D297" s="0" t="s">
        <v>5010</v>
      </c>
      <c r="E297" s="0" t="s">
        <v>5011</v>
      </c>
      <c r="F297" s="0" t="s">
        <v>4200</v>
      </c>
      <c r="G297" s="0" t="s">
        <v>5012</v>
      </c>
    </row>
    <row customHeight="1" ht="11.25">
      <c r="A298" s="519" t="s">
        <v>16</v>
      </c>
      <c r="B298" s="0" t="s">
        <v>4990</v>
      </c>
      <c r="C298" s="0" t="s">
        <v>4991</v>
      </c>
      <c r="D298" s="0" t="s">
        <v>5013</v>
      </c>
      <c r="E298" s="0" t="s">
        <v>5014</v>
      </c>
      <c r="F298" s="0" t="s">
        <v>4200</v>
      </c>
      <c r="G298" s="0" t="s">
        <v>5015</v>
      </c>
    </row>
    <row customHeight="1" ht="11.25">
      <c r="A299" s="519" t="s">
        <v>16</v>
      </c>
      <c r="B299" s="0" t="s">
        <v>4990</v>
      </c>
      <c r="C299" s="0" t="s">
        <v>4991</v>
      </c>
      <c r="D299" s="0" t="s">
        <v>5016</v>
      </c>
      <c r="E299" s="0" t="s">
        <v>5017</v>
      </c>
      <c r="F299" s="0" t="s">
        <v>4200</v>
      </c>
      <c r="G299" s="0" t="s">
        <v>5018</v>
      </c>
    </row>
    <row customHeight="1" ht="11.25">
      <c r="A300" s="519" t="s">
        <v>16</v>
      </c>
      <c r="B300" s="0" t="s">
        <v>4990</v>
      </c>
      <c r="C300" s="0" t="s">
        <v>4991</v>
      </c>
      <c r="D300" s="0" t="s">
        <v>4990</v>
      </c>
      <c r="E300" s="0" t="s">
        <v>4991</v>
      </c>
      <c r="F300" s="0" t="s">
        <v>4197</v>
      </c>
      <c r="G300" s="0" t="s">
        <v>5019</v>
      </c>
    </row>
    <row customHeight="1" ht="11.25">
      <c r="A301" s="519" t="s">
        <v>16</v>
      </c>
      <c r="B301" s="0" t="s">
        <v>4990</v>
      </c>
      <c r="C301" s="0" t="s">
        <v>4991</v>
      </c>
      <c r="D301" s="0" t="s">
        <v>5020</v>
      </c>
      <c r="E301" s="0" t="s">
        <v>5021</v>
      </c>
      <c r="F301" s="0" t="s">
        <v>4236</v>
      </c>
      <c r="G301" s="0" t="s">
        <v>5022</v>
      </c>
    </row>
    <row customHeight="1" ht="11.25">
      <c r="A302" s="519" t="s">
        <v>16</v>
      </c>
      <c r="B302" s="0" t="s">
        <v>4990</v>
      </c>
      <c r="C302" s="0" t="s">
        <v>4991</v>
      </c>
      <c r="D302" s="0" t="s">
        <v>5023</v>
      </c>
      <c r="E302" s="0" t="s">
        <v>5024</v>
      </c>
      <c r="F302" s="0" t="s">
        <v>4200</v>
      </c>
      <c r="G302" s="0" t="s">
        <v>5025</v>
      </c>
    </row>
    <row customHeight="1" ht="11.25">
      <c r="A303" s="519" t="s">
        <v>16</v>
      </c>
      <c r="B303" s="0" t="s">
        <v>4990</v>
      </c>
      <c r="C303" s="0" t="s">
        <v>4991</v>
      </c>
      <c r="D303" s="0" t="s">
        <v>5026</v>
      </c>
      <c r="E303" s="0" t="s">
        <v>5027</v>
      </c>
      <c r="F303" s="0" t="s">
        <v>4200</v>
      </c>
      <c r="G303" s="0" t="s">
        <v>5028</v>
      </c>
    </row>
    <row customHeight="1" ht="11.25">
      <c r="A304" s="519" t="s">
        <v>16</v>
      </c>
      <c r="B304" s="0" t="s">
        <v>5029</v>
      </c>
      <c r="C304" s="0" t="s">
        <v>5030</v>
      </c>
      <c r="D304" s="0" t="s">
        <v>5029</v>
      </c>
      <c r="E304" s="0" t="s">
        <v>5030</v>
      </c>
      <c r="F304" s="0" t="s">
        <v>4194</v>
      </c>
      <c r="G304" s="0" t="s">
        <v>5031</v>
      </c>
    </row>
    <row customHeight="1" ht="11.25">
      <c r="A305" s="519" t="s">
        <v>16</v>
      </c>
      <c r="B305" s="0" t="s">
        <v>5032</v>
      </c>
      <c r="C305" s="0" t="s">
        <v>5033</v>
      </c>
      <c r="D305" s="0" t="s">
        <v>5034</v>
      </c>
      <c r="E305" s="0" t="s">
        <v>5035</v>
      </c>
      <c r="F305" s="0" t="s">
        <v>4209</v>
      </c>
      <c r="G305" s="0" t="s">
        <v>5036</v>
      </c>
    </row>
    <row customHeight="1" ht="11.25">
      <c r="A306" s="519" t="s">
        <v>16</v>
      </c>
      <c r="B306" s="0" t="s">
        <v>5032</v>
      </c>
      <c r="C306" s="0" t="s">
        <v>5033</v>
      </c>
      <c r="D306" s="0" t="s">
        <v>5037</v>
      </c>
      <c r="E306" s="0" t="s">
        <v>5038</v>
      </c>
      <c r="F306" s="0" t="s">
        <v>4200</v>
      </c>
      <c r="G306" s="0" t="s">
        <v>5039</v>
      </c>
    </row>
    <row customHeight="1" ht="11.25">
      <c r="A307" s="519" t="s">
        <v>16</v>
      </c>
      <c r="B307" s="0" t="s">
        <v>5032</v>
      </c>
      <c r="C307" s="0" t="s">
        <v>5033</v>
      </c>
      <c r="D307" s="0" t="s">
        <v>5040</v>
      </c>
      <c r="E307" s="0" t="s">
        <v>5041</v>
      </c>
      <c r="F307" s="0" t="s">
        <v>4200</v>
      </c>
      <c r="G307" s="0" t="s">
        <v>5042</v>
      </c>
    </row>
    <row customHeight="1" ht="11.25">
      <c r="A308" s="519" t="s">
        <v>16</v>
      </c>
      <c r="B308" s="0" t="s">
        <v>5032</v>
      </c>
      <c r="C308" s="0" t="s">
        <v>5033</v>
      </c>
      <c r="D308" s="0" t="s">
        <v>5043</v>
      </c>
      <c r="E308" s="0" t="s">
        <v>5044</v>
      </c>
      <c r="F308" s="0" t="s">
        <v>4209</v>
      </c>
      <c r="G308" s="0" t="s">
        <v>5045</v>
      </c>
    </row>
    <row customHeight="1" ht="11.25">
      <c r="A309" s="519" t="s">
        <v>16</v>
      </c>
      <c r="B309" s="0" t="s">
        <v>5032</v>
      </c>
      <c r="C309" s="0" t="s">
        <v>5033</v>
      </c>
      <c r="D309" s="0" t="s">
        <v>5046</v>
      </c>
      <c r="E309" s="0" t="s">
        <v>5047</v>
      </c>
      <c r="F309" s="0" t="s">
        <v>4200</v>
      </c>
      <c r="G309" s="0" t="s">
        <v>5048</v>
      </c>
    </row>
    <row customHeight="1" ht="11.25">
      <c r="A310" s="519" t="s">
        <v>16</v>
      </c>
      <c r="B310" s="0" t="s">
        <v>5032</v>
      </c>
      <c r="C310" s="0" t="s">
        <v>5033</v>
      </c>
      <c r="D310" s="0" t="s">
        <v>5049</v>
      </c>
      <c r="E310" s="0" t="s">
        <v>5050</v>
      </c>
      <c r="F310" s="0" t="s">
        <v>4200</v>
      </c>
      <c r="G310" s="0" t="s">
        <v>5051</v>
      </c>
    </row>
    <row customHeight="1" ht="11.25">
      <c r="A311" s="519" t="s">
        <v>16</v>
      </c>
      <c r="B311" s="0" t="s">
        <v>5032</v>
      </c>
      <c r="C311" s="0" t="s">
        <v>5033</v>
      </c>
      <c r="D311" s="0" t="s">
        <v>5052</v>
      </c>
      <c r="E311" s="0" t="s">
        <v>5053</v>
      </c>
      <c r="F311" s="0" t="s">
        <v>4209</v>
      </c>
      <c r="G311" s="0" t="s">
        <v>5054</v>
      </c>
    </row>
    <row customHeight="1" ht="11.25">
      <c r="A312" s="519" t="s">
        <v>16</v>
      </c>
      <c r="B312" s="0" t="s">
        <v>5032</v>
      </c>
      <c r="C312" s="0" t="s">
        <v>5033</v>
      </c>
      <c r="D312" s="0" t="s">
        <v>5055</v>
      </c>
      <c r="E312" s="0" t="s">
        <v>5056</v>
      </c>
      <c r="F312" s="0" t="s">
        <v>4200</v>
      </c>
      <c r="G312" s="0" t="s">
        <v>5057</v>
      </c>
    </row>
    <row customHeight="1" ht="11.25">
      <c r="A313" s="519" t="s">
        <v>16</v>
      </c>
      <c r="B313" s="0" t="s">
        <v>5032</v>
      </c>
      <c r="C313" s="0" t="s">
        <v>5033</v>
      </c>
      <c r="D313" s="0" t="s">
        <v>5058</v>
      </c>
      <c r="E313" s="0" t="s">
        <v>5059</v>
      </c>
      <c r="F313" s="0" t="s">
        <v>4200</v>
      </c>
      <c r="G313" s="0" t="s">
        <v>5060</v>
      </c>
    </row>
    <row customHeight="1" ht="11.25">
      <c r="A314" s="519" t="s">
        <v>16</v>
      </c>
      <c r="B314" s="0" t="s">
        <v>5032</v>
      </c>
      <c r="C314" s="0" t="s">
        <v>5033</v>
      </c>
      <c r="D314" s="0" t="s">
        <v>5061</v>
      </c>
      <c r="E314" s="0" t="s">
        <v>5062</v>
      </c>
      <c r="F314" s="0" t="s">
        <v>4200</v>
      </c>
      <c r="G314" s="0" t="s">
        <v>5063</v>
      </c>
    </row>
    <row customHeight="1" ht="11.25">
      <c r="A315" s="519" t="s">
        <v>16</v>
      </c>
      <c r="B315" s="0" t="s">
        <v>5032</v>
      </c>
      <c r="C315" s="0" t="s">
        <v>5033</v>
      </c>
      <c r="D315" s="0" t="s">
        <v>5064</v>
      </c>
      <c r="E315" s="0" t="s">
        <v>5065</v>
      </c>
      <c r="F315" s="0" t="s">
        <v>4200</v>
      </c>
      <c r="G315" s="0" t="s">
        <v>5066</v>
      </c>
    </row>
    <row customHeight="1" ht="11.25">
      <c r="A316" s="519" t="s">
        <v>16</v>
      </c>
      <c r="B316" s="0" t="s">
        <v>5032</v>
      </c>
      <c r="C316" s="0" t="s">
        <v>5033</v>
      </c>
      <c r="D316" s="0" t="s">
        <v>5067</v>
      </c>
      <c r="E316" s="0" t="s">
        <v>5068</v>
      </c>
      <c r="F316" s="0" t="s">
        <v>4200</v>
      </c>
      <c r="G316" s="0" t="s">
        <v>5069</v>
      </c>
    </row>
    <row customHeight="1" ht="11.25">
      <c r="A317" s="519" t="s">
        <v>16</v>
      </c>
      <c r="B317" s="0" t="s">
        <v>5032</v>
      </c>
      <c r="C317" s="0" t="s">
        <v>5033</v>
      </c>
      <c r="D317" s="0" t="s">
        <v>5070</v>
      </c>
      <c r="E317" s="0" t="s">
        <v>5071</v>
      </c>
      <c r="F317" s="0" t="s">
        <v>4200</v>
      </c>
      <c r="G317" s="0" t="s">
        <v>5072</v>
      </c>
    </row>
    <row customHeight="1" ht="11.25">
      <c r="A318" s="519" t="s">
        <v>16</v>
      </c>
      <c r="B318" s="0" t="s">
        <v>5032</v>
      </c>
      <c r="C318" s="0" t="s">
        <v>5033</v>
      </c>
      <c r="D318" s="0" t="s">
        <v>5073</v>
      </c>
      <c r="E318" s="0" t="s">
        <v>5074</v>
      </c>
      <c r="F318" s="0" t="s">
        <v>4200</v>
      </c>
      <c r="G318" s="0" t="s">
        <v>5075</v>
      </c>
    </row>
    <row customHeight="1" ht="11.25">
      <c r="A319" s="519" t="s">
        <v>16</v>
      </c>
      <c r="B319" s="0" t="s">
        <v>5032</v>
      </c>
      <c r="C319" s="0" t="s">
        <v>5033</v>
      </c>
      <c r="D319" s="0" t="s">
        <v>5076</v>
      </c>
      <c r="E319" s="0" t="s">
        <v>5077</v>
      </c>
      <c r="F319" s="0" t="s">
        <v>4200</v>
      </c>
      <c r="G319" s="0" t="s">
        <v>5078</v>
      </c>
    </row>
    <row customHeight="1" ht="11.25">
      <c r="A320" s="519" t="s">
        <v>16</v>
      </c>
      <c r="B320" s="0" t="s">
        <v>5032</v>
      </c>
      <c r="C320" s="0" t="s">
        <v>5033</v>
      </c>
      <c r="D320" s="0" t="s">
        <v>5079</v>
      </c>
      <c r="E320" s="0" t="s">
        <v>5080</v>
      </c>
      <c r="F320" s="0" t="s">
        <v>4200</v>
      </c>
      <c r="G320" s="0" t="s">
        <v>5081</v>
      </c>
    </row>
    <row customHeight="1" ht="11.25">
      <c r="A321" s="519" t="s">
        <v>16</v>
      </c>
      <c r="B321" s="0" t="s">
        <v>5032</v>
      </c>
      <c r="C321" s="0" t="s">
        <v>5033</v>
      </c>
      <c r="D321" s="0" t="s">
        <v>5082</v>
      </c>
      <c r="E321" s="0" t="s">
        <v>5083</v>
      </c>
      <c r="F321" s="0" t="s">
        <v>4200</v>
      </c>
      <c r="G321" s="0" t="s">
        <v>5084</v>
      </c>
    </row>
    <row customHeight="1" ht="11.25">
      <c r="A322" s="519" t="s">
        <v>16</v>
      </c>
      <c r="B322" s="0" t="s">
        <v>5032</v>
      </c>
      <c r="C322" s="0" t="s">
        <v>5033</v>
      </c>
      <c r="D322" s="0" t="s">
        <v>5032</v>
      </c>
      <c r="E322" s="0" t="s">
        <v>5033</v>
      </c>
      <c r="F322" s="0" t="s">
        <v>4197</v>
      </c>
      <c r="G322" s="0" t="s">
        <v>5085</v>
      </c>
    </row>
    <row customHeight="1" ht="11.25">
      <c r="A323" s="519" t="s">
        <v>16</v>
      </c>
      <c r="B323" s="0" t="s">
        <v>5032</v>
      </c>
      <c r="C323" s="0" t="s">
        <v>5033</v>
      </c>
      <c r="D323" s="0" t="s">
        <v>5086</v>
      </c>
      <c r="E323" s="0" t="s">
        <v>5087</v>
      </c>
      <c r="F323" s="0" t="s">
        <v>4209</v>
      </c>
      <c r="G323" s="0" t="s">
        <v>5088</v>
      </c>
    </row>
    <row customHeight="1" ht="11.25">
      <c r="A324" s="519" t="s">
        <v>16</v>
      </c>
      <c r="B324" s="0" t="s">
        <v>5089</v>
      </c>
      <c r="C324" s="0" t="s">
        <v>5090</v>
      </c>
      <c r="D324" s="0" t="s">
        <v>5089</v>
      </c>
      <c r="E324" s="0" t="s">
        <v>5090</v>
      </c>
      <c r="F324" s="0" t="s">
        <v>4194</v>
      </c>
      <c r="G324" s="0" t="s">
        <v>5091</v>
      </c>
    </row>
    <row customHeight="1" ht="11.25">
      <c r="A325" s="519" t="s">
        <v>16</v>
      </c>
      <c r="B325" s="0" t="s">
        <v>5092</v>
      </c>
      <c r="C325" s="0" t="s">
        <v>5093</v>
      </c>
      <c r="D325" s="0" t="s">
        <v>5094</v>
      </c>
      <c r="E325" s="0" t="s">
        <v>5095</v>
      </c>
      <c r="F325" s="0" t="s">
        <v>4200</v>
      </c>
      <c r="G325" s="0" t="s">
        <v>5096</v>
      </c>
    </row>
    <row customHeight="1" ht="11.25">
      <c r="A326" s="519" t="s">
        <v>16</v>
      </c>
      <c r="B326" s="0" t="s">
        <v>5092</v>
      </c>
      <c r="C326" s="0" t="s">
        <v>5093</v>
      </c>
      <c r="D326" s="0" t="s">
        <v>5097</v>
      </c>
      <c r="E326" s="0" t="s">
        <v>5098</v>
      </c>
      <c r="F326" s="0" t="s">
        <v>4200</v>
      </c>
      <c r="G326" s="0" t="s">
        <v>5099</v>
      </c>
    </row>
    <row customHeight="1" ht="11.25">
      <c r="A327" s="519" t="s">
        <v>16</v>
      </c>
      <c r="B327" s="0" t="s">
        <v>5092</v>
      </c>
      <c r="C327" s="0" t="s">
        <v>5093</v>
      </c>
      <c r="D327" s="0" t="s">
        <v>5100</v>
      </c>
      <c r="E327" s="0" t="s">
        <v>5101</v>
      </c>
      <c r="F327" s="0" t="s">
        <v>4209</v>
      </c>
      <c r="G327" s="0" t="s">
        <v>5102</v>
      </c>
    </row>
    <row customHeight="1" ht="11.25">
      <c r="A328" s="519" t="s">
        <v>16</v>
      </c>
      <c r="B328" s="0" t="s">
        <v>5092</v>
      </c>
      <c r="C328" s="0" t="s">
        <v>5093</v>
      </c>
      <c r="D328" s="0" t="s">
        <v>5103</v>
      </c>
      <c r="E328" s="0" t="s">
        <v>5104</v>
      </c>
      <c r="F328" s="0" t="s">
        <v>4200</v>
      </c>
      <c r="G328" s="0" t="s">
        <v>5105</v>
      </c>
    </row>
    <row customHeight="1" ht="11.25">
      <c r="A329" s="519" t="s">
        <v>16</v>
      </c>
      <c r="B329" s="0" t="s">
        <v>5092</v>
      </c>
      <c r="C329" s="0" t="s">
        <v>5093</v>
      </c>
      <c r="D329" s="0" t="s">
        <v>5106</v>
      </c>
      <c r="E329" s="0" t="s">
        <v>5107</v>
      </c>
      <c r="F329" s="0" t="s">
        <v>4200</v>
      </c>
      <c r="G329" s="0" t="s">
        <v>5108</v>
      </c>
    </row>
    <row customHeight="1" ht="11.25">
      <c r="A330" s="519" t="s">
        <v>16</v>
      </c>
      <c r="B330" s="0" t="s">
        <v>5092</v>
      </c>
      <c r="C330" s="0" t="s">
        <v>5093</v>
      </c>
      <c r="D330" s="0" t="s">
        <v>5109</v>
      </c>
      <c r="E330" s="0" t="s">
        <v>5110</v>
      </c>
      <c r="F330" s="0" t="s">
        <v>4200</v>
      </c>
      <c r="G330" s="0" t="s">
        <v>5111</v>
      </c>
    </row>
    <row customHeight="1" ht="11.25">
      <c r="A331" s="519" t="s">
        <v>16</v>
      </c>
      <c r="B331" s="0" t="s">
        <v>5092</v>
      </c>
      <c r="C331" s="0" t="s">
        <v>5093</v>
      </c>
      <c r="D331" s="0" t="s">
        <v>5112</v>
      </c>
      <c r="E331" s="0" t="s">
        <v>5113</v>
      </c>
      <c r="F331" s="0" t="s">
        <v>4200</v>
      </c>
      <c r="G331" s="0" t="s">
        <v>5114</v>
      </c>
    </row>
    <row customHeight="1" ht="11.25">
      <c r="A332" s="519" t="s">
        <v>16</v>
      </c>
      <c r="B332" s="0" t="s">
        <v>5092</v>
      </c>
      <c r="C332" s="0" t="s">
        <v>5093</v>
      </c>
      <c r="D332" s="0" t="s">
        <v>5115</v>
      </c>
      <c r="E332" s="0" t="s">
        <v>5116</v>
      </c>
      <c r="F332" s="0" t="s">
        <v>4200</v>
      </c>
      <c r="G332" s="0" t="s">
        <v>5117</v>
      </c>
    </row>
    <row customHeight="1" ht="11.25">
      <c r="A333" s="519" t="s">
        <v>16</v>
      </c>
      <c r="B333" s="0" t="s">
        <v>5092</v>
      </c>
      <c r="C333" s="0" t="s">
        <v>5093</v>
      </c>
      <c r="D333" s="0" t="s">
        <v>5118</v>
      </c>
      <c r="E333" s="0" t="s">
        <v>5119</v>
      </c>
      <c r="F333" s="0" t="s">
        <v>4200</v>
      </c>
      <c r="G333" s="0" t="s">
        <v>5120</v>
      </c>
    </row>
    <row customHeight="1" ht="11.25">
      <c r="A334" s="519" t="s">
        <v>16</v>
      </c>
      <c r="B334" s="0" t="s">
        <v>5092</v>
      </c>
      <c r="C334" s="0" t="s">
        <v>5093</v>
      </c>
      <c r="D334" s="0" t="s">
        <v>5121</v>
      </c>
      <c r="E334" s="0" t="s">
        <v>5122</v>
      </c>
      <c r="F334" s="0" t="s">
        <v>4200</v>
      </c>
      <c r="G334" s="0" t="s">
        <v>5123</v>
      </c>
    </row>
    <row customHeight="1" ht="11.25">
      <c r="A335" s="519" t="s">
        <v>16</v>
      </c>
      <c r="B335" s="0" t="s">
        <v>5092</v>
      </c>
      <c r="C335" s="0" t="s">
        <v>5093</v>
      </c>
      <c r="D335" s="0" t="s">
        <v>4971</v>
      </c>
      <c r="E335" s="0" t="s">
        <v>5124</v>
      </c>
      <c r="F335" s="0" t="s">
        <v>4200</v>
      </c>
      <c r="G335" s="0" t="s">
        <v>5125</v>
      </c>
    </row>
    <row customHeight="1" ht="11.25">
      <c r="A336" s="519" t="s">
        <v>16</v>
      </c>
      <c r="B336" s="0" t="s">
        <v>5092</v>
      </c>
      <c r="C336" s="0" t="s">
        <v>5093</v>
      </c>
      <c r="D336" s="0" t="s">
        <v>5126</v>
      </c>
      <c r="E336" s="0" t="s">
        <v>5127</v>
      </c>
      <c r="F336" s="0" t="s">
        <v>4200</v>
      </c>
      <c r="G336" s="0" t="s">
        <v>5128</v>
      </c>
    </row>
    <row customHeight="1" ht="11.25">
      <c r="A337" s="519" t="s">
        <v>16</v>
      </c>
      <c r="B337" s="0" t="s">
        <v>5092</v>
      </c>
      <c r="C337" s="0" t="s">
        <v>5093</v>
      </c>
      <c r="D337" s="0" t="s">
        <v>5129</v>
      </c>
      <c r="E337" s="0" t="s">
        <v>5130</v>
      </c>
      <c r="F337" s="0" t="s">
        <v>4200</v>
      </c>
      <c r="G337" s="0" t="s">
        <v>5131</v>
      </c>
    </row>
    <row customHeight="1" ht="11.25">
      <c r="A338" s="519" t="s">
        <v>16</v>
      </c>
      <c r="B338" s="0" t="s">
        <v>5092</v>
      </c>
      <c r="C338" s="0" t="s">
        <v>5093</v>
      </c>
      <c r="D338" s="0" t="s">
        <v>5132</v>
      </c>
      <c r="E338" s="0" t="s">
        <v>5133</v>
      </c>
      <c r="F338" s="0" t="s">
        <v>4209</v>
      </c>
      <c r="G338" s="0" t="s">
        <v>5134</v>
      </c>
    </row>
    <row customHeight="1" ht="11.25">
      <c r="A339" s="519" t="s">
        <v>16</v>
      </c>
      <c r="B339" s="0" t="s">
        <v>5092</v>
      </c>
      <c r="C339" s="0" t="s">
        <v>5093</v>
      </c>
      <c r="D339" s="0" t="s">
        <v>5135</v>
      </c>
      <c r="E339" s="0" t="s">
        <v>5136</v>
      </c>
      <c r="F339" s="0" t="s">
        <v>4200</v>
      </c>
      <c r="G339" s="0" t="s">
        <v>5137</v>
      </c>
    </row>
    <row customHeight="1" ht="11.25">
      <c r="A340" s="519" t="s">
        <v>16</v>
      </c>
      <c r="B340" s="0" t="s">
        <v>5092</v>
      </c>
      <c r="C340" s="0" t="s">
        <v>5093</v>
      </c>
      <c r="D340" s="0" t="s">
        <v>5138</v>
      </c>
      <c r="E340" s="0" t="s">
        <v>5139</v>
      </c>
      <c r="F340" s="0" t="s">
        <v>4200</v>
      </c>
      <c r="G340" s="0" t="s">
        <v>5140</v>
      </c>
    </row>
    <row customHeight="1" ht="11.25">
      <c r="A341" s="519" t="s">
        <v>16</v>
      </c>
      <c r="B341" s="0" t="s">
        <v>5092</v>
      </c>
      <c r="C341" s="0" t="s">
        <v>5093</v>
      </c>
      <c r="D341" s="0" t="s">
        <v>5141</v>
      </c>
      <c r="E341" s="0" t="s">
        <v>5142</v>
      </c>
      <c r="F341" s="0" t="s">
        <v>4200</v>
      </c>
      <c r="G341" s="0" t="s">
        <v>5143</v>
      </c>
    </row>
    <row customHeight="1" ht="11.25">
      <c r="A342" s="519" t="s">
        <v>16</v>
      </c>
      <c r="B342" s="0" t="s">
        <v>5092</v>
      </c>
      <c r="C342" s="0" t="s">
        <v>5093</v>
      </c>
      <c r="D342" s="0" t="s">
        <v>5144</v>
      </c>
      <c r="E342" s="0" t="s">
        <v>5145</v>
      </c>
      <c r="F342" s="0" t="s">
        <v>4200</v>
      </c>
      <c r="G342" s="0" t="s">
        <v>5146</v>
      </c>
    </row>
    <row customHeight="1" ht="11.25">
      <c r="A343" s="519" t="s">
        <v>16</v>
      </c>
      <c r="B343" s="0" t="s">
        <v>5092</v>
      </c>
      <c r="C343" s="0" t="s">
        <v>5093</v>
      </c>
      <c r="D343" s="0" t="s">
        <v>5147</v>
      </c>
      <c r="E343" s="0" t="s">
        <v>5148</v>
      </c>
      <c r="F343" s="0" t="s">
        <v>4200</v>
      </c>
      <c r="G343" s="0" t="s">
        <v>5149</v>
      </c>
    </row>
    <row customHeight="1" ht="11.25">
      <c r="A344" s="519" t="s">
        <v>16</v>
      </c>
      <c r="B344" s="0" t="s">
        <v>5092</v>
      </c>
      <c r="C344" s="0" t="s">
        <v>5093</v>
      </c>
      <c r="D344" s="0" t="s">
        <v>5150</v>
      </c>
      <c r="E344" s="0" t="s">
        <v>5151</v>
      </c>
      <c r="F344" s="0" t="s">
        <v>4200</v>
      </c>
      <c r="G344" s="0" t="s">
        <v>5152</v>
      </c>
    </row>
    <row customHeight="1" ht="11.25">
      <c r="A345" s="519" t="s">
        <v>16</v>
      </c>
      <c r="B345" s="0" t="s">
        <v>5092</v>
      </c>
      <c r="C345" s="0" t="s">
        <v>5093</v>
      </c>
      <c r="D345" s="0" t="s">
        <v>5153</v>
      </c>
      <c r="E345" s="0" t="s">
        <v>5154</v>
      </c>
      <c r="F345" s="0" t="s">
        <v>4200</v>
      </c>
      <c r="G345" s="0" t="s">
        <v>5155</v>
      </c>
    </row>
    <row customHeight="1" ht="11.25">
      <c r="A346" s="519" t="s">
        <v>16</v>
      </c>
      <c r="B346" s="0" t="s">
        <v>5092</v>
      </c>
      <c r="C346" s="0" t="s">
        <v>5093</v>
      </c>
      <c r="D346" s="0" t="s">
        <v>5092</v>
      </c>
      <c r="E346" s="0" t="s">
        <v>5093</v>
      </c>
      <c r="F346" s="0" t="s">
        <v>4197</v>
      </c>
      <c r="G346" s="0" t="s">
        <v>5156</v>
      </c>
    </row>
    <row customHeight="1" ht="11.25">
      <c r="A347" s="519" t="s">
        <v>16</v>
      </c>
      <c r="B347" s="0" t="s">
        <v>5092</v>
      </c>
      <c r="C347" s="0" t="s">
        <v>5093</v>
      </c>
      <c r="D347" s="0" t="s">
        <v>5157</v>
      </c>
      <c r="E347" s="0" t="s">
        <v>5158</v>
      </c>
      <c r="F347" s="0" t="s">
        <v>4200</v>
      </c>
      <c r="G347" s="0" t="s">
        <v>5159</v>
      </c>
    </row>
    <row customHeight="1" ht="11.25">
      <c r="A348" s="519" t="s">
        <v>16</v>
      </c>
      <c r="B348" s="0" t="s">
        <v>5092</v>
      </c>
      <c r="C348" s="0" t="s">
        <v>5093</v>
      </c>
      <c r="D348" s="0" t="s">
        <v>5160</v>
      </c>
      <c r="E348" s="0" t="s">
        <v>5161</v>
      </c>
      <c r="F348" s="0" t="s">
        <v>4200</v>
      </c>
      <c r="G348" s="0" t="s">
        <v>5162</v>
      </c>
    </row>
    <row customHeight="1" ht="11.25">
      <c r="A349" s="519" t="s">
        <v>16</v>
      </c>
      <c r="B349" s="0" t="s">
        <v>5163</v>
      </c>
      <c r="C349" s="0" t="s">
        <v>5164</v>
      </c>
      <c r="D349" s="0" t="s">
        <v>5163</v>
      </c>
      <c r="E349" s="0" t="s">
        <v>5164</v>
      </c>
      <c r="F349" s="0" t="s">
        <v>4194</v>
      </c>
      <c r="G349" s="0" t="s">
        <v>5165</v>
      </c>
    </row>
    <row customHeight="1" ht="11.25">
      <c r="A350" s="519" t="s">
        <v>16</v>
      </c>
      <c r="B350" s="0" t="s">
        <v>5166</v>
      </c>
      <c r="C350" s="0" t="s">
        <v>5167</v>
      </c>
      <c r="D350" s="0" t="s">
        <v>5168</v>
      </c>
      <c r="E350" s="0" t="s">
        <v>5169</v>
      </c>
      <c r="F350" s="0" t="s">
        <v>4200</v>
      </c>
      <c r="G350" s="0" t="s">
        <v>5170</v>
      </c>
    </row>
    <row customHeight="1" ht="11.25">
      <c r="A351" s="519" t="s">
        <v>16</v>
      </c>
      <c r="B351" s="0" t="s">
        <v>5166</v>
      </c>
      <c r="C351" s="0" t="s">
        <v>5167</v>
      </c>
      <c r="D351" s="0" t="s">
        <v>5171</v>
      </c>
      <c r="E351" s="0" t="s">
        <v>5172</v>
      </c>
      <c r="F351" s="0" t="s">
        <v>4200</v>
      </c>
      <c r="G351" s="0" t="s">
        <v>5173</v>
      </c>
    </row>
    <row customHeight="1" ht="11.25">
      <c r="A352" s="519" t="s">
        <v>16</v>
      </c>
      <c r="B352" s="0" t="s">
        <v>5166</v>
      </c>
      <c r="C352" s="0" t="s">
        <v>5167</v>
      </c>
      <c r="D352" s="0" t="s">
        <v>5174</v>
      </c>
      <c r="E352" s="0" t="s">
        <v>5175</v>
      </c>
      <c r="F352" s="0" t="s">
        <v>4200</v>
      </c>
      <c r="G352" s="0" t="s">
        <v>5176</v>
      </c>
    </row>
    <row customHeight="1" ht="11.25">
      <c r="A353" s="519" t="s">
        <v>16</v>
      </c>
      <c r="B353" s="0" t="s">
        <v>5166</v>
      </c>
      <c r="C353" s="0" t="s">
        <v>5167</v>
      </c>
      <c r="D353" s="0" t="s">
        <v>5177</v>
      </c>
      <c r="E353" s="0" t="s">
        <v>5178</v>
      </c>
      <c r="F353" s="0" t="s">
        <v>4200</v>
      </c>
      <c r="G353" s="0" t="s">
        <v>5179</v>
      </c>
    </row>
    <row customHeight="1" ht="11.25">
      <c r="A354" s="519" t="s">
        <v>16</v>
      </c>
      <c r="B354" s="0" t="s">
        <v>5166</v>
      </c>
      <c r="C354" s="0" t="s">
        <v>5167</v>
      </c>
      <c r="D354" s="0" t="s">
        <v>5180</v>
      </c>
      <c r="E354" s="0" t="s">
        <v>5181</v>
      </c>
      <c r="F354" s="0" t="s">
        <v>4200</v>
      </c>
      <c r="G354" s="0" t="s">
        <v>5182</v>
      </c>
    </row>
    <row customHeight="1" ht="11.25">
      <c r="A355" s="519" t="s">
        <v>16</v>
      </c>
      <c r="B355" s="0" t="s">
        <v>5166</v>
      </c>
      <c r="C355" s="0" t="s">
        <v>5167</v>
      </c>
      <c r="D355" s="0" t="s">
        <v>5183</v>
      </c>
      <c r="E355" s="0" t="s">
        <v>5184</v>
      </c>
      <c r="F355" s="0" t="s">
        <v>4200</v>
      </c>
      <c r="G355" s="0" t="s">
        <v>5185</v>
      </c>
    </row>
    <row customHeight="1" ht="11.25">
      <c r="A356" s="7976" t="s">
        <v>16</v>
      </c>
      <c r="B356" s="0" t="s">
        <v>5166</v>
      </c>
      <c r="C356" s="0" t="s">
        <v>5167</v>
      </c>
      <c r="D356" s="0" t="s">
        <v>5166</v>
      </c>
      <c r="E356" s="0" t="s">
        <v>5167</v>
      </c>
      <c r="F356" s="0" t="s">
        <v>4197</v>
      </c>
      <c r="G356" s="0" t="s">
        <v>5186</v>
      </c>
    </row>
    <row customHeight="1" ht="11.25">
      <c r="A357" s="7976" t="s">
        <v>16</v>
      </c>
      <c r="B357" s="0" t="s">
        <v>5166</v>
      </c>
      <c r="C357" s="0" t="s">
        <v>5167</v>
      </c>
      <c r="D357" s="0" t="s">
        <v>5187</v>
      </c>
      <c r="E357" s="0" t="s">
        <v>5188</v>
      </c>
      <c r="F357" s="0" t="s">
        <v>4200</v>
      </c>
      <c r="G357" s="0" t="s">
        <v>5189</v>
      </c>
    </row>
    <row customHeight="1" ht="11.25">
      <c r="A358" s="7976" t="s">
        <v>16</v>
      </c>
      <c r="B358" s="0" t="s">
        <v>5166</v>
      </c>
      <c r="C358" s="0" t="s">
        <v>5167</v>
      </c>
      <c r="D358" s="0" t="s">
        <v>4457</v>
      </c>
      <c r="E358" s="0" t="s">
        <v>5190</v>
      </c>
      <c r="F358" s="0" t="s">
        <v>4200</v>
      </c>
      <c r="G358" s="0" t="s">
        <v>5191</v>
      </c>
    </row>
    <row customHeight="1" ht="11.25">
      <c r="A359" s="7976" t="s">
        <v>16</v>
      </c>
      <c r="B359" s="0" t="s">
        <v>5192</v>
      </c>
      <c r="C359" s="0" t="s">
        <v>5193</v>
      </c>
      <c r="D359" s="0" t="s">
        <v>5194</v>
      </c>
      <c r="E359" s="0" t="s">
        <v>5195</v>
      </c>
      <c r="F359" s="0" t="s">
        <v>4200</v>
      </c>
      <c r="G359" s="0" t="s">
        <v>5196</v>
      </c>
    </row>
    <row customHeight="1" ht="11.25">
      <c r="A360" s="7976" t="s">
        <v>16</v>
      </c>
      <c r="B360" s="0" t="s">
        <v>5192</v>
      </c>
      <c r="C360" s="0" t="s">
        <v>5193</v>
      </c>
      <c r="D360" s="0" t="s">
        <v>5197</v>
      </c>
      <c r="E360" s="0" t="s">
        <v>5198</v>
      </c>
      <c r="F360" s="0" t="s">
        <v>4200</v>
      </c>
      <c r="G360" s="0" t="s">
        <v>5199</v>
      </c>
    </row>
    <row customHeight="1" ht="11.25">
      <c r="A361" s="7976" t="s">
        <v>16</v>
      </c>
      <c r="B361" s="0" t="s">
        <v>5192</v>
      </c>
      <c r="C361" s="0" t="s">
        <v>5193</v>
      </c>
      <c r="D361" s="0" t="s">
        <v>5200</v>
      </c>
      <c r="E361" s="0" t="s">
        <v>5201</v>
      </c>
      <c r="F361" s="0" t="s">
        <v>4200</v>
      </c>
      <c r="G361" s="0" t="s">
        <v>5202</v>
      </c>
    </row>
    <row customHeight="1" ht="11.25">
      <c r="A362" s="7976" t="s">
        <v>16</v>
      </c>
      <c r="B362" s="0" t="s">
        <v>5192</v>
      </c>
      <c r="C362" s="0" t="s">
        <v>5193</v>
      </c>
      <c r="D362" s="0" t="s">
        <v>5203</v>
      </c>
      <c r="E362" s="0" t="s">
        <v>5204</v>
      </c>
      <c r="F362" s="0" t="s">
        <v>4200</v>
      </c>
      <c r="G362" s="0" t="s">
        <v>5205</v>
      </c>
    </row>
    <row customHeight="1" ht="11.25">
      <c r="A363" s="7976" t="s">
        <v>16</v>
      </c>
      <c r="B363" s="0" t="s">
        <v>5192</v>
      </c>
      <c r="C363" s="0" t="s">
        <v>5193</v>
      </c>
      <c r="D363" s="0" t="s">
        <v>5206</v>
      </c>
      <c r="E363" s="0" t="s">
        <v>5207</v>
      </c>
      <c r="F363" s="0" t="s">
        <v>4200</v>
      </c>
      <c r="G363" s="0" t="s">
        <v>5208</v>
      </c>
    </row>
    <row customHeight="1" ht="11.25">
      <c r="A364" s="7976" t="s">
        <v>16</v>
      </c>
      <c r="B364" s="0" t="s">
        <v>5192</v>
      </c>
      <c r="C364" s="0" t="s">
        <v>5193</v>
      </c>
      <c r="D364" s="0" t="s">
        <v>5209</v>
      </c>
      <c r="E364" s="0" t="s">
        <v>5210</v>
      </c>
      <c r="F364" s="0" t="s">
        <v>4200</v>
      </c>
      <c r="G364" s="0" t="s">
        <v>5211</v>
      </c>
    </row>
    <row customHeight="1" ht="11.25">
      <c r="A365" s="7976" t="s">
        <v>16</v>
      </c>
      <c r="B365" s="0" t="s">
        <v>5192</v>
      </c>
      <c r="C365" s="0" t="s">
        <v>5193</v>
      </c>
      <c r="D365" s="0" t="s">
        <v>5212</v>
      </c>
      <c r="E365" s="0" t="s">
        <v>5213</v>
      </c>
      <c r="F365" s="0" t="s">
        <v>4200</v>
      </c>
      <c r="G365" s="0" t="s">
        <v>5214</v>
      </c>
    </row>
    <row customHeight="1" ht="11.25">
      <c r="A366" s="7976" t="s">
        <v>16</v>
      </c>
      <c r="B366" s="0" t="s">
        <v>5192</v>
      </c>
      <c r="C366" s="0" t="s">
        <v>5193</v>
      </c>
      <c r="D366" s="0" t="s">
        <v>4777</v>
      </c>
      <c r="E366" s="0" t="s">
        <v>5215</v>
      </c>
      <c r="F366" s="0" t="s">
        <v>4200</v>
      </c>
      <c r="G366" s="0" t="s">
        <v>5216</v>
      </c>
    </row>
    <row customHeight="1" ht="11.25">
      <c r="A367" s="7976" t="s">
        <v>16</v>
      </c>
      <c r="B367" s="0" t="s">
        <v>5192</v>
      </c>
      <c r="C367" s="0" t="s">
        <v>5193</v>
      </c>
      <c r="D367" s="0" t="s">
        <v>5217</v>
      </c>
      <c r="E367" s="0" t="s">
        <v>5218</v>
      </c>
      <c r="F367" s="0" t="s">
        <v>4209</v>
      </c>
      <c r="G367" s="0" t="s">
        <v>5219</v>
      </c>
    </row>
    <row customHeight="1" ht="11.25">
      <c r="A368" s="7976" t="s">
        <v>16</v>
      </c>
      <c r="B368" s="0" t="s">
        <v>5192</v>
      </c>
      <c r="C368" s="0" t="s">
        <v>5193</v>
      </c>
      <c r="D368" s="0" t="s">
        <v>5220</v>
      </c>
      <c r="E368" s="0" t="s">
        <v>5221</v>
      </c>
      <c r="F368" s="0" t="s">
        <v>4200</v>
      </c>
      <c r="G368" s="0" t="s">
        <v>5222</v>
      </c>
    </row>
    <row customHeight="1" ht="11.25">
      <c r="A369" s="7976" t="s">
        <v>16</v>
      </c>
      <c r="B369" s="0" t="s">
        <v>5192</v>
      </c>
      <c r="C369" s="0" t="s">
        <v>5193</v>
      </c>
      <c r="D369" s="0" t="s">
        <v>5223</v>
      </c>
      <c r="E369" s="0" t="s">
        <v>5224</v>
      </c>
      <c r="F369" s="0" t="s">
        <v>4200</v>
      </c>
      <c r="G369" s="0" t="s">
        <v>5225</v>
      </c>
    </row>
    <row customHeight="1" ht="11.25">
      <c r="A370" s="7976" t="s">
        <v>16</v>
      </c>
      <c r="B370" s="0" t="s">
        <v>5192</v>
      </c>
      <c r="C370" s="0" t="s">
        <v>5193</v>
      </c>
      <c r="D370" s="0" t="s">
        <v>5226</v>
      </c>
      <c r="E370" s="0" t="s">
        <v>5227</v>
      </c>
      <c r="F370" s="0" t="s">
        <v>4209</v>
      </c>
      <c r="G370" s="0" t="s">
        <v>5228</v>
      </c>
    </row>
    <row customHeight="1" ht="11.25">
      <c r="A371" s="7976" t="s">
        <v>16</v>
      </c>
      <c r="B371" s="0" t="s">
        <v>5192</v>
      </c>
      <c r="C371" s="0" t="s">
        <v>5193</v>
      </c>
      <c r="D371" s="0" t="s">
        <v>5229</v>
      </c>
      <c r="E371" s="0" t="s">
        <v>5230</v>
      </c>
      <c r="F371" s="0" t="s">
        <v>4200</v>
      </c>
      <c r="G371" s="0" t="s">
        <v>5231</v>
      </c>
    </row>
    <row customHeight="1" ht="11.25">
      <c r="A372" s="7976" t="s">
        <v>16</v>
      </c>
      <c r="B372" s="0" t="s">
        <v>5192</v>
      </c>
      <c r="C372" s="0" t="s">
        <v>5193</v>
      </c>
      <c r="D372" s="0" t="s">
        <v>5192</v>
      </c>
      <c r="E372" s="0" t="s">
        <v>5193</v>
      </c>
      <c r="F372" s="0" t="s">
        <v>4197</v>
      </c>
      <c r="G372" s="0" t="s">
        <v>5232</v>
      </c>
    </row>
    <row customHeight="1" ht="11.25">
      <c r="A373" s="7976" t="s">
        <v>16</v>
      </c>
      <c r="B373" s="0" t="s">
        <v>5192</v>
      </c>
      <c r="C373" s="0" t="s">
        <v>5193</v>
      </c>
      <c r="D373" s="0" t="s">
        <v>5233</v>
      </c>
      <c r="E373" s="0" t="s">
        <v>5234</v>
      </c>
      <c r="F373" s="0" t="s">
        <v>4236</v>
      </c>
      <c r="G373" s="0" t="s">
        <v>5235</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DBCDBF-90F5-B4E4-7256-0.6E5120ED}" mc:Ignorable="x14ac xr xr2 xr3">
  <sheetPr>
    <tabColor rgb="FFFFCC99"/>
  </sheetPr>
  <dimension ref="A1:I10"/>
  <sheetViews>
    <sheetView topLeftCell="A1" showGridLines="0" workbookViewId="0">
      <selection activeCell="A1" sqref="A1"/>
    </sheetView>
  </sheetViews>
  <sheetFormatPr defaultColWidth="9.140625" customHeight="1" defaultRowHeight="11.25"/>
  <cols>
    <col min="1" max="1" style="7972" width="13.8515625" customWidth="1"/>
    <col min="2" max="2" style="7972" width="10.421875" customWidth="1"/>
    <col min="3" max="3" style="7972" width="7.57421875" customWidth="1"/>
    <col min="4" max="4" style="7972" width="13.8515625" customWidth="1"/>
    <col min="5" max="5" style="7972" width="11.57421875" customWidth="1"/>
    <col min="6" max="6" style="7972" width="16.28125" customWidth="1"/>
    <col min="7" max="7" style="7972" width="16.00390625" customWidth="1"/>
    <col min="8" max="9" style="7972" width="16.140625" customWidth="1"/>
  </cols>
  <sheetData>
    <row customHeight="1" ht="11.25">
      <c r="A1" s="981" t="s">
        <v>5236</v>
      </c>
      <c r="B1" s="981" t="s">
        <v>5237</v>
      </c>
      <c r="C1" s="1305" t="s">
        <v>5238</v>
      </c>
      <c r="D1" s="981" t="s">
        <v>5239</v>
      </c>
      <c r="E1" s="981" t="s">
        <v>5240</v>
      </c>
      <c r="F1" s="1305" t="s">
        <v>5241</v>
      </c>
      <c r="G1" s="1305" t="s">
        <v>5242</v>
      </c>
      <c r="H1" s="1305" t="s">
        <v>5243</v>
      </c>
      <c r="I1" s="1305" t="s">
        <v>5244</v>
      </c>
    </row>
    <row customHeight="1" ht="11.25">
      <c r="A2" s="7972" t="s">
        <v>121</v>
      </c>
      <c r="B2" s="7972" t="s">
        <v>1062</v>
      </c>
      <c r="C2" s="7972" t="s">
        <v>5245</v>
      </c>
      <c r="D2" s="7972" t="s">
        <v>1063</v>
      </c>
      <c r="E2" s="7972" t="s">
        <v>1053</v>
      </c>
      <c r="F2" s="7972" t="s">
        <v>1064</v>
      </c>
      <c r="G2" s="7972" t="s">
        <v>1055</v>
      </c>
      <c r="H2" s="7972" t="s">
        <v>1065</v>
      </c>
      <c r="I2" s="7972" t="s">
        <v>1066</v>
      </c>
    </row>
    <row customHeight="1" ht="11.25">
      <c r="A3" s="7972" t="s">
        <v>105</v>
      </c>
      <c r="B3" s="7972" t="s">
        <v>1062</v>
      </c>
      <c r="C3" s="7972" t="s">
        <v>5245</v>
      </c>
      <c r="D3" s="7972" t="s">
        <v>1063</v>
      </c>
      <c r="E3" s="7972" t="s">
        <v>1053</v>
      </c>
      <c r="F3" s="7972" t="s">
        <v>5246</v>
      </c>
      <c r="G3" s="7972" t="s">
        <v>1055</v>
      </c>
      <c r="H3" s="7972" t="s">
        <v>1065</v>
      </c>
      <c r="I3" s="7972" t="s">
        <v>1066</v>
      </c>
    </row>
    <row customHeight="1" ht="11.25">
      <c r="A4" s="7972" t="s">
        <v>91</v>
      </c>
      <c r="B4" s="7972" t="s">
        <v>5247</v>
      </c>
      <c r="C4" s="7972" t="s">
        <v>22</v>
      </c>
      <c r="D4" s="7972" t="s">
        <v>5248</v>
      </c>
      <c r="E4" s="7972" t="s">
        <v>5249</v>
      </c>
      <c r="F4" s="7972" t="s">
        <v>22</v>
      </c>
      <c r="G4" s="7972" t="s">
        <v>22</v>
      </c>
      <c r="H4" s="7972" t="s">
        <v>22</v>
      </c>
      <c r="I4" s="7972" t="s">
        <v>22</v>
      </c>
    </row>
    <row customHeight="1" ht="11.25">
      <c r="A5" s="7972" t="s">
        <v>92</v>
      </c>
      <c r="B5" s="7972" t="s">
        <v>5250</v>
      </c>
      <c r="C5" s="7972" t="s">
        <v>22</v>
      </c>
      <c r="D5" s="7972" t="s">
        <v>5248</v>
      </c>
      <c r="E5" s="7972" t="s">
        <v>5251</v>
      </c>
      <c r="F5" s="7972" t="s">
        <v>22</v>
      </c>
      <c r="G5" s="7972" t="s">
        <v>22</v>
      </c>
      <c r="H5" s="7972" t="s">
        <v>22</v>
      </c>
      <c r="I5" s="7972" t="s">
        <v>22</v>
      </c>
    </row>
    <row customHeight="1" ht="11.25">
      <c r="A6" s="7972" t="s">
        <v>122</v>
      </c>
      <c r="B6" s="7972" t="s">
        <v>5252</v>
      </c>
      <c r="C6" s="7972" t="s">
        <v>22</v>
      </c>
      <c r="D6" s="7972" t="s">
        <v>5248</v>
      </c>
      <c r="E6" s="7972" t="s">
        <v>5253</v>
      </c>
      <c r="F6" s="7972" t="s">
        <v>22</v>
      </c>
      <c r="G6" s="7972" t="s">
        <v>22</v>
      </c>
      <c r="H6" s="7972" t="s">
        <v>22</v>
      </c>
      <c r="I6" s="7972" t="s">
        <v>22</v>
      </c>
    </row>
    <row customHeight="1" ht="11.25">
      <c r="A7" s="7972" t="s">
        <v>93</v>
      </c>
      <c r="B7" s="7972" t="s">
        <v>5254</v>
      </c>
      <c r="C7" s="7972" t="s">
        <v>22</v>
      </c>
      <c r="D7" s="7972" t="s">
        <v>5248</v>
      </c>
      <c r="E7" s="7972" t="s">
        <v>5255</v>
      </c>
      <c r="F7" s="7972" t="s">
        <v>22</v>
      </c>
      <c r="G7" s="7972" t="s">
        <v>22</v>
      </c>
      <c r="H7" s="7972" t="s">
        <v>22</v>
      </c>
      <c r="I7" s="7972" t="s">
        <v>22</v>
      </c>
    </row>
    <row customHeight="1" ht="11.25">
      <c r="A8" s="7972" t="s">
        <v>94</v>
      </c>
      <c r="B8" s="7972" t="s">
        <v>1048</v>
      </c>
      <c r="C8" s="7972" t="s">
        <v>5256</v>
      </c>
      <c r="D8" s="7972" t="s">
        <v>1052</v>
      </c>
      <c r="E8" s="7972" t="s">
        <v>1053</v>
      </c>
      <c r="F8" s="7972" t="s">
        <v>5257</v>
      </c>
      <c r="G8" s="7972" t="s">
        <v>1055</v>
      </c>
      <c r="H8" s="7972" t="s">
        <v>1056</v>
      </c>
      <c r="I8" s="7972" t="s">
        <v>1052</v>
      </c>
    </row>
    <row customHeight="1" ht="11.25">
      <c r="A9" s="7972" t="s">
        <v>123</v>
      </c>
      <c r="B9" s="7972" t="s">
        <v>1048</v>
      </c>
      <c r="C9" s="7972" t="s">
        <v>5256</v>
      </c>
      <c r="D9" s="7972" t="s">
        <v>1052</v>
      </c>
      <c r="E9" s="7972" t="s">
        <v>1053</v>
      </c>
      <c r="F9" s="7972" t="s">
        <v>1054</v>
      </c>
      <c r="G9" s="7972" t="s">
        <v>1055</v>
      </c>
      <c r="H9" s="7972" t="s">
        <v>1056</v>
      </c>
      <c r="I9" s="7972" t="s">
        <v>1052</v>
      </c>
    </row>
    <row customHeight="1" ht="11.25">
      <c r="A10" s="7972" t="s">
        <v>172</v>
      </c>
      <c r="B10" s="7972" t="s">
        <v>5258</v>
      </c>
      <c r="C10" s="7972" t="s">
        <v>22</v>
      </c>
      <c r="D10" s="7972" t="s">
        <v>5248</v>
      </c>
      <c r="E10" s="7972" t="s">
        <v>5251</v>
      </c>
      <c r="F10" s="7972" t="s">
        <v>22</v>
      </c>
      <c r="G10" s="7972" t="s">
        <v>22</v>
      </c>
      <c r="H10" s="7972" t="s">
        <v>22</v>
      </c>
      <c r="I10" s="7972"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305628-1BCB-2B62-606B-0.E8ADAACB}" mc:Ignorable="x14ac xr xr2 xr3">
  <sheetPr>
    <tabColor rgb="FFFFCC99"/>
  </sheetPr>
  <dimension ref="A1:AL43"/>
  <sheetViews>
    <sheetView topLeftCell="A1" workbookViewId="0">
      <selection activeCell="A1" sqref="A1"/>
    </sheetView>
  </sheetViews>
  <sheetFormatPr customHeight="1" defaultRowHeight="11.25"/>
  <sheetData>
    <row customHeight="1" ht="11.25">
      <c r="A1" s="0" t="s">
        <v>2524</v>
      </c>
      <c r="B1" s="0" t="s">
        <v>2525</v>
      </c>
      <c r="C1" s="0" t="s">
        <v>2526</v>
      </c>
      <c r="D1" s="0" t="s">
        <v>5259</v>
      </c>
      <c r="E1" s="0" t="s">
        <v>5260</v>
      </c>
      <c r="F1" s="0" t="s">
        <v>5261</v>
      </c>
      <c r="G1" s="0" t="s">
        <v>5262</v>
      </c>
      <c r="H1" s="0" t="s">
        <v>5263</v>
      </c>
      <c r="I1" s="0" t="s">
        <v>5264</v>
      </c>
      <c r="J1" s="0" t="s">
        <v>5265</v>
      </c>
      <c r="K1" s="0" t="s">
        <v>5266</v>
      </c>
      <c r="L1" s="0" t="s">
        <v>5267</v>
      </c>
      <c r="M1" s="0" t="s">
        <v>5268</v>
      </c>
      <c r="N1" s="0" t="s">
        <v>5269</v>
      </c>
      <c r="O1" s="0" t="s">
        <v>4186</v>
      </c>
      <c r="P1" s="0" t="s">
        <v>4188</v>
      </c>
      <c r="Q1" s="0" t="s">
        <v>4189</v>
      </c>
      <c r="R1" s="0" t="s">
        <v>5270</v>
      </c>
      <c r="S1" s="0" t="s">
        <v>5271</v>
      </c>
      <c r="T1" s="0" t="s">
        <v>5272</v>
      </c>
      <c r="U1" s="0" t="s">
        <v>5273</v>
      </c>
      <c r="V1" s="0" t="s">
        <v>5274</v>
      </c>
      <c r="W1" s="0" t="s">
        <v>5275</v>
      </c>
      <c r="X1" s="0" t="s">
        <v>5276</v>
      </c>
      <c r="Y1" s="0" t="s">
        <v>5277</v>
      </c>
      <c r="Z1" s="0" t="s">
        <v>5278</v>
      </c>
      <c r="AA1" s="0" t="s">
        <v>5279</v>
      </c>
      <c r="AB1" s="0" t="s">
        <v>5280</v>
      </c>
      <c r="AC1" s="0" t="s">
        <v>5281</v>
      </c>
      <c r="AD1" s="0" t="s">
        <v>5282</v>
      </c>
      <c r="AE1" s="0" t="s">
        <v>5283</v>
      </c>
      <c r="AF1" s="0" t="s">
        <v>5284</v>
      </c>
      <c r="AG1" s="0" t="s">
        <v>5285</v>
      </c>
      <c r="AH1" s="0" t="s">
        <v>5286</v>
      </c>
      <c r="AI1" s="0" t="s">
        <v>5287</v>
      </c>
      <c r="AJ1" s="0" t="s">
        <v>5288</v>
      </c>
      <c r="AK1" s="0" t="s">
        <v>5289</v>
      </c>
      <c r="AL1" s="0" t="s">
        <v>5290</v>
      </c>
    </row>
    <row customHeight="1" ht="11.25">
      <c r="A2" s="0" t="s">
        <v>22</v>
      </c>
      <c r="B2" s="0" t="s">
        <v>49</v>
      </c>
      <c r="C2" s="0" t="s">
        <v>51</v>
      </c>
      <c r="D2" s="0" t="s">
        <v>22</v>
      </c>
      <c r="E2" s="0" t="s">
        <v>128</v>
      </c>
      <c r="F2" s="0" t="s">
        <v>1114</v>
      </c>
      <c r="G2" s="0" t="s">
        <v>101</v>
      </c>
      <c r="H2" s="0" t="s">
        <v>102</v>
      </c>
      <c r="I2" s="0" t="s">
        <v>103</v>
      </c>
      <c r="J2" s="0" t="s">
        <v>1238</v>
      </c>
      <c r="K2" s="0" t="s">
        <v>1239</v>
      </c>
      <c r="L2" s="0" t="s">
        <v>1240</v>
      </c>
      <c r="M2" s="0" t="s">
        <v>1190</v>
      </c>
      <c r="N2" s="0" t="s">
        <v>121</v>
      </c>
      <c r="O2" s="0" t="s">
        <v>101</v>
      </c>
      <c r="P2" s="0" t="s">
        <v>102</v>
      </c>
      <c r="Q2" s="0" t="s">
        <v>103</v>
      </c>
      <c r="R2" s="0" t="s">
        <v>1238</v>
      </c>
      <c r="S2" s="0" t="s">
        <v>1239</v>
      </c>
      <c r="T2" s="0" t="s">
        <v>5291</v>
      </c>
      <c r="U2" s="0" t="s">
        <v>5292</v>
      </c>
      <c r="V2" s="0" t="s">
        <v>602</v>
      </c>
      <c r="W2" s="0" t="s">
        <v>5293</v>
      </c>
      <c r="X2" s="0" t="s">
        <v>5294</v>
      </c>
      <c r="Y2" s="0" t="s">
        <v>5295</v>
      </c>
      <c r="Z2" s="0" t="s">
        <v>5296</v>
      </c>
      <c r="AA2" s="0" t="s">
        <v>5297</v>
      </c>
      <c r="AB2" s="0" t="s">
        <v>5298</v>
      </c>
      <c r="AC2" s="0" t="s">
        <v>63</v>
      </c>
      <c r="AD2" s="0" t="s">
        <v>63</v>
      </c>
      <c r="AE2" s="0" t="s">
        <v>63</v>
      </c>
      <c r="AF2" s="0" t="s">
        <v>4428</v>
      </c>
      <c r="AG2" s="0" t="s">
        <v>5299</v>
      </c>
      <c r="AH2" s="0" t="s">
        <v>4428</v>
      </c>
      <c r="AI2" s="0" t="s">
        <v>5299</v>
      </c>
      <c r="AJ2" s="0" t="s">
        <v>4428</v>
      </c>
      <c r="AK2" s="0" t="s">
        <v>5299</v>
      </c>
      <c r="AL2" s="0" t="s">
        <v>5300</v>
      </c>
    </row>
    <row customHeight="1" ht="11.25">
      <c r="A3" s="0" t="s">
        <v>22</v>
      </c>
      <c r="B3" s="0" t="s">
        <v>49</v>
      </c>
      <c r="C3" s="0" t="s">
        <v>51</v>
      </c>
      <c r="D3" s="0" t="s">
        <v>22</v>
      </c>
      <c r="E3" s="0" t="s">
        <v>128</v>
      </c>
      <c r="F3" s="0" t="s">
        <v>1114</v>
      </c>
      <c r="G3" s="0" t="s">
        <v>101</v>
      </c>
      <c r="H3" s="0" t="s">
        <v>102</v>
      </c>
      <c r="I3" s="0" t="s">
        <v>103</v>
      </c>
      <c r="J3" s="0" t="s">
        <v>1238</v>
      </c>
      <c r="K3" s="0" t="s">
        <v>1239</v>
      </c>
      <c r="L3" s="0" t="s">
        <v>1240</v>
      </c>
      <c r="M3" s="0" t="s">
        <v>1190</v>
      </c>
      <c r="N3" s="0" t="s">
        <v>121</v>
      </c>
      <c r="O3" s="0" t="s">
        <v>101</v>
      </c>
      <c r="P3" s="0" t="s">
        <v>102</v>
      </c>
      <c r="Q3" s="0" t="s">
        <v>103</v>
      </c>
      <c r="R3" s="0" t="s">
        <v>1238</v>
      </c>
      <c r="S3" s="0" t="s">
        <v>1239</v>
      </c>
      <c r="T3" s="0" t="s">
        <v>5291</v>
      </c>
      <c r="U3" s="0" t="s">
        <v>5292</v>
      </c>
      <c r="V3" s="0" t="s">
        <v>602</v>
      </c>
      <c r="W3" s="0" t="s">
        <v>5293</v>
      </c>
      <c r="X3" s="0" t="s">
        <v>5294</v>
      </c>
      <c r="Y3" s="0" t="s">
        <v>5295</v>
      </c>
      <c r="Z3" s="0" t="s">
        <v>5296</v>
      </c>
      <c r="AA3" s="0" t="s">
        <v>5297</v>
      </c>
      <c r="AB3" s="0" t="s">
        <v>5298</v>
      </c>
      <c r="AC3" s="0" t="s">
        <v>63</v>
      </c>
      <c r="AD3" s="0" t="s">
        <v>63</v>
      </c>
      <c r="AE3" s="0" t="s">
        <v>63</v>
      </c>
      <c r="AF3" s="0" t="s">
        <v>4428</v>
      </c>
      <c r="AG3" s="0" t="s">
        <v>5301</v>
      </c>
      <c r="AH3" s="0" t="s">
        <v>4428</v>
      </c>
      <c r="AI3" s="0" t="s">
        <v>5301</v>
      </c>
      <c r="AJ3" s="0" t="s">
        <v>4428</v>
      </c>
      <c r="AK3" s="0" t="s">
        <v>5301</v>
      </c>
      <c r="AL3" s="0" t="s">
        <v>5300</v>
      </c>
    </row>
    <row customHeight="1" ht="11.25">
      <c r="A4" s="0" t="s">
        <v>22</v>
      </c>
      <c r="B4" s="0" t="s">
        <v>49</v>
      </c>
      <c r="C4" s="0" t="s">
        <v>51</v>
      </c>
      <c r="D4" s="0" t="s">
        <v>22</v>
      </c>
      <c r="E4" s="0" t="s">
        <v>5302</v>
      </c>
      <c r="F4" s="0" t="s">
        <v>1114</v>
      </c>
      <c r="G4" s="0" t="s">
        <v>113</v>
      </c>
      <c r="H4" s="0" t="s">
        <v>113</v>
      </c>
      <c r="I4" s="0" t="s">
        <v>114</v>
      </c>
      <c r="J4" s="0" t="s">
        <v>1115</v>
      </c>
      <c r="K4" s="0" t="s">
        <v>1116</v>
      </c>
      <c r="L4" s="0" t="s">
        <v>5303</v>
      </c>
      <c r="M4" s="0" t="s">
        <v>1236</v>
      </c>
      <c r="N4" s="0" t="s">
        <v>121</v>
      </c>
      <c r="O4" s="0" t="s">
        <v>113</v>
      </c>
      <c r="P4" s="0" t="s">
        <v>113</v>
      </c>
      <c r="Q4" s="0" t="s">
        <v>114</v>
      </c>
      <c r="R4" s="0" t="s">
        <v>1115</v>
      </c>
      <c r="S4" s="0" t="s">
        <v>1116</v>
      </c>
      <c r="T4" s="0" t="s">
        <v>5304</v>
      </c>
      <c r="U4" s="0" t="s">
        <v>5305</v>
      </c>
      <c r="V4" s="0" t="s">
        <v>602</v>
      </c>
      <c r="W4" s="0" t="s">
        <v>5293</v>
      </c>
      <c r="X4" s="0" t="s">
        <v>5306</v>
      </c>
      <c r="Y4" s="0" t="s">
        <v>5305</v>
      </c>
      <c r="Z4" s="0" t="s">
        <v>5307</v>
      </c>
      <c r="AA4" s="0" t="s">
        <v>5308</v>
      </c>
      <c r="AB4" s="0" t="s">
        <v>5309</v>
      </c>
      <c r="AC4" s="0" t="s">
        <v>63</v>
      </c>
      <c r="AD4" s="0" t="s">
        <v>63</v>
      </c>
      <c r="AE4" s="0" t="s">
        <v>63</v>
      </c>
      <c r="AF4" s="0" t="s">
        <v>950</v>
      </c>
      <c r="AG4" s="0" t="s">
        <v>5310</v>
      </c>
      <c r="AH4" s="0" t="s">
        <v>950</v>
      </c>
      <c r="AI4" s="0" t="s">
        <v>5310</v>
      </c>
      <c r="AJ4" s="0" t="s">
        <v>950</v>
      </c>
      <c r="AK4" s="0" t="s">
        <v>5310</v>
      </c>
      <c r="AL4" s="0" t="s">
        <v>5311</v>
      </c>
    </row>
    <row customHeight="1" ht="11.25">
      <c r="A5" s="0" t="s">
        <v>22</v>
      </c>
      <c r="B5" s="0" t="s">
        <v>49</v>
      </c>
      <c r="C5" s="0" t="s">
        <v>51</v>
      </c>
      <c r="D5" s="0" t="s">
        <v>22</v>
      </c>
      <c r="E5" s="0" t="s">
        <v>5302</v>
      </c>
      <c r="F5" s="0" t="s">
        <v>1114</v>
      </c>
      <c r="G5" s="0" t="s">
        <v>113</v>
      </c>
      <c r="H5" s="0" t="s">
        <v>113</v>
      </c>
      <c r="I5" s="0" t="s">
        <v>114</v>
      </c>
      <c r="J5" s="0" t="s">
        <v>1115</v>
      </c>
      <c r="K5" s="0" t="s">
        <v>1116</v>
      </c>
      <c r="L5" s="0" t="s">
        <v>5303</v>
      </c>
      <c r="M5" s="0" t="s">
        <v>1236</v>
      </c>
      <c r="N5" s="0" t="s">
        <v>121</v>
      </c>
      <c r="O5" s="0" t="s">
        <v>113</v>
      </c>
      <c r="P5" s="0" t="s">
        <v>113</v>
      </c>
      <c r="Q5" s="0" t="s">
        <v>114</v>
      </c>
      <c r="R5" s="0" t="s">
        <v>1115</v>
      </c>
      <c r="S5" s="0" t="s">
        <v>1116</v>
      </c>
      <c r="T5" s="0" t="s">
        <v>5304</v>
      </c>
      <c r="U5" s="0" t="s">
        <v>5305</v>
      </c>
      <c r="V5" s="0" t="s">
        <v>602</v>
      </c>
      <c r="W5" s="0" t="s">
        <v>5293</v>
      </c>
      <c r="X5" s="0" t="s">
        <v>5306</v>
      </c>
      <c r="Y5" s="0" t="s">
        <v>5305</v>
      </c>
      <c r="Z5" s="0" t="s">
        <v>5307</v>
      </c>
      <c r="AA5" s="0" t="s">
        <v>5308</v>
      </c>
      <c r="AB5" s="0" t="s">
        <v>5309</v>
      </c>
      <c r="AC5" s="0" t="s">
        <v>63</v>
      </c>
      <c r="AD5" s="0" t="s">
        <v>63</v>
      </c>
      <c r="AE5" s="0" t="s">
        <v>63</v>
      </c>
      <c r="AF5" s="0" t="s">
        <v>5312</v>
      </c>
      <c r="AG5" s="0" t="s">
        <v>5313</v>
      </c>
      <c r="AH5" s="0" t="s">
        <v>5312</v>
      </c>
      <c r="AI5" s="0" t="s">
        <v>5313</v>
      </c>
      <c r="AJ5" s="0" t="s">
        <v>5312</v>
      </c>
      <c r="AK5" s="0" t="s">
        <v>5313</v>
      </c>
      <c r="AL5" s="0" t="s">
        <v>5311</v>
      </c>
    </row>
    <row customHeight="1" ht="11.25">
      <c r="A6" s="0" t="s">
        <v>22</v>
      </c>
      <c r="B6" s="0" t="s">
        <v>49</v>
      </c>
      <c r="C6" s="0" t="s">
        <v>51</v>
      </c>
      <c r="D6" s="0" t="s">
        <v>22</v>
      </c>
      <c r="E6" s="0" t="s">
        <v>5314</v>
      </c>
      <c r="F6" s="0" t="s">
        <v>1114</v>
      </c>
      <c r="G6" s="0" t="s">
        <v>113</v>
      </c>
      <c r="H6" s="0" t="s">
        <v>113</v>
      </c>
      <c r="I6" s="0" t="s">
        <v>114</v>
      </c>
      <c r="J6" s="0" t="s">
        <v>1115</v>
      </c>
      <c r="K6" s="0" t="s">
        <v>1116</v>
      </c>
      <c r="L6" s="0" t="s">
        <v>5315</v>
      </c>
      <c r="M6" s="0" t="s">
        <v>5316</v>
      </c>
      <c r="N6" s="0" t="s">
        <v>121</v>
      </c>
      <c r="O6" s="0" t="s">
        <v>113</v>
      </c>
      <c r="P6" s="0" t="s">
        <v>113</v>
      </c>
      <c r="Q6" s="0" t="s">
        <v>114</v>
      </c>
      <c r="R6" s="0" t="s">
        <v>1115</v>
      </c>
      <c r="S6" s="0" t="s">
        <v>1116</v>
      </c>
      <c r="T6" s="0" t="s">
        <v>5304</v>
      </c>
      <c r="U6" s="0" t="s">
        <v>5305</v>
      </c>
      <c r="V6" s="0" t="s">
        <v>602</v>
      </c>
      <c r="W6" s="0" t="s">
        <v>5293</v>
      </c>
      <c r="X6" s="0" t="s">
        <v>5306</v>
      </c>
      <c r="Y6" s="0" t="s">
        <v>5305</v>
      </c>
      <c r="Z6" s="0" t="s">
        <v>5307</v>
      </c>
      <c r="AA6" s="0" t="s">
        <v>5308</v>
      </c>
      <c r="AB6" s="0" t="s">
        <v>5309</v>
      </c>
      <c r="AC6" s="0" t="s">
        <v>63</v>
      </c>
      <c r="AD6" s="0" t="s">
        <v>63</v>
      </c>
      <c r="AE6" s="0" t="s">
        <v>63</v>
      </c>
      <c r="AF6" s="0" t="s">
        <v>5317</v>
      </c>
      <c r="AG6" s="0" t="s">
        <v>5318</v>
      </c>
      <c r="AH6" s="0" t="s">
        <v>5317</v>
      </c>
      <c r="AI6" s="0" t="s">
        <v>5318</v>
      </c>
      <c r="AJ6" s="0" t="s">
        <v>5317</v>
      </c>
      <c r="AK6" s="0" t="s">
        <v>5318</v>
      </c>
      <c r="AL6" s="0" t="s">
        <v>5311</v>
      </c>
    </row>
    <row customHeight="1" ht="11.25">
      <c r="A7" s="0" t="s">
        <v>22</v>
      </c>
      <c r="B7" s="0" t="s">
        <v>49</v>
      </c>
      <c r="C7" s="0" t="s">
        <v>51</v>
      </c>
      <c r="D7" s="0" t="s">
        <v>22</v>
      </c>
      <c r="E7" s="0" t="s">
        <v>5314</v>
      </c>
      <c r="F7" s="0" t="s">
        <v>1114</v>
      </c>
      <c r="G7" s="0" t="s">
        <v>113</v>
      </c>
      <c r="H7" s="0" t="s">
        <v>113</v>
      </c>
      <c r="I7" s="0" t="s">
        <v>114</v>
      </c>
      <c r="J7" s="0" t="s">
        <v>1115</v>
      </c>
      <c r="K7" s="0" t="s">
        <v>1116</v>
      </c>
      <c r="L7" s="0" t="s">
        <v>5315</v>
      </c>
      <c r="M7" s="0" t="s">
        <v>5316</v>
      </c>
      <c r="N7" s="0" t="s">
        <v>121</v>
      </c>
      <c r="O7" s="0" t="s">
        <v>113</v>
      </c>
      <c r="P7" s="0" t="s">
        <v>113</v>
      </c>
      <c r="Q7" s="0" t="s">
        <v>114</v>
      </c>
      <c r="R7" s="0" t="s">
        <v>1115</v>
      </c>
      <c r="S7" s="0" t="s">
        <v>1116</v>
      </c>
      <c r="T7" s="0" t="s">
        <v>5304</v>
      </c>
      <c r="U7" s="0" t="s">
        <v>5305</v>
      </c>
      <c r="V7" s="0" t="s">
        <v>602</v>
      </c>
      <c r="W7" s="0" t="s">
        <v>5293</v>
      </c>
      <c r="X7" s="0" t="s">
        <v>5306</v>
      </c>
      <c r="Y7" s="0" t="s">
        <v>5305</v>
      </c>
      <c r="Z7" s="0" t="s">
        <v>5307</v>
      </c>
      <c r="AA7" s="0" t="s">
        <v>5308</v>
      </c>
      <c r="AB7" s="0" t="s">
        <v>5309</v>
      </c>
      <c r="AC7" s="0" t="s">
        <v>63</v>
      </c>
      <c r="AD7" s="0" t="s">
        <v>63</v>
      </c>
      <c r="AE7" s="0" t="s">
        <v>63</v>
      </c>
      <c r="AF7" s="0" t="s">
        <v>5319</v>
      </c>
      <c r="AG7" s="0" t="s">
        <v>5320</v>
      </c>
      <c r="AH7" s="0" t="s">
        <v>5319</v>
      </c>
      <c r="AI7" s="0" t="s">
        <v>5320</v>
      </c>
      <c r="AJ7" s="0" t="s">
        <v>5319</v>
      </c>
      <c r="AK7" s="0" t="s">
        <v>5320</v>
      </c>
      <c r="AL7" s="0" t="s">
        <v>5311</v>
      </c>
    </row>
    <row customHeight="1" ht="11.25">
      <c r="A8" s="0" t="s">
        <v>22</v>
      </c>
      <c r="B8" s="0" t="s">
        <v>49</v>
      </c>
      <c r="C8" s="0" t="s">
        <v>51</v>
      </c>
      <c r="D8" s="0" t="s">
        <v>22</v>
      </c>
      <c r="E8" s="0" t="s">
        <v>1120</v>
      </c>
      <c r="F8" s="0" t="s">
        <v>1114</v>
      </c>
      <c r="G8" s="0" t="s">
        <v>113</v>
      </c>
      <c r="H8" s="0" t="s">
        <v>113</v>
      </c>
      <c r="I8" s="0" t="s">
        <v>114</v>
      </c>
      <c r="J8" s="0" t="s">
        <v>1115</v>
      </c>
      <c r="K8" s="0" t="s">
        <v>1116</v>
      </c>
      <c r="L8" s="0" t="s">
        <v>1121</v>
      </c>
      <c r="M8" s="0" t="s">
        <v>1122</v>
      </c>
      <c r="N8" s="0" t="s">
        <v>121</v>
      </c>
      <c r="O8" s="0" t="s">
        <v>113</v>
      </c>
      <c r="P8" s="0" t="s">
        <v>113</v>
      </c>
      <c r="Q8" s="0" t="s">
        <v>114</v>
      </c>
      <c r="R8" s="0" t="s">
        <v>1115</v>
      </c>
      <c r="S8" s="0" t="s">
        <v>1116</v>
      </c>
      <c r="T8" s="0" t="s">
        <v>5304</v>
      </c>
      <c r="U8" s="0" t="s">
        <v>5305</v>
      </c>
      <c r="V8" s="0" t="s">
        <v>602</v>
      </c>
      <c r="W8" s="0" t="s">
        <v>5293</v>
      </c>
      <c r="X8" s="0" t="s">
        <v>5306</v>
      </c>
      <c r="Y8" s="0" t="s">
        <v>5305</v>
      </c>
      <c r="Z8" s="0" t="s">
        <v>5307</v>
      </c>
      <c r="AA8" s="0" t="s">
        <v>5308</v>
      </c>
      <c r="AB8" s="0" t="s">
        <v>5309</v>
      </c>
      <c r="AC8" s="0" t="s">
        <v>63</v>
      </c>
      <c r="AD8" s="0" t="s">
        <v>63</v>
      </c>
      <c r="AE8" s="0" t="s">
        <v>63</v>
      </c>
      <c r="AF8" s="0" t="s">
        <v>5321</v>
      </c>
      <c r="AG8" s="0" t="s">
        <v>5322</v>
      </c>
      <c r="AH8" s="0" t="s">
        <v>5321</v>
      </c>
      <c r="AI8" s="0" t="s">
        <v>5322</v>
      </c>
      <c r="AJ8" s="0" t="s">
        <v>5321</v>
      </c>
      <c r="AK8" s="0" t="s">
        <v>5322</v>
      </c>
      <c r="AL8" s="0" t="s">
        <v>5311</v>
      </c>
    </row>
    <row customHeight="1" ht="11.25">
      <c r="A9" s="0" t="s">
        <v>22</v>
      </c>
      <c r="B9" s="0" t="s">
        <v>49</v>
      </c>
      <c r="C9" s="0" t="s">
        <v>51</v>
      </c>
      <c r="D9" s="0" t="s">
        <v>22</v>
      </c>
      <c r="E9" s="0" t="s">
        <v>1120</v>
      </c>
      <c r="F9" s="0" t="s">
        <v>1114</v>
      </c>
      <c r="G9" s="0" t="s">
        <v>113</v>
      </c>
      <c r="H9" s="0" t="s">
        <v>113</v>
      </c>
      <c r="I9" s="0" t="s">
        <v>114</v>
      </c>
      <c r="J9" s="0" t="s">
        <v>1115</v>
      </c>
      <c r="K9" s="0" t="s">
        <v>1116</v>
      </c>
      <c r="L9" s="0" t="s">
        <v>1121</v>
      </c>
      <c r="M9" s="0" t="s">
        <v>1122</v>
      </c>
      <c r="N9" s="0" t="s">
        <v>121</v>
      </c>
      <c r="O9" s="0" t="s">
        <v>113</v>
      </c>
      <c r="P9" s="0" t="s">
        <v>113</v>
      </c>
      <c r="Q9" s="0" t="s">
        <v>114</v>
      </c>
      <c r="R9" s="0" t="s">
        <v>1115</v>
      </c>
      <c r="S9" s="0" t="s">
        <v>1116</v>
      </c>
      <c r="T9" s="0" t="s">
        <v>5304</v>
      </c>
      <c r="U9" s="0" t="s">
        <v>5305</v>
      </c>
      <c r="V9" s="0" t="s">
        <v>602</v>
      </c>
      <c r="W9" s="0" t="s">
        <v>5293</v>
      </c>
      <c r="X9" s="0" t="s">
        <v>5306</v>
      </c>
      <c r="Y9" s="0" t="s">
        <v>5305</v>
      </c>
      <c r="Z9" s="0" t="s">
        <v>5307</v>
      </c>
      <c r="AA9" s="0" t="s">
        <v>5308</v>
      </c>
      <c r="AB9" s="0" t="s">
        <v>5309</v>
      </c>
      <c r="AC9" s="0" t="s">
        <v>63</v>
      </c>
      <c r="AD9" s="0" t="s">
        <v>63</v>
      </c>
      <c r="AE9" s="0" t="s">
        <v>63</v>
      </c>
      <c r="AF9" s="0" t="s">
        <v>5321</v>
      </c>
      <c r="AG9" s="0" t="s">
        <v>5322</v>
      </c>
      <c r="AH9" s="0" t="s">
        <v>5321</v>
      </c>
      <c r="AI9" s="0" t="s">
        <v>5323</v>
      </c>
      <c r="AJ9" s="0" t="s">
        <v>5321</v>
      </c>
      <c r="AK9" s="0" t="s">
        <v>5323</v>
      </c>
      <c r="AL9" s="0" t="s">
        <v>5311</v>
      </c>
    </row>
    <row customHeight="1" ht="11.25">
      <c r="A10" s="0" t="s">
        <v>22</v>
      </c>
      <c r="B10" s="0" t="s">
        <v>49</v>
      </c>
      <c r="C10" s="0" t="s">
        <v>51</v>
      </c>
      <c r="D10" s="0" t="s">
        <v>22</v>
      </c>
      <c r="E10" s="0" t="s">
        <v>5324</v>
      </c>
      <c r="F10" s="0" t="s">
        <v>1114</v>
      </c>
      <c r="G10" s="0" t="s">
        <v>113</v>
      </c>
      <c r="H10" s="0" t="s">
        <v>113</v>
      </c>
      <c r="I10" s="0" t="s">
        <v>114</v>
      </c>
      <c r="J10" s="0" t="s">
        <v>1115</v>
      </c>
      <c r="K10" s="0" t="s">
        <v>1116</v>
      </c>
      <c r="L10" s="0" t="s">
        <v>5303</v>
      </c>
      <c r="M10" s="0" t="s">
        <v>5325</v>
      </c>
      <c r="N10" s="0" t="s">
        <v>121</v>
      </c>
      <c r="O10" s="0" t="s">
        <v>113</v>
      </c>
      <c r="P10" s="0" t="s">
        <v>113</v>
      </c>
      <c r="Q10" s="0" t="s">
        <v>114</v>
      </c>
      <c r="R10" s="0" t="s">
        <v>1115</v>
      </c>
      <c r="S10" s="0" t="s">
        <v>1116</v>
      </c>
      <c r="T10" s="0" t="s">
        <v>5304</v>
      </c>
      <c r="U10" s="0" t="s">
        <v>5305</v>
      </c>
      <c r="V10" s="0" t="s">
        <v>602</v>
      </c>
      <c r="W10" s="0" t="s">
        <v>5293</v>
      </c>
      <c r="X10" s="0" t="s">
        <v>5306</v>
      </c>
      <c r="Y10" s="0" t="s">
        <v>5305</v>
      </c>
      <c r="Z10" s="0" t="s">
        <v>5307</v>
      </c>
      <c r="AA10" s="0" t="s">
        <v>5308</v>
      </c>
      <c r="AB10" s="0" t="s">
        <v>5309</v>
      </c>
      <c r="AC10" s="0" t="s">
        <v>63</v>
      </c>
      <c r="AD10" s="0" t="s">
        <v>63</v>
      </c>
      <c r="AE10" s="0" t="s">
        <v>63</v>
      </c>
      <c r="AF10" s="0" t="s">
        <v>5326</v>
      </c>
      <c r="AG10" s="0" t="s">
        <v>5327</v>
      </c>
      <c r="AH10" s="0" t="s">
        <v>5326</v>
      </c>
      <c r="AI10" s="0" t="s">
        <v>5328</v>
      </c>
      <c r="AJ10" s="0" t="s">
        <v>5326</v>
      </c>
      <c r="AK10" s="0" t="s">
        <v>5328</v>
      </c>
      <c r="AL10" s="0" t="s">
        <v>5311</v>
      </c>
    </row>
    <row customHeight="1" ht="11.25">
      <c r="A11" s="0" t="s">
        <v>22</v>
      </c>
      <c r="B11" s="0" t="s">
        <v>49</v>
      </c>
      <c r="C11" s="0" t="s">
        <v>51</v>
      </c>
      <c r="D11" s="0" t="s">
        <v>22</v>
      </c>
      <c r="E11" s="0" t="s">
        <v>5324</v>
      </c>
      <c r="F11" s="0" t="s">
        <v>1114</v>
      </c>
      <c r="G11" s="0" t="s">
        <v>113</v>
      </c>
      <c r="H11" s="0" t="s">
        <v>113</v>
      </c>
      <c r="I11" s="0" t="s">
        <v>114</v>
      </c>
      <c r="J11" s="0" t="s">
        <v>1115</v>
      </c>
      <c r="K11" s="0" t="s">
        <v>1116</v>
      </c>
      <c r="L11" s="0" t="s">
        <v>5303</v>
      </c>
      <c r="M11" s="0" t="s">
        <v>5325</v>
      </c>
      <c r="N11" s="0" t="s">
        <v>121</v>
      </c>
      <c r="O11" s="0" t="s">
        <v>113</v>
      </c>
      <c r="P11" s="0" t="s">
        <v>113</v>
      </c>
      <c r="Q11" s="0" t="s">
        <v>114</v>
      </c>
      <c r="R11" s="0" t="s">
        <v>1115</v>
      </c>
      <c r="S11" s="0" t="s">
        <v>1116</v>
      </c>
      <c r="T11" s="0" t="s">
        <v>5304</v>
      </c>
      <c r="U11" s="0" t="s">
        <v>5305</v>
      </c>
      <c r="V11" s="0" t="s">
        <v>602</v>
      </c>
      <c r="W11" s="0" t="s">
        <v>5293</v>
      </c>
      <c r="X11" s="0" t="s">
        <v>5306</v>
      </c>
      <c r="Y11" s="0" t="s">
        <v>5305</v>
      </c>
      <c r="Z11" s="0" t="s">
        <v>5307</v>
      </c>
      <c r="AA11" s="0" t="s">
        <v>5308</v>
      </c>
      <c r="AB11" s="0" t="s">
        <v>5309</v>
      </c>
      <c r="AC11" s="0" t="s">
        <v>63</v>
      </c>
      <c r="AD11" s="0" t="s">
        <v>63</v>
      </c>
      <c r="AE11" s="0" t="s">
        <v>63</v>
      </c>
      <c r="AF11" s="0" t="s">
        <v>5326</v>
      </c>
      <c r="AG11" s="0" t="s">
        <v>5327</v>
      </c>
      <c r="AH11" s="0" t="s">
        <v>5326</v>
      </c>
      <c r="AI11" s="0" t="s">
        <v>5328</v>
      </c>
      <c r="AJ11" s="0" t="s">
        <v>5326</v>
      </c>
      <c r="AK11" s="0" t="s">
        <v>5328</v>
      </c>
      <c r="AL11" s="0" t="s">
        <v>5311</v>
      </c>
    </row>
    <row customHeight="1" ht="11.25">
      <c r="A12" s="0" t="s">
        <v>22</v>
      </c>
      <c r="B12" s="0" t="s">
        <v>49</v>
      </c>
      <c r="C12" s="0" t="s">
        <v>51</v>
      </c>
      <c r="D12" s="0" t="s">
        <v>22</v>
      </c>
      <c r="E12" s="0" t="s">
        <v>1124</v>
      </c>
      <c r="F12" s="0" t="s">
        <v>1114</v>
      </c>
      <c r="G12" s="0" t="s">
        <v>113</v>
      </c>
      <c r="H12" s="0" t="s">
        <v>113</v>
      </c>
      <c r="I12" s="0" t="s">
        <v>114</v>
      </c>
      <c r="J12" s="0" t="s">
        <v>1115</v>
      </c>
      <c r="K12" s="0" t="s">
        <v>1116</v>
      </c>
      <c r="L12" s="0" t="s">
        <v>1125</v>
      </c>
      <c r="M12" s="0" t="s">
        <v>1126</v>
      </c>
      <c r="N12" s="0" t="s">
        <v>121</v>
      </c>
      <c r="O12" s="0" t="s">
        <v>113</v>
      </c>
      <c r="P12" s="0" t="s">
        <v>113</v>
      </c>
      <c r="Q12" s="0" t="s">
        <v>114</v>
      </c>
      <c r="R12" s="0" t="s">
        <v>1115</v>
      </c>
      <c r="S12" s="0" t="s">
        <v>1116</v>
      </c>
      <c r="T12" s="0" t="s">
        <v>5304</v>
      </c>
      <c r="U12" s="0" t="s">
        <v>5305</v>
      </c>
      <c r="V12" s="0" t="s">
        <v>602</v>
      </c>
      <c r="W12" s="0" t="s">
        <v>5293</v>
      </c>
      <c r="X12" s="0" t="s">
        <v>5306</v>
      </c>
      <c r="Y12" s="0" t="s">
        <v>5305</v>
      </c>
      <c r="Z12" s="0" t="s">
        <v>5307</v>
      </c>
      <c r="AA12" s="0" t="s">
        <v>5308</v>
      </c>
      <c r="AB12" s="0" t="s">
        <v>5309</v>
      </c>
      <c r="AC12" s="0" t="s">
        <v>63</v>
      </c>
      <c r="AD12" s="0" t="s">
        <v>63</v>
      </c>
      <c r="AE12" s="0" t="s">
        <v>63</v>
      </c>
      <c r="AF12" s="0" t="s">
        <v>5329</v>
      </c>
      <c r="AG12" s="0" t="s">
        <v>5330</v>
      </c>
      <c r="AH12" s="0" t="s">
        <v>5329</v>
      </c>
      <c r="AI12" s="0" t="s">
        <v>5330</v>
      </c>
      <c r="AJ12" s="0" t="s">
        <v>5329</v>
      </c>
      <c r="AK12" s="0" t="s">
        <v>5330</v>
      </c>
      <c r="AL12" s="0" t="s">
        <v>5311</v>
      </c>
    </row>
    <row customHeight="1" ht="11.25">
      <c r="A13" s="0" t="s">
        <v>22</v>
      </c>
      <c r="B13" s="0" t="s">
        <v>49</v>
      </c>
      <c r="C13" s="0" t="s">
        <v>51</v>
      </c>
      <c r="D13" s="0" t="s">
        <v>22</v>
      </c>
      <c r="E13" s="0" t="s">
        <v>1124</v>
      </c>
      <c r="F13" s="0" t="s">
        <v>1114</v>
      </c>
      <c r="G13" s="0" t="s">
        <v>113</v>
      </c>
      <c r="H13" s="0" t="s">
        <v>113</v>
      </c>
      <c r="I13" s="0" t="s">
        <v>114</v>
      </c>
      <c r="J13" s="0" t="s">
        <v>1115</v>
      </c>
      <c r="K13" s="0" t="s">
        <v>1116</v>
      </c>
      <c r="L13" s="0" t="s">
        <v>1125</v>
      </c>
      <c r="M13" s="0" t="s">
        <v>1126</v>
      </c>
      <c r="N13" s="0" t="s">
        <v>121</v>
      </c>
      <c r="O13" s="0" t="s">
        <v>113</v>
      </c>
      <c r="P13" s="0" t="s">
        <v>113</v>
      </c>
      <c r="Q13" s="0" t="s">
        <v>114</v>
      </c>
      <c r="R13" s="0" t="s">
        <v>1115</v>
      </c>
      <c r="S13" s="0" t="s">
        <v>1116</v>
      </c>
      <c r="T13" s="0" t="s">
        <v>5304</v>
      </c>
      <c r="U13" s="0" t="s">
        <v>5305</v>
      </c>
      <c r="V13" s="0" t="s">
        <v>602</v>
      </c>
      <c r="W13" s="0" t="s">
        <v>5293</v>
      </c>
      <c r="X13" s="0" t="s">
        <v>5306</v>
      </c>
      <c r="Y13" s="0" t="s">
        <v>5305</v>
      </c>
      <c r="Z13" s="0" t="s">
        <v>5307</v>
      </c>
      <c r="AA13" s="0" t="s">
        <v>5308</v>
      </c>
      <c r="AB13" s="0" t="s">
        <v>5309</v>
      </c>
      <c r="AC13" s="0" t="s">
        <v>63</v>
      </c>
      <c r="AD13" s="0" t="s">
        <v>63</v>
      </c>
      <c r="AE13" s="0" t="s">
        <v>63</v>
      </c>
      <c r="AF13" s="0" t="s">
        <v>5329</v>
      </c>
      <c r="AG13" s="0" t="s">
        <v>5330</v>
      </c>
      <c r="AH13" s="0" t="s">
        <v>5329</v>
      </c>
      <c r="AI13" s="0" t="s">
        <v>5330</v>
      </c>
      <c r="AJ13" s="0" t="s">
        <v>5329</v>
      </c>
      <c r="AK13" s="0" t="s">
        <v>5330</v>
      </c>
      <c r="AL13" s="0" t="s">
        <v>5311</v>
      </c>
    </row>
    <row customHeight="1" ht="11.25">
      <c r="A14" s="0" t="s">
        <v>22</v>
      </c>
      <c r="B14" s="0" t="s">
        <v>49</v>
      </c>
      <c r="C14" s="0" t="s">
        <v>51</v>
      </c>
      <c r="D14" s="0" t="s">
        <v>22</v>
      </c>
      <c r="E14" s="0" t="s">
        <v>1128</v>
      </c>
      <c r="F14" s="0" t="s">
        <v>1114</v>
      </c>
      <c r="G14" s="0" t="s">
        <v>113</v>
      </c>
      <c r="H14" s="0" t="s">
        <v>113</v>
      </c>
      <c r="I14" s="0" t="s">
        <v>114</v>
      </c>
      <c r="J14" s="0" t="s">
        <v>1115</v>
      </c>
      <c r="K14" s="0" t="s">
        <v>1116</v>
      </c>
      <c r="L14" s="0" t="s">
        <v>1129</v>
      </c>
      <c r="M14" s="0" t="s">
        <v>1130</v>
      </c>
      <c r="N14" s="0" t="s">
        <v>121</v>
      </c>
      <c r="O14" s="0" t="s">
        <v>113</v>
      </c>
      <c r="P14" s="0" t="s">
        <v>113</v>
      </c>
      <c r="Q14" s="0" t="s">
        <v>114</v>
      </c>
      <c r="R14" s="0" t="s">
        <v>1115</v>
      </c>
      <c r="S14" s="0" t="s">
        <v>1116</v>
      </c>
      <c r="T14" s="0" t="s">
        <v>5304</v>
      </c>
      <c r="U14" s="0" t="s">
        <v>5305</v>
      </c>
      <c r="V14" s="0" t="s">
        <v>602</v>
      </c>
      <c r="W14" s="0" t="s">
        <v>5293</v>
      </c>
      <c r="X14" s="0" t="s">
        <v>5306</v>
      </c>
      <c r="Y14" s="0" t="s">
        <v>5305</v>
      </c>
      <c r="Z14" s="0" t="s">
        <v>5307</v>
      </c>
      <c r="AA14" s="0" t="s">
        <v>5308</v>
      </c>
      <c r="AB14" s="0" t="s">
        <v>5309</v>
      </c>
      <c r="AC14" s="0" t="s">
        <v>63</v>
      </c>
      <c r="AD14" s="0" t="s">
        <v>63</v>
      </c>
      <c r="AE14" s="0" t="s">
        <v>63</v>
      </c>
      <c r="AF14" s="0" t="s">
        <v>5331</v>
      </c>
      <c r="AG14" s="0" t="s">
        <v>5332</v>
      </c>
      <c r="AH14" s="0" t="s">
        <v>5331</v>
      </c>
      <c r="AI14" s="0" t="s">
        <v>5332</v>
      </c>
      <c r="AJ14" s="0" t="s">
        <v>5331</v>
      </c>
      <c r="AK14" s="0" t="s">
        <v>5332</v>
      </c>
      <c r="AL14" s="0" t="s">
        <v>5311</v>
      </c>
    </row>
    <row customHeight="1" ht="11.25">
      <c r="A15" s="0" t="s">
        <v>22</v>
      </c>
      <c r="B15" s="0" t="s">
        <v>49</v>
      </c>
      <c r="C15" s="0" t="s">
        <v>51</v>
      </c>
      <c r="D15" s="0" t="s">
        <v>22</v>
      </c>
      <c r="E15" s="0" t="s">
        <v>1128</v>
      </c>
      <c r="F15" s="0" t="s">
        <v>1114</v>
      </c>
      <c r="G15" s="0" t="s">
        <v>113</v>
      </c>
      <c r="H15" s="0" t="s">
        <v>113</v>
      </c>
      <c r="I15" s="0" t="s">
        <v>114</v>
      </c>
      <c r="J15" s="0" t="s">
        <v>1115</v>
      </c>
      <c r="K15" s="0" t="s">
        <v>1116</v>
      </c>
      <c r="L15" s="0" t="s">
        <v>1129</v>
      </c>
      <c r="M15" s="0" t="s">
        <v>1130</v>
      </c>
      <c r="N15" s="0" t="s">
        <v>121</v>
      </c>
      <c r="O15" s="0" t="s">
        <v>113</v>
      </c>
      <c r="P15" s="0" t="s">
        <v>113</v>
      </c>
      <c r="Q15" s="0" t="s">
        <v>114</v>
      </c>
      <c r="R15" s="0" t="s">
        <v>1115</v>
      </c>
      <c r="S15" s="0" t="s">
        <v>1116</v>
      </c>
      <c r="T15" s="0" t="s">
        <v>5304</v>
      </c>
      <c r="U15" s="0" t="s">
        <v>5305</v>
      </c>
      <c r="V15" s="0" t="s">
        <v>602</v>
      </c>
      <c r="W15" s="0" t="s">
        <v>5293</v>
      </c>
      <c r="X15" s="0" t="s">
        <v>5306</v>
      </c>
      <c r="Y15" s="0" t="s">
        <v>5305</v>
      </c>
      <c r="Z15" s="0" t="s">
        <v>5307</v>
      </c>
      <c r="AA15" s="0" t="s">
        <v>5308</v>
      </c>
      <c r="AB15" s="0" t="s">
        <v>5309</v>
      </c>
      <c r="AC15" s="0" t="s">
        <v>63</v>
      </c>
      <c r="AD15" s="0" t="s">
        <v>63</v>
      </c>
      <c r="AE15" s="0" t="s">
        <v>63</v>
      </c>
      <c r="AF15" s="0" t="s">
        <v>5331</v>
      </c>
      <c r="AG15" s="0" t="s">
        <v>5332</v>
      </c>
      <c r="AH15" s="0" t="s">
        <v>5331</v>
      </c>
      <c r="AI15" s="0" t="s">
        <v>5332</v>
      </c>
      <c r="AJ15" s="0" t="s">
        <v>5331</v>
      </c>
      <c r="AK15" s="0" t="s">
        <v>5332</v>
      </c>
      <c r="AL15" s="0" t="s">
        <v>5311</v>
      </c>
    </row>
    <row customHeight="1" ht="11.25">
      <c r="A16" s="0" t="s">
        <v>22</v>
      </c>
      <c r="B16" s="0" t="s">
        <v>49</v>
      </c>
      <c r="C16" s="0" t="s">
        <v>51</v>
      </c>
      <c r="D16" s="0" t="s">
        <v>22</v>
      </c>
      <c r="E16" s="0" t="s">
        <v>1139</v>
      </c>
      <c r="F16" s="0" t="s">
        <v>1114</v>
      </c>
      <c r="G16" s="0" t="s">
        <v>113</v>
      </c>
      <c r="H16" s="0" t="s">
        <v>113</v>
      </c>
      <c r="I16" s="0" t="s">
        <v>114</v>
      </c>
      <c r="J16" s="0" t="s">
        <v>1115</v>
      </c>
      <c r="K16" s="0" t="s">
        <v>1116</v>
      </c>
      <c r="L16" s="0" t="s">
        <v>1140</v>
      </c>
      <c r="M16" s="0" t="s">
        <v>1141</v>
      </c>
      <c r="N16" s="0" t="s">
        <v>121</v>
      </c>
      <c r="O16" s="0" t="s">
        <v>113</v>
      </c>
      <c r="P16" s="0" t="s">
        <v>113</v>
      </c>
      <c r="Q16" s="0" t="s">
        <v>114</v>
      </c>
      <c r="R16" s="0" t="s">
        <v>1115</v>
      </c>
      <c r="S16" s="0" t="s">
        <v>1116</v>
      </c>
      <c r="T16" s="0" t="s">
        <v>5304</v>
      </c>
      <c r="U16" s="0" t="s">
        <v>5305</v>
      </c>
      <c r="V16" s="0" t="s">
        <v>602</v>
      </c>
      <c r="W16" s="0" t="s">
        <v>5293</v>
      </c>
      <c r="X16" s="0" t="s">
        <v>5306</v>
      </c>
      <c r="Y16" s="0" t="s">
        <v>5305</v>
      </c>
      <c r="Z16" s="0" t="s">
        <v>5307</v>
      </c>
      <c r="AA16" s="0" t="s">
        <v>5308</v>
      </c>
      <c r="AB16" s="0" t="s">
        <v>5309</v>
      </c>
      <c r="AC16" s="0" t="s">
        <v>63</v>
      </c>
      <c r="AD16" s="0" t="s">
        <v>63</v>
      </c>
      <c r="AE16" s="0" t="s">
        <v>63</v>
      </c>
      <c r="AF16" s="0" t="s">
        <v>5312</v>
      </c>
      <c r="AG16" s="0" t="s">
        <v>5333</v>
      </c>
      <c r="AH16" s="0" t="s">
        <v>5312</v>
      </c>
      <c r="AI16" s="0" t="s">
        <v>5334</v>
      </c>
      <c r="AJ16" s="0" t="s">
        <v>5312</v>
      </c>
      <c r="AK16" s="0" t="s">
        <v>5334</v>
      </c>
      <c r="AL16" s="0" t="s">
        <v>5311</v>
      </c>
    </row>
    <row customHeight="1" ht="11.25">
      <c r="A17" s="0" t="s">
        <v>22</v>
      </c>
      <c r="B17" s="0" t="s">
        <v>49</v>
      </c>
      <c r="C17" s="0" t="s">
        <v>51</v>
      </c>
      <c r="D17" s="0" t="s">
        <v>22</v>
      </c>
      <c r="E17" s="0" t="s">
        <v>1139</v>
      </c>
      <c r="F17" s="0" t="s">
        <v>1114</v>
      </c>
      <c r="G17" s="0" t="s">
        <v>113</v>
      </c>
      <c r="H17" s="0" t="s">
        <v>113</v>
      </c>
      <c r="I17" s="0" t="s">
        <v>114</v>
      </c>
      <c r="J17" s="0" t="s">
        <v>1115</v>
      </c>
      <c r="K17" s="0" t="s">
        <v>1116</v>
      </c>
      <c r="L17" s="0" t="s">
        <v>1140</v>
      </c>
      <c r="M17" s="0" t="s">
        <v>1141</v>
      </c>
      <c r="N17" s="0" t="s">
        <v>121</v>
      </c>
      <c r="O17" s="0" t="s">
        <v>113</v>
      </c>
      <c r="P17" s="0" t="s">
        <v>113</v>
      </c>
      <c r="Q17" s="0" t="s">
        <v>114</v>
      </c>
      <c r="R17" s="0" t="s">
        <v>1115</v>
      </c>
      <c r="S17" s="0" t="s">
        <v>1116</v>
      </c>
      <c r="T17" s="0" t="s">
        <v>5304</v>
      </c>
      <c r="U17" s="0" t="s">
        <v>5305</v>
      </c>
      <c r="V17" s="0" t="s">
        <v>602</v>
      </c>
      <c r="W17" s="0" t="s">
        <v>5293</v>
      </c>
      <c r="X17" s="0" t="s">
        <v>5306</v>
      </c>
      <c r="Y17" s="0" t="s">
        <v>5305</v>
      </c>
      <c r="Z17" s="0" t="s">
        <v>5307</v>
      </c>
      <c r="AA17" s="0" t="s">
        <v>5308</v>
      </c>
      <c r="AB17" s="0" t="s">
        <v>5309</v>
      </c>
      <c r="AC17" s="0" t="s">
        <v>63</v>
      </c>
      <c r="AD17" s="0" t="s">
        <v>63</v>
      </c>
      <c r="AE17" s="0" t="s">
        <v>63</v>
      </c>
      <c r="AF17" s="0" t="s">
        <v>5312</v>
      </c>
      <c r="AG17" s="0" t="s">
        <v>5335</v>
      </c>
      <c r="AH17" s="0" t="s">
        <v>5312</v>
      </c>
      <c r="AI17" s="0" t="s">
        <v>5335</v>
      </c>
      <c r="AJ17" s="0" t="s">
        <v>5312</v>
      </c>
      <c r="AK17" s="0" t="s">
        <v>5335</v>
      </c>
      <c r="AL17" s="0" t="s">
        <v>5311</v>
      </c>
    </row>
    <row customHeight="1" ht="11.25">
      <c r="A18" s="0" t="s">
        <v>22</v>
      </c>
      <c r="B18" s="0" t="s">
        <v>49</v>
      </c>
      <c r="C18" s="0" t="s">
        <v>51</v>
      </c>
      <c r="D18" s="0" t="s">
        <v>22</v>
      </c>
      <c r="E18" s="0" t="s">
        <v>1147</v>
      </c>
      <c r="F18" s="0" t="s">
        <v>1114</v>
      </c>
      <c r="G18" s="0" t="s">
        <v>113</v>
      </c>
      <c r="H18" s="0" t="s">
        <v>113</v>
      </c>
      <c r="I18" s="0" t="s">
        <v>114</v>
      </c>
      <c r="J18" s="0" t="s">
        <v>1115</v>
      </c>
      <c r="K18" s="0" t="s">
        <v>1116</v>
      </c>
      <c r="L18" s="0" t="s">
        <v>1148</v>
      </c>
      <c r="M18" s="0" t="s">
        <v>1149</v>
      </c>
      <c r="N18" s="0" t="s">
        <v>121</v>
      </c>
      <c r="O18" s="0" t="s">
        <v>113</v>
      </c>
      <c r="P18" s="0" t="s">
        <v>113</v>
      </c>
      <c r="Q18" s="0" t="s">
        <v>114</v>
      </c>
      <c r="R18" s="0" t="s">
        <v>1115</v>
      </c>
      <c r="S18" s="0" t="s">
        <v>1116</v>
      </c>
      <c r="T18" s="0" t="s">
        <v>5304</v>
      </c>
      <c r="U18" s="0" t="s">
        <v>5305</v>
      </c>
      <c r="V18" s="0" t="s">
        <v>602</v>
      </c>
      <c r="W18" s="0" t="s">
        <v>5293</v>
      </c>
      <c r="X18" s="0" t="s">
        <v>5306</v>
      </c>
      <c r="Y18" s="0" t="s">
        <v>5305</v>
      </c>
      <c r="Z18" s="0" t="s">
        <v>5307</v>
      </c>
      <c r="AA18" s="0" t="s">
        <v>5308</v>
      </c>
      <c r="AB18" s="0" t="s">
        <v>5309</v>
      </c>
      <c r="AC18" s="0" t="s">
        <v>63</v>
      </c>
      <c r="AD18" s="0" t="s">
        <v>63</v>
      </c>
      <c r="AE18" s="0" t="s">
        <v>63</v>
      </c>
      <c r="AF18" s="0" t="s">
        <v>862</v>
      </c>
      <c r="AG18" s="0" t="s">
        <v>5336</v>
      </c>
      <c r="AH18" s="0" t="s">
        <v>862</v>
      </c>
      <c r="AI18" s="0" t="s">
        <v>5336</v>
      </c>
      <c r="AJ18" s="0" t="s">
        <v>862</v>
      </c>
      <c r="AK18" s="0" t="s">
        <v>5336</v>
      </c>
      <c r="AL18" s="0" t="s">
        <v>5311</v>
      </c>
    </row>
    <row customHeight="1" ht="11.25">
      <c r="A19" s="0" t="s">
        <v>22</v>
      </c>
      <c r="B19" s="0" t="s">
        <v>49</v>
      </c>
      <c r="C19" s="0" t="s">
        <v>51</v>
      </c>
      <c r="D19" s="0" t="s">
        <v>22</v>
      </c>
      <c r="E19" s="0" t="s">
        <v>1147</v>
      </c>
      <c r="F19" s="0" t="s">
        <v>1114</v>
      </c>
      <c r="G19" s="0" t="s">
        <v>113</v>
      </c>
      <c r="H19" s="0" t="s">
        <v>113</v>
      </c>
      <c r="I19" s="0" t="s">
        <v>114</v>
      </c>
      <c r="J19" s="0" t="s">
        <v>1115</v>
      </c>
      <c r="K19" s="0" t="s">
        <v>1116</v>
      </c>
      <c r="L19" s="0" t="s">
        <v>1148</v>
      </c>
      <c r="M19" s="0" t="s">
        <v>1149</v>
      </c>
      <c r="N19" s="0" t="s">
        <v>121</v>
      </c>
      <c r="O19" s="0" t="s">
        <v>113</v>
      </c>
      <c r="P19" s="0" t="s">
        <v>113</v>
      </c>
      <c r="Q19" s="0" t="s">
        <v>114</v>
      </c>
      <c r="R19" s="0" t="s">
        <v>1115</v>
      </c>
      <c r="S19" s="0" t="s">
        <v>1116</v>
      </c>
      <c r="T19" s="0" t="s">
        <v>5304</v>
      </c>
      <c r="U19" s="0" t="s">
        <v>5305</v>
      </c>
      <c r="V19" s="0" t="s">
        <v>602</v>
      </c>
      <c r="W19" s="0" t="s">
        <v>5293</v>
      </c>
      <c r="X19" s="0" t="s">
        <v>5306</v>
      </c>
      <c r="Y19" s="0" t="s">
        <v>5305</v>
      </c>
      <c r="Z19" s="0" t="s">
        <v>5307</v>
      </c>
      <c r="AA19" s="0" t="s">
        <v>5308</v>
      </c>
      <c r="AB19" s="0" t="s">
        <v>5309</v>
      </c>
      <c r="AC19" s="0" t="s">
        <v>63</v>
      </c>
      <c r="AD19" s="0" t="s">
        <v>63</v>
      </c>
      <c r="AE19" s="0" t="s">
        <v>63</v>
      </c>
      <c r="AF19" s="0" t="s">
        <v>862</v>
      </c>
      <c r="AG19" s="0" t="s">
        <v>5337</v>
      </c>
      <c r="AH19" s="0" t="s">
        <v>862</v>
      </c>
      <c r="AI19" s="0" t="s">
        <v>5337</v>
      </c>
      <c r="AJ19" s="0" t="s">
        <v>862</v>
      </c>
      <c r="AK19" s="0" t="s">
        <v>5337</v>
      </c>
      <c r="AL19" s="0" t="s">
        <v>5311</v>
      </c>
    </row>
    <row customHeight="1" ht="11.25">
      <c r="A20" s="0" t="s">
        <v>22</v>
      </c>
      <c r="B20" s="0" t="s">
        <v>49</v>
      </c>
      <c r="C20" s="0" t="s">
        <v>51</v>
      </c>
      <c r="D20" s="0" t="s">
        <v>22</v>
      </c>
      <c r="E20" s="0" t="s">
        <v>5338</v>
      </c>
      <c r="F20" s="0" t="s">
        <v>1114</v>
      </c>
      <c r="G20" s="0" t="s">
        <v>113</v>
      </c>
      <c r="H20" s="0" t="s">
        <v>113</v>
      </c>
      <c r="I20" s="0" t="s">
        <v>114</v>
      </c>
      <c r="J20" s="0" t="s">
        <v>1115</v>
      </c>
      <c r="K20" s="0" t="s">
        <v>1116</v>
      </c>
      <c r="L20" s="0" t="s">
        <v>5339</v>
      </c>
      <c r="M20" s="0" t="s">
        <v>5340</v>
      </c>
      <c r="N20" s="0" t="s">
        <v>121</v>
      </c>
      <c r="O20" s="0" t="s">
        <v>113</v>
      </c>
      <c r="P20" s="0" t="s">
        <v>113</v>
      </c>
      <c r="Q20" s="0" t="s">
        <v>114</v>
      </c>
      <c r="R20" s="0" t="s">
        <v>1115</v>
      </c>
      <c r="S20" s="0" t="s">
        <v>1116</v>
      </c>
      <c r="T20" s="0" t="s">
        <v>5304</v>
      </c>
      <c r="U20" s="0" t="s">
        <v>5305</v>
      </c>
      <c r="V20" s="0" t="s">
        <v>602</v>
      </c>
      <c r="W20" s="0" t="s">
        <v>5293</v>
      </c>
      <c r="X20" s="0" t="s">
        <v>5306</v>
      </c>
      <c r="Y20" s="0" t="s">
        <v>5305</v>
      </c>
      <c r="Z20" s="0" t="s">
        <v>5307</v>
      </c>
      <c r="AA20" s="0" t="s">
        <v>5308</v>
      </c>
      <c r="AB20" s="0" t="s">
        <v>5309</v>
      </c>
      <c r="AC20" s="0" t="s">
        <v>63</v>
      </c>
      <c r="AD20" s="0" t="s">
        <v>63</v>
      </c>
      <c r="AE20" s="0" t="s">
        <v>63</v>
      </c>
      <c r="AF20" s="0" t="s">
        <v>5341</v>
      </c>
      <c r="AG20" s="0" t="s">
        <v>5342</v>
      </c>
      <c r="AH20" s="0" t="s">
        <v>5341</v>
      </c>
      <c r="AI20" s="0" t="s">
        <v>5342</v>
      </c>
      <c r="AJ20" s="0" t="s">
        <v>5341</v>
      </c>
      <c r="AK20" s="0" t="s">
        <v>5342</v>
      </c>
      <c r="AL20" s="0" t="s">
        <v>5311</v>
      </c>
    </row>
    <row customHeight="1" ht="11.25">
      <c r="A21" s="0" t="s">
        <v>22</v>
      </c>
      <c r="B21" s="0" t="s">
        <v>49</v>
      </c>
      <c r="C21" s="0" t="s">
        <v>51</v>
      </c>
      <c r="D21" s="0" t="s">
        <v>22</v>
      </c>
      <c r="E21" s="0" t="s">
        <v>5338</v>
      </c>
      <c r="F21" s="0" t="s">
        <v>1114</v>
      </c>
      <c r="G21" s="0" t="s">
        <v>113</v>
      </c>
      <c r="H21" s="0" t="s">
        <v>113</v>
      </c>
      <c r="I21" s="0" t="s">
        <v>114</v>
      </c>
      <c r="J21" s="0" t="s">
        <v>1115</v>
      </c>
      <c r="K21" s="0" t="s">
        <v>1116</v>
      </c>
      <c r="L21" s="0" t="s">
        <v>5339</v>
      </c>
      <c r="M21" s="0" t="s">
        <v>5340</v>
      </c>
      <c r="N21" s="0" t="s">
        <v>121</v>
      </c>
      <c r="O21" s="0" t="s">
        <v>113</v>
      </c>
      <c r="P21" s="0" t="s">
        <v>113</v>
      </c>
      <c r="Q21" s="0" t="s">
        <v>114</v>
      </c>
      <c r="R21" s="0" t="s">
        <v>1115</v>
      </c>
      <c r="S21" s="0" t="s">
        <v>1116</v>
      </c>
      <c r="T21" s="0" t="s">
        <v>5304</v>
      </c>
      <c r="U21" s="0" t="s">
        <v>5305</v>
      </c>
      <c r="V21" s="0" t="s">
        <v>602</v>
      </c>
      <c r="W21" s="0" t="s">
        <v>5293</v>
      </c>
      <c r="X21" s="0" t="s">
        <v>5306</v>
      </c>
      <c r="Y21" s="0" t="s">
        <v>5305</v>
      </c>
      <c r="Z21" s="0" t="s">
        <v>5307</v>
      </c>
      <c r="AA21" s="0" t="s">
        <v>5308</v>
      </c>
      <c r="AB21" s="0" t="s">
        <v>5309</v>
      </c>
      <c r="AC21" s="0" t="s">
        <v>63</v>
      </c>
      <c r="AD21" s="0" t="s">
        <v>63</v>
      </c>
      <c r="AE21" s="0" t="s">
        <v>63</v>
      </c>
      <c r="AF21" s="0" t="s">
        <v>5341</v>
      </c>
      <c r="AG21" s="0" t="s">
        <v>5343</v>
      </c>
      <c r="AH21" s="0" t="s">
        <v>5341</v>
      </c>
      <c r="AI21" s="0" t="s">
        <v>5343</v>
      </c>
      <c r="AJ21" s="0" t="s">
        <v>5341</v>
      </c>
      <c r="AK21" s="0" t="s">
        <v>5343</v>
      </c>
      <c r="AL21" s="0" t="s">
        <v>5311</v>
      </c>
    </row>
    <row customHeight="1" ht="11.25">
      <c r="A22" s="0" t="s">
        <v>22</v>
      </c>
      <c r="B22" s="0" t="s">
        <v>49</v>
      </c>
      <c r="C22" s="0" t="s">
        <v>51</v>
      </c>
      <c r="D22" s="0" t="s">
        <v>22</v>
      </c>
      <c r="E22" s="0" t="s">
        <v>1143</v>
      </c>
      <c r="F22" s="0" t="s">
        <v>1114</v>
      </c>
      <c r="G22" s="0" t="s">
        <v>113</v>
      </c>
      <c r="H22" s="0" t="s">
        <v>113</v>
      </c>
      <c r="I22" s="0" t="s">
        <v>114</v>
      </c>
      <c r="J22" s="0" t="s">
        <v>1115</v>
      </c>
      <c r="K22" s="0" t="s">
        <v>1116</v>
      </c>
      <c r="L22" s="0" t="s">
        <v>1144</v>
      </c>
      <c r="M22" s="0" t="s">
        <v>1145</v>
      </c>
      <c r="N22" s="0" t="s">
        <v>121</v>
      </c>
      <c r="O22" s="0" t="s">
        <v>113</v>
      </c>
      <c r="P22" s="0" t="s">
        <v>113</v>
      </c>
      <c r="Q22" s="0" t="s">
        <v>114</v>
      </c>
      <c r="R22" s="0" t="s">
        <v>1115</v>
      </c>
      <c r="S22" s="0" t="s">
        <v>1116</v>
      </c>
      <c r="T22" s="0" t="s">
        <v>5304</v>
      </c>
      <c r="U22" s="0" t="s">
        <v>5305</v>
      </c>
      <c r="V22" s="0" t="s">
        <v>602</v>
      </c>
      <c r="W22" s="0" t="s">
        <v>5293</v>
      </c>
      <c r="X22" s="0" t="s">
        <v>5306</v>
      </c>
      <c r="Y22" s="0" t="s">
        <v>5305</v>
      </c>
      <c r="Z22" s="0" t="s">
        <v>5307</v>
      </c>
      <c r="AA22" s="0" t="s">
        <v>5308</v>
      </c>
      <c r="AB22" s="0" t="s">
        <v>5309</v>
      </c>
      <c r="AC22" s="0" t="s">
        <v>63</v>
      </c>
      <c r="AD22" s="0" t="s">
        <v>63</v>
      </c>
      <c r="AE22" s="0" t="s">
        <v>63</v>
      </c>
      <c r="AF22" s="0" t="s">
        <v>5344</v>
      </c>
      <c r="AG22" s="0" t="s">
        <v>5345</v>
      </c>
      <c r="AH22" s="0" t="s">
        <v>5344</v>
      </c>
      <c r="AI22" s="0" t="s">
        <v>5345</v>
      </c>
      <c r="AJ22" s="0" t="s">
        <v>5344</v>
      </c>
      <c r="AK22" s="0" t="s">
        <v>5345</v>
      </c>
      <c r="AL22" s="0" t="s">
        <v>5311</v>
      </c>
    </row>
    <row customHeight="1" ht="11.25">
      <c r="A23" s="0" t="s">
        <v>22</v>
      </c>
      <c r="B23" s="0" t="s">
        <v>49</v>
      </c>
      <c r="C23" s="0" t="s">
        <v>51</v>
      </c>
      <c r="D23" s="0" t="s">
        <v>22</v>
      </c>
      <c r="E23" s="0" t="s">
        <v>1143</v>
      </c>
      <c r="F23" s="0" t="s">
        <v>1114</v>
      </c>
      <c r="G23" s="0" t="s">
        <v>113</v>
      </c>
      <c r="H23" s="0" t="s">
        <v>113</v>
      </c>
      <c r="I23" s="0" t="s">
        <v>114</v>
      </c>
      <c r="J23" s="0" t="s">
        <v>1115</v>
      </c>
      <c r="K23" s="0" t="s">
        <v>1116</v>
      </c>
      <c r="L23" s="0" t="s">
        <v>1144</v>
      </c>
      <c r="M23" s="0" t="s">
        <v>1145</v>
      </c>
      <c r="N23" s="0" t="s">
        <v>121</v>
      </c>
      <c r="O23" s="0" t="s">
        <v>113</v>
      </c>
      <c r="P23" s="0" t="s">
        <v>113</v>
      </c>
      <c r="Q23" s="0" t="s">
        <v>114</v>
      </c>
      <c r="R23" s="0" t="s">
        <v>1115</v>
      </c>
      <c r="S23" s="0" t="s">
        <v>1116</v>
      </c>
      <c r="T23" s="0" t="s">
        <v>5304</v>
      </c>
      <c r="U23" s="0" t="s">
        <v>5305</v>
      </c>
      <c r="V23" s="0" t="s">
        <v>602</v>
      </c>
      <c r="W23" s="0" t="s">
        <v>5293</v>
      </c>
      <c r="X23" s="0" t="s">
        <v>5306</v>
      </c>
      <c r="Y23" s="0" t="s">
        <v>5305</v>
      </c>
      <c r="Z23" s="0" t="s">
        <v>5307</v>
      </c>
      <c r="AA23" s="0" t="s">
        <v>5308</v>
      </c>
      <c r="AB23" s="0" t="s">
        <v>5309</v>
      </c>
      <c r="AC23" s="0" t="s">
        <v>63</v>
      </c>
      <c r="AD23" s="0" t="s">
        <v>63</v>
      </c>
      <c r="AE23" s="0" t="s">
        <v>63</v>
      </c>
      <c r="AF23" s="0" t="s">
        <v>5344</v>
      </c>
      <c r="AG23" s="0" t="s">
        <v>5346</v>
      </c>
      <c r="AH23" s="0" t="s">
        <v>5344</v>
      </c>
      <c r="AI23" s="0" t="s">
        <v>5346</v>
      </c>
      <c r="AJ23" s="0" t="s">
        <v>5344</v>
      </c>
      <c r="AK23" s="0" t="s">
        <v>5346</v>
      </c>
      <c r="AL23" s="0" t="s">
        <v>5311</v>
      </c>
    </row>
    <row customHeight="1" ht="11.25">
      <c r="A24" s="0" t="s">
        <v>22</v>
      </c>
      <c r="B24" s="0" t="s">
        <v>49</v>
      </c>
      <c r="C24" s="0" t="s">
        <v>51</v>
      </c>
      <c r="D24" s="0" t="s">
        <v>22</v>
      </c>
      <c r="E24" s="0" t="s">
        <v>1113</v>
      </c>
      <c r="F24" s="0" t="s">
        <v>1114</v>
      </c>
      <c r="G24" s="0" t="s">
        <v>113</v>
      </c>
      <c r="H24" s="0" t="s">
        <v>113</v>
      </c>
      <c r="I24" s="0" t="s">
        <v>114</v>
      </c>
      <c r="J24" s="0" t="s">
        <v>1115</v>
      </c>
      <c r="K24" s="0" t="s">
        <v>1116</v>
      </c>
      <c r="L24" s="0" t="s">
        <v>1117</v>
      </c>
      <c r="M24" s="0" t="s">
        <v>1118</v>
      </c>
      <c r="N24" s="0" t="s">
        <v>121</v>
      </c>
      <c r="O24" s="0" t="s">
        <v>113</v>
      </c>
      <c r="P24" s="0" t="s">
        <v>113</v>
      </c>
      <c r="Q24" s="0" t="s">
        <v>114</v>
      </c>
      <c r="R24" s="0" t="s">
        <v>1115</v>
      </c>
      <c r="S24" s="0" t="s">
        <v>1116</v>
      </c>
      <c r="T24" s="0" t="s">
        <v>5304</v>
      </c>
      <c r="U24" s="0" t="s">
        <v>5305</v>
      </c>
      <c r="V24" s="0" t="s">
        <v>602</v>
      </c>
      <c r="W24" s="0" t="s">
        <v>5293</v>
      </c>
      <c r="X24" s="0" t="s">
        <v>5306</v>
      </c>
      <c r="Y24" s="0" t="s">
        <v>5305</v>
      </c>
      <c r="Z24" s="0" t="s">
        <v>5307</v>
      </c>
      <c r="AA24" s="0" t="s">
        <v>5308</v>
      </c>
      <c r="AB24" s="0" t="s">
        <v>5309</v>
      </c>
      <c r="AC24" s="0" t="s">
        <v>63</v>
      </c>
      <c r="AD24" s="0" t="s">
        <v>63</v>
      </c>
      <c r="AE24" s="0" t="s">
        <v>63</v>
      </c>
      <c r="AF24" s="0" t="s">
        <v>5347</v>
      </c>
      <c r="AG24" s="0" t="s">
        <v>5348</v>
      </c>
      <c r="AH24" s="0" t="s">
        <v>5347</v>
      </c>
      <c r="AI24" s="0" t="s">
        <v>5349</v>
      </c>
      <c r="AJ24" s="0" t="s">
        <v>5347</v>
      </c>
      <c r="AK24" s="0" t="s">
        <v>5349</v>
      </c>
      <c r="AL24" s="0" t="s">
        <v>5311</v>
      </c>
    </row>
    <row customHeight="1" ht="11.25">
      <c r="A25" s="0" t="s">
        <v>22</v>
      </c>
      <c r="B25" s="0" t="s">
        <v>49</v>
      </c>
      <c r="C25" s="0" t="s">
        <v>51</v>
      </c>
      <c r="D25" s="0" t="s">
        <v>22</v>
      </c>
      <c r="E25" s="0" t="s">
        <v>1113</v>
      </c>
      <c r="F25" s="0" t="s">
        <v>1114</v>
      </c>
      <c r="G25" s="0" t="s">
        <v>113</v>
      </c>
      <c r="H25" s="0" t="s">
        <v>113</v>
      </c>
      <c r="I25" s="0" t="s">
        <v>114</v>
      </c>
      <c r="J25" s="0" t="s">
        <v>1115</v>
      </c>
      <c r="K25" s="0" t="s">
        <v>1116</v>
      </c>
      <c r="L25" s="0" t="s">
        <v>1117</v>
      </c>
      <c r="M25" s="0" t="s">
        <v>1118</v>
      </c>
      <c r="N25" s="0" t="s">
        <v>121</v>
      </c>
      <c r="O25" s="0" t="s">
        <v>113</v>
      </c>
      <c r="P25" s="0" t="s">
        <v>113</v>
      </c>
      <c r="Q25" s="0" t="s">
        <v>114</v>
      </c>
      <c r="R25" s="0" t="s">
        <v>1115</v>
      </c>
      <c r="S25" s="0" t="s">
        <v>1116</v>
      </c>
      <c r="T25" s="0" t="s">
        <v>5304</v>
      </c>
      <c r="U25" s="0" t="s">
        <v>5305</v>
      </c>
      <c r="V25" s="0" t="s">
        <v>602</v>
      </c>
      <c r="W25" s="0" t="s">
        <v>5293</v>
      </c>
      <c r="X25" s="0" t="s">
        <v>5306</v>
      </c>
      <c r="Y25" s="0" t="s">
        <v>5305</v>
      </c>
      <c r="Z25" s="0" t="s">
        <v>5307</v>
      </c>
      <c r="AA25" s="0" t="s">
        <v>5308</v>
      </c>
      <c r="AB25" s="0" t="s">
        <v>5309</v>
      </c>
      <c r="AC25" s="0" t="s">
        <v>63</v>
      </c>
      <c r="AD25" s="0" t="s">
        <v>63</v>
      </c>
      <c r="AE25" s="0" t="s">
        <v>63</v>
      </c>
      <c r="AF25" s="0" t="s">
        <v>5347</v>
      </c>
      <c r="AG25" s="0" t="s">
        <v>5348</v>
      </c>
      <c r="AH25" s="0" t="s">
        <v>5347</v>
      </c>
      <c r="AI25" s="0" t="s">
        <v>5349</v>
      </c>
      <c r="AJ25" s="0" t="s">
        <v>5347</v>
      </c>
      <c r="AK25" s="0" t="s">
        <v>5349</v>
      </c>
      <c r="AL25" s="0" t="s">
        <v>5311</v>
      </c>
    </row>
    <row customHeight="1" ht="11.25">
      <c r="A26" s="0" t="s">
        <v>22</v>
      </c>
      <c r="B26" s="0" t="s">
        <v>49</v>
      </c>
      <c r="C26" s="0" t="s">
        <v>51</v>
      </c>
      <c r="D26" s="0" t="s">
        <v>22</v>
      </c>
      <c r="E26" s="0" t="s">
        <v>1155</v>
      </c>
      <c r="F26" s="0" t="s">
        <v>1114</v>
      </c>
      <c r="G26" s="0" t="s">
        <v>113</v>
      </c>
      <c r="H26" s="0" t="s">
        <v>113</v>
      </c>
      <c r="I26" s="0" t="s">
        <v>114</v>
      </c>
      <c r="J26" s="0" t="s">
        <v>1115</v>
      </c>
      <c r="K26" s="0" t="s">
        <v>1116</v>
      </c>
      <c r="L26" s="0" t="s">
        <v>1156</v>
      </c>
      <c r="M26" s="0" t="s">
        <v>1157</v>
      </c>
      <c r="N26" s="0" t="s">
        <v>121</v>
      </c>
      <c r="O26" s="0" t="s">
        <v>113</v>
      </c>
      <c r="P26" s="0" t="s">
        <v>113</v>
      </c>
      <c r="Q26" s="0" t="s">
        <v>114</v>
      </c>
      <c r="R26" s="0" t="s">
        <v>1115</v>
      </c>
      <c r="S26" s="0" t="s">
        <v>1116</v>
      </c>
      <c r="T26" s="0" t="s">
        <v>5304</v>
      </c>
      <c r="U26" s="0" t="s">
        <v>5305</v>
      </c>
      <c r="V26" s="0" t="s">
        <v>602</v>
      </c>
      <c r="W26" s="0" t="s">
        <v>5293</v>
      </c>
      <c r="X26" s="0" t="s">
        <v>5306</v>
      </c>
      <c r="Y26" s="0" t="s">
        <v>5305</v>
      </c>
      <c r="Z26" s="0" t="s">
        <v>5307</v>
      </c>
      <c r="AA26" s="0" t="s">
        <v>5308</v>
      </c>
      <c r="AB26" s="0" t="s">
        <v>5309</v>
      </c>
      <c r="AC26" s="0" t="s">
        <v>63</v>
      </c>
      <c r="AD26" s="0" t="s">
        <v>63</v>
      </c>
      <c r="AE26" s="0" t="s">
        <v>63</v>
      </c>
      <c r="AF26" s="0" t="s">
        <v>1229</v>
      </c>
      <c r="AG26" s="0" t="s">
        <v>5350</v>
      </c>
      <c r="AH26" s="0" t="s">
        <v>1229</v>
      </c>
      <c r="AI26" s="0" t="s">
        <v>5350</v>
      </c>
      <c r="AJ26" s="0" t="s">
        <v>1229</v>
      </c>
      <c r="AK26" s="0" t="s">
        <v>5350</v>
      </c>
      <c r="AL26" s="0" t="s">
        <v>5311</v>
      </c>
    </row>
    <row customHeight="1" ht="11.25">
      <c r="A27" s="0" t="s">
        <v>22</v>
      </c>
      <c r="B27" s="0" t="s">
        <v>49</v>
      </c>
      <c r="C27" s="0" t="s">
        <v>51</v>
      </c>
      <c r="D27" s="0" t="s">
        <v>22</v>
      </c>
      <c r="E27" s="0" t="s">
        <v>1155</v>
      </c>
      <c r="F27" s="0" t="s">
        <v>1114</v>
      </c>
      <c r="G27" s="0" t="s">
        <v>113</v>
      </c>
      <c r="H27" s="0" t="s">
        <v>113</v>
      </c>
      <c r="I27" s="0" t="s">
        <v>114</v>
      </c>
      <c r="J27" s="0" t="s">
        <v>1115</v>
      </c>
      <c r="K27" s="0" t="s">
        <v>1116</v>
      </c>
      <c r="L27" s="0" t="s">
        <v>1156</v>
      </c>
      <c r="M27" s="0" t="s">
        <v>1157</v>
      </c>
      <c r="N27" s="0" t="s">
        <v>121</v>
      </c>
      <c r="O27" s="0" t="s">
        <v>113</v>
      </c>
      <c r="P27" s="0" t="s">
        <v>113</v>
      </c>
      <c r="Q27" s="0" t="s">
        <v>114</v>
      </c>
      <c r="R27" s="0" t="s">
        <v>1115</v>
      </c>
      <c r="S27" s="0" t="s">
        <v>1116</v>
      </c>
      <c r="T27" s="0" t="s">
        <v>5304</v>
      </c>
      <c r="U27" s="0" t="s">
        <v>5305</v>
      </c>
      <c r="V27" s="0" t="s">
        <v>602</v>
      </c>
      <c r="W27" s="0" t="s">
        <v>5293</v>
      </c>
      <c r="X27" s="0" t="s">
        <v>5306</v>
      </c>
      <c r="Y27" s="0" t="s">
        <v>5305</v>
      </c>
      <c r="Z27" s="0" t="s">
        <v>5307</v>
      </c>
      <c r="AA27" s="0" t="s">
        <v>5308</v>
      </c>
      <c r="AB27" s="0" t="s">
        <v>5309</v>
      </c>
      <c r="AC27" s="0" t="s">
        <v>63</v>
      </c>
      <c r="AD27" s="0" t="s">
        <v>63</v>
      </c>
      <c r="AE27" s="0" t="s">
        <v>63</v>
      </c>
      <c r="AF27" s="0" t="s">
        <v>1229</v>
      </c>
      <c r="AG27" s="0" t="s">
        <v>5351</v>
      </c>
      <c r="AH27" s="0" t="s">
        <v>1229</v>
      </c>
      <c r="AI27" s="0" t="s">
        <v>5351</v>
      </c>
      <c r="AJ27" s="0" t="s">
        <v>1229</v>
      </c>
      <c r="AK27" s="0" t="s">
        <v>5351</v>
      </c>
      <c r="AL27" s="0" t="s">
        <v>5311</v>
      </c>
    </row>
    <row customHeight="1" ht="11.25">
      <c r="A28" s="0" t="s">
        <v>22</v>
      </c>
      <c r="B28" s="0" t="s">
        <v>49</v>
      </c>
      <c r="C28" s="0" t="s">
        <v>51</v>
      </c>
      <c r="D28" s="0" t="s">
        <v>22</v>
      </c>
      <c r="E28" s="0" t="s">
        <v>1134</v>
      </c>
      <c r="F28" s="0" t="s">
        <v>1114</v>
      </c>
      <c r="G28" s="0" t="s">
        <v>113</v>
      </c>
      <c r="H28" s="0" t="s">
        <v>113</v>
      </c>
      <c r="I28" s="0" t="s">
        <v>114</v>
      </c>
      <c r="J28" s="0" t="s">
        <v>1115</v>
      </c>
      <c r="K28" s="0" t="s">
        <v>1116</v>
      </c>
      <c r="L28" s="0" t="s">
        <v>1135</v>
      </c>
      <c r="M28" s="0" t="s">
        <v>1136</v>
      </c>
      <c r="N28" s="0" t="s">
        <v>121</v>
      </c>
      <c r="O28" s="0" t="s">
        <v>113</v>
      </c>
      <c r="P28" s="0" t="s">
        <v>113</v>
      </c>
      <c r="Q28" s="0" t="s">
        <v>114</v>
      </c>
      <c r="R28" s="0" t="s">
        <v>1115</v>
      </c>
      <c r="S28" s="0" t="s">
        <v>1116</v>
      </c>
      <c r="T28" s="0" t="s">
        <v>5304</v>
      </c>
      <c r="U28" s="0" t="s">
        <v>5305</v>
      </c>
      <c r="V28" s="0" t="s">
        <v>602</v>
      </c>
      <c r="W28" s="0" t="s">
        <v>5293</v>
      </c>
      <c r="X28" s="0" t="s">
        <v>5306</v>
      </c>
      <c r="Y28" s="0" t="s">
        <v>5305</v>
      </c>
      <c r="Z28" s="0" t="s">
        <v>5307</v>
      </c>
      <c r="AA28" s="0" t="s">
        <v>5308</v>
      </c>
      <c r="AB28" s="0" t="s">
        <v>5309</v>
      </c>
      <c r="AC28" s="0" t="s">
        <v>63</v>
      </c>
      <c r="AD28" s="0" t="s">
        <v>63</v>
      </c>
      <c r="AE28" s="0" t="s">
        <v>63</v>
      </c>
      <c r="AF28" s="0" t="s">
        <v>5352</v>
      </c>
      <c r="AG28" s="0" t="s">
        <v>5353</v>
      </c>
      <c r="AH28" s="0" t="s">
        <v>5352</v>
      </c>
      <c r="AI28" s="0" t="s">
        <v>5353</v>
      </c>
      <c r="AJ28" s="0" t="s">
        <v>5352</v>
      </c>
      <c r="AK28" s="0" t="s">
        <v>5353</v>
      </c>
      <c r="AL28" s="0" t="s">
        <v>5311</v>
      </c>
    </row>
    <row customHeight="1" ht="11.25">
      <c r="A29" s="0" t="s">
        <v>22</v>
      </c>
      <c r="B29" s="0" t="s">
        <v>49</v>
      </c>
      <c r="C29" s="0" t="s">
        <v>51</v>
      </c>
      <c r="D29" s="0" t="s">
        <v>22</v>
      </c>
      <c r="E29" s="0" t="s">
        <v>1134</v>
      </c>
      <c r="F29" s="0" t="s">
        <v>1114</v>
      </c>
      <c r="G29" s="0" t="s">
        <v>113</v>
      </c>
      <c r="H29" s="0" t="s">
        <v>113</v>
      </c>
      <c r="I29" s="0" t="s">
        <v>114</v>
      </c>
      <c r="J29" s="0" t="s">
        <v>1115</v>
      </c>
      <c r="K29" s="0" t="s">
        <v>1116</v>
      </c>
      <c r="L29" s="0" t="s">
        <v>1135</v>
      </c>
      <c r="M29" s="0" t="s">
        <v>1136</v>
      </c>
      <c r="N29" s="0" t="s">
        <v>121</v>
      </c>
      <c r="O29" s="0" t="s">
        <v>113</v>
      </c>
      <c r="P29" s="0" t="s">
        <v>113</v>
      </c>
      <c r="Q29" s="0" t="s">
        <v>114</v>
      </c>
      <c r="R29" s="0" t="s">
        <v>1115</v>
      </c>
      <c r="S29" s="0" t="s">
        <v>1116</v>
      </c>
      <c r="T29" s="0" t="s">
        <v>5304</v>
      </c>
      <c r="U29" s="0" t="s">
        <v>5305</v>
      </c>
      <c r="V29" s="0" t="s">
        <v>602</v>
      </c>
      <c r="W29" s="0" t="s">
        <v>5293</v>
      </c>
      <c r="X29" s="0" t="s">
        <v>5306</v>
      </c>
      <c r="Y29" s="0" t="s">
        <v>5305</v>
      </c>
      <c r="Z29" s="0" t="s">
        <v>5307</v>
      </c>
      <c r="AA29" s="0" t="s">
        <v>5308</v>
      </c>
      <c r="AB29" s="0" t="s">
        <v>5309</v>
      </c>
      <c r="AC29" s="0" t="s">
        <v>63</v>
      </c>
      <c r="AD29" s="0" t="s">
        <v>63</v>
      </c>
      <c r="AE29" s="0" t="s">
        <v>63</v>
      </c>
      <c r="AF29" s="0" t="s">
        <v>5352</v>
      </c>
      <c r="AG29" s="0" t="s">
        <v>5354</v>
      </c>
      <c r="AH29" s="0" t="s">
        <v>5352</v>
      </c>
      <c r="AI29" s="0" t="s">
        <v>5355</v>
      </c>
      <c r="AJ29" s="0" t="s">
        <v>5352</v>
      </c>
      <c r="AK29" s="0" t="s">
        <v>5355</v>
      </c>
      <c r="AL29" s="0" t="s">
        <v>5311</v>
      </c>
    </row>
    <row customHeight="1" ht="11.25">
      <c r="A30" s="0" t="s">
        <v>22</v>
      </c>
      <c r="B30" s="0" t="s">
        <v>49</v>
      </c>
      <c r="C30" s="0" t="s">
        <v>51</v>
      </c>
      <c r="D30" s="0" t="s">
        <v>22</v>
      </c>
      <c r="E30" s="0" t="s">
        <v>5356</v>
      </c>
      <c r="F30" s="0" t="s">
        <v>1114</v>
      </c>
      <c r="G30" s="0" t="s">
        <v>113</v>
      </c>
      <c r="H30" s="0" t="s">
        <v>113</v>
      </c>
      <c r="I30" s="0" t="s">
        <v>114</v>
      </c>
      <c r="J30" s="0" t="s">
        <v>1115</v>
      </c>
      <c r="K30" s="0" t="s">
        <v>1116</v>
      </c>
      <c r="L30" s="0" t="s">
        <v>5357</v>
      </c>
      <c r="M30" s="0" t="s">
        <v>91</v>
      </c>
      <c r="N30" s="0" t="s">
        <v>121</v>
      </c>
      <c r="O30" s="0" t="s">
        <v>113</v>
      </c>
      <c r="P30" s="0" t="s">
        <v>113</v>
      </c>
      <c r="Q30" s="0" t="s">
        <v>114</v>
      </c>
      <c r="R30" s="0" t="s">
        <v>1115</v>
      </c>
      <c r="S30" s="0" t="s">
        <v>1116</v>
      </c>
      <c r="T30" s="0" t="s">
        <v>5304</v>
      </c>
      <c r="U30" s="0" t="s">
        <v>5305</v>
      </c>
      <c r="V30" s="0" t="s">
        <v>602</v>
      </c>
      <c r="W30" s="0" t="s">
        <v>5293</v>
      </c>
      <c r="X30" s="0" t="s">
        <v>5306</v>
      </c>
      <c r="Y30" s="0" t="s">
        <v>5305</v>
      </c>
      <c r="Z30" s="0" t="s">
        <v>5307</v>
      </c>
      <c r="AA30" s="0" t="s">
        <v>5308</v>
      </c>
      <c r="AB30" s="0" t="s">
        <v>5309</v>
      </c>
      <c r="AC30" s="0" t="s">
        <v>63</v>
      </c>
      <c r="AD30" s="0" t="s">
        <v>63</v>
      </c>
      <c r="AE30" s="0" t="s">
        <v>63</v>
      </c>
      <c r="AF30" s="0" t="s">
        <v>5358</v>
      </c>
      <c r="AG30" s="0" t="s">
        <v>5359</v>
      </c>
      <c r="AH30" s="0" t="s">
        <v>5358</v>
      </c>
      <c r="AI30" s="0" t="s">
        <v>5360</v>
      </c>
      <c r="AJ30" s="0" t="s">
        <v>5358</v>
      </c>
      <c r="AK30" s="0" t="s">
        <v>5360</v>
      </c>
      <c r="AL30" s="0" t="s">
        <v>5311</v>
      </c>
    </row>
    <row customHeight="1" ht="11.25">
      <c r="A31" s="0" t="s">
        <v>22</v>
      </c>
      <c r="B31" s="0" t="s">
        <v>49</v>
      </c>
      <c r="C31" s="0" t="s">
        <v>51</v>
      </c>
      <c r="D31" s="0" t="s">
        <v>22</v>
      </c>
      <c r="E31" s="0" t="s">
        <v>5356</v>
      </c>
      <c r="F31" s="0" t="s">
        <v>1114</v>
      </c>
      <c r="G31" s="0" t="s">
        <v>113</v>
      </c>
      <c r="H31" s="0" t="s">
        <v>113</v>
      </c>
      <c r="I31" s="0" t="s">
        <v>114</v>
      </c>
      <c r="J31" s="0" t="s">
        <v>1115</v>
      </c>
      <c r="K31" s="0" t="s">
        <v>1116</v>
      </c>
      <c r="L31" s="0" t="s">
        <v>5357</v>
      </c>
      <c r="M31" s="0" t="s">
        <v>91</v>
      </c>
      <c r="N31" s="0" t="s">
        <v>121</v>
      </c>
      <c r="O31" s="0" t="s">
        <v>113</v>
      </c>
      <c r="P31" s="0" t="s">
        <v>113</v>
      </c>
      <c r="Q31" s="0" t="s">
        <v>114</v>
      </c>
      <c r="R31" s="0" t="s">
        <v>1115</v>
      </c>
      <c r="S31" s="0" t="s">
        <v>1116</v>
      </c>
      <c r="T31" s="0" t="s">
        <v>5304</v>
      </c>
      <c r="U31" s="0" t="s">
        <v>5305</v>
      </c>
      <c r="V31" s="0" t="s">
        <v>602</v>
      </c>
      <c r="W31" s="0" t="s">
        <v>5293</v>
      </c>
      <c r="X31" s="0" t="s">
        <v>5306</v>
      </c>
      <c r="Y31" s="0" t="s">
        <v>5305</v>
      </c>
      <c r="Z31" s="0" t="s">
        <v>5307</v>
      </c>
      <c r="AA31" s="0" t="s">
        <v>5308</v>
      </c>
      <c r="AB31" s="0" t="s">
        <v>5309</v>
      </c>
      <c r="AC31" s="0" t="s">
        <v>63</v>
      </c>
      <c r="AD31" s="0" t="s">
        <v>63</v>
      </c>
      <c r="AE31" s="0" t="s">
        <v>63</v>
      </c>
      <c r="AF31" s="0" t="s">
        <v>5358</v>
      </c>
      <c r="AG31" s="0" t="s">
        <v>5361</v>
      </c>
      <c r="AH31" s="0" t="s">
        <v>5358</v>
      </c>
      <c r="AI31" s="0" t="s">
        <v>5361</v>
      </c>
      <c r="AJ31" s="0" t="s">
        <v>5358</v>
      </c>
      <c r="AK31" s="0" t="s">
        <v>5361</v>
      </c>
      <c r="AL31" s="0" t="s">
        <v>5311</v>
      </c>
    </row>
    <row customHeight="1" ht="11.25">
      <c r="A32" s="0" t="s">
        <v>22</v>
      </c>
      <c r="B32" s="0" t="s">
        <v>49</v>
      </c>
      <c r="C32" s="0" t="s">
        <v>51</v>
      </c>
      <c r="D32" s="0" t="s">
        <v>22</v>
      </c>
      <c r="E32" s="0" t="s">
        <v>1176</v>
      </c>
      <c r="F32" s="0" t="s">
        <v>1177</v>
      </c>
      <c r="G32" s="0" t="s">
        <v>113</v>
      </c>
      <c r="H32" s="0" t="s">
        <v>113</v>
      </c>
      <c r="I32" s="0" t="s">
        <v>114</v>
      </c>
      <c r="J32" s="0" t="s">
        <v>1115</v>
      </c>
      <c r="K32" s="0" t="s">
        <v>1116</v>
      </c>
      <c r="L32" s="0" t="s">
        <v>1178</v>
      </c>
      <c r="M32" s="0" t="s">
        <v>1178</v>
      </c>
      <c r="N32" s="0" t="s">
        <v>121</v>
      </c>
      <c r="O32" s="0" t="s">
        <v>113</v>
      </c>
      <c r="P32" s="0" t="s">
        <v>113</v>
      </c>
      <c r="Q32" s="0" t="s">
        <v>114</v>
      </c>
      <c r="R32" s="0" t="s">
        <v>1115</v>
      </c>
      <c r="S32" s="0" t="s">
        <v>1116</v>
      </c>
      <c r="T32" s="0" t="s">
        <v>5304</v>
      </c>
      <c r="U32" s="0" t="s">
        <v>5362</v>
      </c>
      <c r="V32" s="0" t="s">
        <v>602</v>
      </c>
      <c r="W32" s="0" t="s">
        <v>5293</v>
      </c>
      <c r="X32" s="0" t="s">
        <v>5363</v>
      </c>
      <c r="Y32" s="0" t="s">
        <v>5362</v>
      </c>
      <c r="Z32" s="0" t="s">
        <v>5364</v>
      </c>
      <c r="AA32" s="0" t="s">
        <v>5365</v>
      </c>
      <c r="AB32" s="0" t="s">
        <v>5366</v>
      </c>
      <c r="AC32" s="0" t="s">
        <v>19</v>
      </c>
      <c r="AD32" s="0" t="s">
        <v>63</v>
      </c>
      <c r="AE32" s="0" t="s">
        <v>63</v>
      </c>
      <c r="AF32" s="0" t="s">
        <v>22</v>
      </c>
      <c r="AG32" s="0" t="s">
        <v>22</v>
      </c>
      <c r="AH32" s="0" t="s">
        <v>5367</v>
      </c>
      <c r="AI32" s="0" t="s">
        <v>5367</v>
      </c>
      <c r="AJ32" s="0" t="s">
        <v>5367</v>
      </c>
      <c r="AK32" s="0" t="s">
        <v>5367</v>
      </c>
      <c r="AL32" s="0" t="s">
        <v>22</v>
      </c>
    </row>
    <row customHeight="1" ht="11.25">
      <c r="A33" s="0" t="s">
        <v>22</v>
      </c>
      <c r="B33" s="0" t="s">
        <v>49</v>
      </c>
      <c r="C33" s="0" t="s">
        <v>51</v>
      </c>
      <c r="D33" s="0" t="s">
        <v>22</v>
      </c>
      <c r="E33" s="0" t="s">
        <v>1176</v>
      </c>
      <c r="F33" s="0" t="s">
        <v>1177</v>
      </c>
      <c r="G33" s="0" t="s">
        <v>113</v>
      </c>
      <c r="H33" s="0" t="s">
        <v>113</v>
      </c>
      <c r="I33" s="0" t="s">
        <v>114</v>
      </c>
      <c r="J33" s="0" t="s">
        <v>1115</v>
      </c>
      <c r="K33" s="0" t="s">
        <v>1116</v>
      </c>
      <c r="L33" s="0" t="s">
        <v>1178</v>
      </c>
      <c r="M33" s="0" t="s">
        <v>1178</v>
      </c>
      <c r="N33" s="0" t="s">
        <v>121</v>
      </c>
      <c r="O33" s="0" t="s">
        <v>113</v>
      </c>
      <c r="P33" s="0" t="s">
        <v>113</v>
      </c>
      <c r="Q33" s="0" t="s">
        <v>114</v>
      </c>
      <c r="R33" s="0" t="s">
        <v>1115</v>
      </c>
      <c r="S33" s="0" t="s">
        <v>1116</v>
      </c>
      <c r="T33" s="0" t="s">
        <v>5304</v>
      </c>
      <c r="U33" s="0" t="s">
        <v>5362</v>
      </c>
      <c r="V33" s="0" t="s">
        <v>602</v>
      </c>
      <c r="W33" s="0" t="s">
        <v>5293</v>
      </c>
      <c r="X33" s="0" t="s">
        <v>5363</v>
      </c>
      <c r="Y33" s="0" t="s">
        <v>5362</v>
      </c>
      <c r="Z33" s="0" t="s">
        <v>5364</v>
      </c>
      <c r="AA33" s="0" t="s">
        <v>5365</v>
      </c>
      <c r="AB33" s="0" t="s">
        <v>5366</v>
      </c>
      <c r="AC33" s="0" t="s">
        <v>19</v>
      </c>
      <c r="AD33" s="0" t="s">
        <v>63</v>
      </c>
      <c r="AE33" s="0" t="s">
        <v>63</v>
      </c>
      <c r="AF33" s="0" t="s">
        <v>22</v>
      </c>
      <c r="AG33" s="0" t="s">
        <v>22</v>
      </c>
      <c r="AH33" s="0" t="s">
        <v>5367</v>
      </c>
      <c r="AI33" s="0" t="s">
        <v>5367</v>
      </c>
      <c r="AJ33" s="0" t="s">
        <v>5367</v>
      </c>
      <c r="AK33" s="0" t="s">
        <v>5367</v>
      </c>
      <c r="AL33" s="0" t="s">
        <v>22</v>
      </c>
    </row>
    <row customHeight="1" ht="11.25">
      <c r="A34" s="0" t="s">
        <v>22</v>
      </c>
      <c r="B34" s="0" t="s">
        <v>49</v>
      </c>
      <c r="C34" s="0" t="s">
        <v>51</v>
      </c>
      <c r="D34" s="0" t="s">
        <v>22</v>
      </c>
      <c r="E34" s="0" t="s">
        <v>1208</v>
      </c>
      <c r="F34" s="0" t="s">
        <v>1114</v>
      </c>
      <c r="G34" s="0" t="s">
        <v>113</v>
      </c>
      <c r="H34" s="0" t="s">
        <v>113</v>
      </c>
      <c r="I34" s="0" t="s">
        <v>114</v>
      </c>
      <c r="J34" s="0" t="s">
        <v>1115</v>
      </c>
      <c r="K34" s="0" t="s">
        <v>1116</v>
      </c>
      <c r="L34" s="0" t="s">
        <v>1209</v>
      </c>
      <c r="M34" s="0" t="s">
        <v>121</v>
      </c>
      <c r="N34" s="0" t="s">
        <v>121</v>
      </c>
      <c r="O34" s="0" t="s">
        <v>113</v>
      </c>
      <c r="P34" s="0" t="s">
        <v>113</v>
      </c>
      <c r="Q34" s="0" t="s">
        <v>114</v>
      </c>
      <c r="R34" s="0" t="s">
        <v>1115</v>
      </c>
      <c r="S34" s="0" t="s">
        <v>1116</v>
      </c>
      <c r="T34" s="0" t="s">
        <v>5291</v>
      </c>
      <c r="U34" s="0" t="s">
        <v>5292</v>
      </c>
      <c r="V34" s="0" t="s">
        <v>602</v>
      </c>
      <c r="W34" s="0" t="s">
        <v>5293</v>
      </c>
      <c r="X34" s="0" t="s">
        <v>5294</v>
      </c>
      <c r="Y34" s="0" t="s">
        <v>5295</v>
      </c>
      <c r="Z34" s="0" t="s">
        <v>5368</v>
      </c>
      <c r="AA34" s="0" t="s">
        <v>5369</v>
      </c>
      <c r="AB34" s="0" t="s">
        <v>5298</v>
      </c>
      <c r="AC34" s="0" t="s">
        <v>63</v>
      </c>
      <c r="AD34" s="0" t="s">
        <v>63</v>
      </c>
      <c r="AE34" s="0" t="s">
        <v>63</v>
      </c>
      <c r="AF34" s="0" t="s">
        <v>5370</v>
      </c>
      <c r="AG34" s="0" t="s">
        <v>5371</v>
      </c>
      <c r="AH34" s="0" t="s">
        <v>5370</v>
      </c>
      <c r="AI34" s="0" t="s">
        <v>5371</v>
      </c>
      <c r="AJ34" s="0" t="s">
        <v>5370</v>
      </c>
      <c r="AK34" s="0" t="s">
        <v>5371</v>
      </c>
      <c r="AL34" s="0" t="s">
        <v>5300</v>
      </c>
    </row>
    <row customHeight="1" ht="11.25">
      <c r="A35" s="0" t="s">
        <v>22</v>
      </c>
      <c r="B35" s="0" t="s">
        <v>49</v>
      </c>
      <c r="C35" s="0" t="s">
        <v>51</v>
      </c>
      <c r="D35" s="0" t="s">
        <v>22</v>
      </c>
      <c r="E35" s="0" t="s">
        <v>1208</v>
      </c>
      <c r="F35" s="0" t="s">
        <v>1114</v>
      </c>
      <c r="G35" s="0" t="s">
        <v>113</v>
      </c>
      <c r="H35" s="0" t="s">
        <v>113</v>
      </c>
      <c r="I35" s="0" t="s">
        <v>114</v>
      </c>
      <c r="J35" s="0" t="s">
        <v>1115</v>
      </c>
      <c r="K35" s="0" t="s">
        <v>1116</v>
      </c>
      <c r="L35" s="0" t="s">
        <v>1209</v>
      </c>
      <c r="M35" s="0" t="s">
        <v>121</v>
      </c>
      <c r="N35" s="0" t="s">
        <v>121</v>
      </c>
      <c r="O35" s="0" t="s">
        <v>113</v>
      </c>
      <c r="P35" s="0" t="s">
        <v>113</v>
      </c>
      <c r="Q35" s="0" t="s">
        <v>114</v>
      </c>
      <c r="R35" s="0" t="s">
        <v>1115</v>
      </c>
      <c r="S35" s="0" t="s">
        <v>1116</v>
      </c>
      <c r="T35" s="0" t="s">
        <v>5291</v>
      </c>
      <c r="U35" s="0" t="s">
        <v>5292</v>
      </c>
      <c r="V35" s="0" t="s">
        <v>602</v>
      </c>
      <c r="W35" s="0" t="s">
        <v>5293</v>
      </c>
      <c r="X35" s="0" t="s">
        <v>5294</v>
      </c>
      <c r="Y35" s="0" t="s">
        <v>5295</v>
      </c>
      <c r="Z35" s="0" t="s">
        <v>5368</v>
      </c>
      <c r="AA35" s="0" t="s">
        <v>5369</v>
      </c>
      <c r="AB35" s="0" t="s">
        <v>5298</v>
      </c>
      <c r="AC35" s="0" t="s">
        <v>63</v>
      </c>
      <c r="AD35" s="0" t="s">
        <v>63</v>
      </c>
      <c r="AE35" s="0" t="s">
        <v>63</v>
      </c>
      <c r="AF35" s="0" t="s">
        <v>5370</v>
      </c>
      <c r="AG35" s="0" t="s">
        <v>5372</v>
      </c>
      <c r="AH35" s="0" t="s">
        <v>5370</v>
      </c>
      <c r="AI35" s="0" t="s">
        <v>5372</v>
      </c>
      <c r="AJ35" s="0" t="s">
        <v>5370</v>
      </c>
      <c r="AK35" s="0" t="s">
        <v>5372</v>
      </c>
      <c r="AL35" s="0" t="s">
        <v>5300</v>
      </c>
    </row>
    <row customHeight="1" ht="11.25">
      <c r="A36" s="0" t="s">
        <v>22</v>
      </c>
      <c r="B36" s="0" t="s">
        <v>49</v>
      </c>
      <c r="C36" s="0" t="s">
        <v>51</v>
      </c>
      <c r="D36" s="0" t="s">
        <v>22</v>
      </c>
      <c r="E36" s="0" t="s">
        <v>1274</v>
      </c>
      <c r="F36" s="0" t="s">
        <v>1114</v>
      </c>
      <c r="G36" s="0" t="s">
        <v>113</v>
      </c>
      <c r="H36" s="0" t="s">
        <v>113</v>
      </c>
      <c r="I36" s="0" t="s">
        <v>114</v>
      </c>
      <c r="J36" s="0" t="s">
        <v>1115</v>
      </c>
      <c r="K36" s="0" t="s">
        <v>1116</v>
      </c>
      <c r="L36" s="0" t="s">
        <v>1275</v>
      </c>
      <c r="M36" s="0" t="s">
        <v>121</v>
      </c>
      <c r="N36" s="0" t="s">
        <v>121</v>
      </c>
      <c r="O36" s="0" t="s">
        <v>113</v>
      </c>
      <c r="P36" s="0" t="s">
        <v>113</v>
      </c>
      <c r="Q36" s="0" t="s">
        <v>114</v>
      </c>
      <c r="R36" s="0" t="s">
        <v>1115</v>
      </c>
      <c r="S36" s="0" t="s">
        <v>1116</v>
      </c>
      <c r="T36" s="0" t="s">
        <v>5291</v>
      </c>
      <c r="U36" s="0" t="s">
        <v>5292</v>
      </c>
      <c r="V36" s="0" t="s">
        <v>602</v>
      </c>
      <c r="W36" s="0" t="s">
        <v>5293</v>
      </c>
      <c r="X36" s="0" t="s">
        <v>5294</v>
      </c>
      <c r="Y36" s="0" t="s">
        <v>5295</v>
      </c>
      <c r="Z36" s="0" t="s">
        <v>5373</v>
      </c>
      <c r="AA36" s="0" t="s">
        <v>5369</v>
      </c>
      <c r="AB36" s="0" t="s">
        <v>5298</v>
      </c>
      <c r="AC36" s="0" t="s">
        <v>63</v>
      </c>
      <c r="AD36" s="0" t="s">
        <v>63</v>
      </c>
      <c r="AE36" s="0" t="s">
        <v>63</v>
      </c>
      <c r="AF36" s="0" t="s">
        <v>5374</v>
      </c>
      <c r="AG36" s="0" t="s">
        <v>5375</v>
      </c>
      <c r="AH36" s="0" t="s">
        <v>5374</v>
      </c>
      <c r="AI36" s="0" t="s">
        <v>5375</v>
      </c>
      <c r="AJ36" s="0" t="s">
        <v>5374</v>
      </c>
      <c r="AK36" s="0" t="s">
        <v>5375</v>
      </c>
      <c r="AL36" s="0" t="s">
        <v>5376</v>
      </c>
    </row>
    <row customHeight="1" ht="11.25">
      <c r="A37" s="0" t="s">
        <v>22</v>
      </c>
      <c r="B37" s="0" t="s">
        <v>49</v>
      </c>
      <c r="C37" s="0" t="s">
        <v>51</v>
      </c>
      <c r="D37" s="0" t="s">
        <v>22</v>
      </c>
      <c r="E37" s="0" t="s">
        <v>1274</v>
      </c>
      <c r="F37" s="0" t="s">
        <v>1114</v>
      </c>
      <c r="G37" s="0" t="s">
        <v>113</v>
      </c>
      <c r="H37" s="0" t="s">
        <v>113</v>
      </c>
      <c r="I37" s="0" t="s">
        <v>114</v>
      </c>
      <c r="J37" s="0" t="s">
        <v>1115</v>
      </c>
      <c r="K37" s="0" t="s">
        <v>1116</v>
      </c>
      <c r="L37" s="0" t="s">
        <v>1275</v>
      </c>
      <c r="M37" s="0" t="s">
        <v>121</v>
      </c>
      <c r="N37" s="0" t="s">
        <v>121</v>
      </c>
      <c r="O37" s="0" t="s">
        <v>113</v>
      </c>
      <c r="P37" s="0" t="s">
        <v>113</v>
      </c>
      <c r="Q37" s="0" t="s">
        <v>114</v>
      </c>
      <c r="R37" s="0" t="s">
        <v>1115</v>
      </c>
      <c r="S37" s="0" t="s">
        <v>1116</v>
      </c>
      <c r="T37" s="0" t="s">
        <v>5291</v>
      </c>
      <c r="U37" s="0" t="s">
        <v>5292</v>
      </c>
      <c r="V37" s="0" t="s">
        <v>602</v>
      </c>
      <c r="W37" s="0" t="s">
        <v>5293</v>
      </c>
      <c r="X37" s="0" t="s">
        <v>5294</v>
      </c>
      <c r="Y37" s="0" t="s">
        <v>5295</v>
      </c>
      <c r="Z37" s="0" t="s">
        <v>5373</v>
      </c>
      <c r="AA37" s="0" t="s">
        <v>5369</v>
      </c>
      <c r="AB37" s="0" t="s">
        <v>5298</v>
      </c>
      <c r="AC37" s="0" t="s">
        <v>63</v>
      </c>
      <c r="AD37" s="0" t="s">
        <v>63</v>
      </c>
      <c r="AE37" s="0" t="s">
        <v>63</v>
      </c>
      <c r="AF37" s="0" t="s">
        <v>5374</v>
      </c>
      <c r="AG37" s="0" t="s">
        <v>5377</v>
      </c>
      <c r="AH37" s="0" t="s">
        <v>5374</v>
      </c>
      <c r="AI37" s="0" t="s">
        <v>5377</v>
      </c>
      <c r="AJ37" s="0" t="s">
        <v>5374</v>
      </c>
      <c r="AK37" s="0" t="s">
        <v>5377</v>
      </c>
      <c r="AL37" s="0" t="s">
        <v>5376</v>
      </c>
    </row>
    <row customHeight="1" ht="11.25">
      <c r="A38" s="0" t="s">
        <v>22</v>
      </c>
      <c r="B38" s="0" t="s">
        <v>49</v>
      </c>
      <c r="C38" s="0" t="s">
        <v>51</v>
      </c>
      <c r="D38" s="0" t="s">
        <v>22</v>
      </c>
      <c r="E38" s="0" t="s">
        <v>1165</v>
      </c>
      <c r="F38" s="0" t="s">
        <v>1114</v>
      </c>
      <c r="G38" s="0" t="s">
        <v>113</v>
      </c>
      <c r="H38" s="0" t="s">
        <v>113</v>
      </c>
      <c r="I38" s="0" t="s">
        <v>114</v>
      </c>
      <c r="J38" s="0" t="s">
        <v>1115</v>
      </c>
      <c r="K38" s="0" t="s">
        <v>1116</v>
      </c>
      <c r="L38" s="0" t="s">
        <v>1166</v>
      </c>
      <c r="M38" s="0" t="s">
        <v>1167</v>
      </c>
      <c r="N38" s="0" t="s">
        <v>121</v>
      </c>
      <c r="O38" s="0" t="s">
        <v>113</v>
      </c>
      <c r="P38" s="0" t="s">
        <v>113</v>
      </c>
      <c r="Q38" s="0" t="s">
        <v>114</v>
      </c>
      <c r="R38" s="0" t="s">
        <v>1115</v>
      </c>
      <c r="S38" s="0" t="s">
        <v>1116</v>
      </c>
      <c r="T38" s="0" t="s">
        <v>5304</v>
      </c>
      <c r="U38" s="0" t="s">
        <v>5305</v>
      </c>
      <c r="V38" s="0" t="s">
        <v>602</v>
      </c>
      <c r="W38" s="0" t="s">
        <v>5293</v>
      </c>
      <c r="X38" s="0" t="s">
        <v>5306</v>
      </c>
      <c r="Y38" s="0" t="s">
        <v>5305</v>
      </c>
      <c r="Z38" s="0" t="s">
        <v>5307</v>
      </c>
      <c r="AA38" s="0" t="s">
        <v>5308</v>
      </c>
      <c r="AB38" s="0" t="s">
        <v>5309</v>
      </c>
      <c r="AC38" s="0" t="s">
        <v>63</v>
      </c>
      <c r="AD38" s="0" t="s">
        <v>63</v>
      </c>
      <c r="AE38" s="0" t="s">
        <v>63</v>
      </c>
      <c r="AF38" s="0" t="s">
        <v>5378</v>
      </c>
      <c r="AG38" s="0" t="s">
        <v>5379</v>
      </c>
      <c r="AH38" s="0" t="s">
        <v>5378</v>
      </c>
      <c r="AI38" s="0" t="s">
        <v>5379</v>
      </c>
      <c r="AJ38" s="0" t="s">
        <v>5378</v>
      </c>
      <c r="AK38" s="0" t="s">
        <v>5379</v>
      </c>
      <c r="AL38" s="0" t="s">
        <v>5380</v>
      </c>
    </row>
    <row customHeight="1" ht="11.25">
      <c r="A39" s="0" t="s">
        <v>22</v>
      </c>
      <c r="B39" s="0" t="s">
        <v>49</v>
      </c>
      <c r="C39" s="0" t="s">
        <v>51</v>
      </c>
      <c r="D39" s="0" t="s">
        <v>22</v>
      </c>
      <c r="E39" s="0" t="s">
        <v>1165</v>
      </c>
      <c r="F39" s="0" t="s">
        <v>1114</v>
      </c>
      <c r="G39" s="0" t="s">
        <v>113</v>
      </c>
      <c r="H39" s="0" t="s">
        <v>113</v>
      </c>
      <c r="I39" s="0" t="s">
        <v>114</v>
      </c>
      <c r="J39" s="0" t="s">
        <v>1115</v>
      </c>
      <c r="K39" s="0" t="s">
        <v>1116</v>
      </c>
      <c r="L39" s="0" t="s">
        <v>1166</v>
      </c>
      <c r="M39" s="0" t="s">
        <v>1167</v>
      </c>
      <c r="N39" s="0" t="s">
        <v>121</v>
      </c>
      <c r="O39" s="0" t="s">
        <v>113</v>
      </c>
      <c r="P39" s="0" t="s">
        <v>113</v>
      </c>
      <c r="Q39" s="0" t="s">
        <v>114</v>
      </c>
      <c r="R39" s="0" t="s">
        <v>1115</v>
      </c>
      <c r="S39" s="0" t="s">
        <v>1116</v>
      </c>
      <c r="T39" s="0" t="s">
        <v>5304</v>
      </c>
      <c r="U39" s="0" t="s">
        <v>5305</v>
      </c>
      <c r="V39" s="0" t="s">
        <v>602</v>
      </c>
      <c r="W39" s="0" t="s">
        <v>5293</v>
      </c>
      <c r="X39" s="0" t="s">
        <v>5306</v>
      </c>
      <c r="Y39" s="0" t="s">
        <v>5305</v>
      </c>
      <c r="Z39" s="0" t="s">
        <v>5307</v>
      </c>
      <c r="AA39" s="0" t="s">
        <v>5308</v>
      </c>
      <c r="AB39" s="0" t="s">
        <v>5309</v>
      </c>
      <c r="AC39" s="0" t="s">
        <v>63</v>
      </c>
      <c r="AD39" s="0" t="s">
        <v>63</v>
      </c>
      <c r="AE39" s="0" t="s">
        <v>63</v>
      </c>
      <c r="AF39" s="0" t="s">
        <v>5378</v>
      </c>
      <c r="AG39" s="0" t="s">
        <v>5381</v>
      </c>
      <c r="AH39" s="0" t="s">
        <v>5378</v>
      </c>
      <c r="AI39" s="0" t="s">
        <v>5381</v>
      </c>
      <c r="AJ39" s="0" t="s">
        <v>5378</v>
      </c>
      <c r="AK39" s="0" t="s">
        <v>5381</v>
      </c>
      <c r="AL39" s="0" t="s">
        <v>5380</v>
      </c>
    </row>
    <row customHeight="1" ht="11.25">
      <c r="A40" s="0" t="s">
        <v>22</v>
      </c>
      <c r="B40" s="0" t="s">
        <v>49</v>
      </c>
      <c r="C40" s="0" t="s">
        <v>51</v>
      </c>
      <c r="D40" s="0" t="s">
        <v>22</v>
      </c>
      <c r="E40" s="0" t="s">
        <v>5382</v>
      </c>
      <c r="F40" s="0" t="s">
        <v>1177</v>
      </c>
      <c r="G40" s="0" t="s">
        <v>113</v>
      </c>
      <c r="H40" s="0" t="s">
        <v>113</v>
      </c>
      <c r="I40" s="0" t="s">
        <v>114</v>
      </c>
      <c r="J40" s="0" t="s">
        <v>1115</v>
      </c>
      <c r="K40" s="0" t="s">
        <v>1116</v>
      </c>
      <c r="L40" s="0" t="s">
        <v>1178</v>
      </c>
      <c r="M40" s="0" t="s">
        <v>1178</v>
      </c>
      <c r="N40" s="0" t="s">
        <v>121</v>
      </c>
      <c r="O40" s="0" t="s">
        <v>113</v>
      </c>
      <c r="P40" s="0" t="s">
        <v>113</v>
      </c>
      <c r="Q40" s="0" t="s">
        <v>114</v>
      </c>
      <c r="R40" s="0" t="s">
        <v>1115</v>
      </c>
      <c r="S40" s="0" t="s">
        <v>1116</v>
      </c>
      <c r="T40" s="0" t="s">
        <v>5304</v>
      </c>
      <c r="U40" s="0" t="s">
        <v>5362</v>
      </c>
      <c r="V40" s="0" t="s">
        <v>602</v>
      </c>
      <c r="W40" s="0" t="s">
        <v>5293</v>
      </c>
      <c r="X40" s="0" t="s">
        <v>5363</v>
      </c>
      <c r="Y40" s="0" t="s">
        <v>5362</v>
      </c>
      <c r="Z40" s="0" t="s">
        <v>5364</v>
      </c>
      <c r="AA40" s="0" t="s">
        <v>5365</v>
      </c>
      <c r="AB40" s="0" t="s">
        <v>5366</v>
      </c>
      <c r="AC40" s="0" t="s">
        <v>19</v>
      </c>
      <c r="AD40" s="0" t="s">
        <v>63</v>
      </c>
      <c r="AE40" s="0" t="s">
        <v>63</v>
      </c>
      <c r="AF40" s="0" t="s">
        <v>22</v>
      </c>
      <c r="AG40" s="0" t="s">
        <v>22</v>
      </c>
      <c r="AH40" s="0" t="s">
        <v>5367</v>
      </c>
      <c r="AI40" s="0" t="s">
        <v>5367</v>
      </c>
      <c r="AJ40" s="0" t="s">
        <v>5367</v>
      </c>
      <c r="AK40" s="0" t="s">
        <v>5367</v>
      </c>
      <c r="AL40" s="0" t="s">
        <v>22</v>
      </c>
    </row>
    <row customHeight="1" ht="11.25">
      <c r="A41" s="0" t="s">
        <v>22</v>
      </c>
      <c r="B41" s="0" t="s">
        <v>49</v>
      </c>
      <c r="C41" s="0" t="s">
        <v>51</v>
      </c>
      <c r="D41" s="0" t="s">
        <v>22</v>
      </c>
      <c r="E41" s="0" t="s">
        <v>5382</v>
      </c>
      <c r="F41" s="0" t="s">
        <v>1177</v>
      </c>
      <c r="G41" s="0" t="s">
        <v>113</v>
      </c>
      <c r="H41" s="0" t="s">
        <v>113</v>
      </c>
      <c r="I41" s="0" t="s">
        <v>114</v>
      </c>
      <c r="J41" s="0" t="s">
        <v>1115</v>
      </c>
      <c r="K41" s="0" t="s">
        <v>1116</v>
      </c>
      <c r="L41" s="0" t="s">
        <v>1178</v>
      </c>
      <c r="M41" s="0" t="s">
        <v>1178</v>
      </c>
      <c r="N41" s="0" t="s">
        <v>121</v>
      </c>
      <c r="O41" s="0" t="s">
        <v>113</v>
      </c>
      <c r="P41" s="0" t="s">
        <v>113</v>
      </c>
      <c r="Q41" s="0" t="s">
        <v>114</v>
      </c>
      <c r="R41" s="0" t="s">
        <v>1115</v>
      </c>
      <c r="S41" s="0" t="s">
        <v>1116</v>
      </c>
      <c r="T41" s="0" t="s">
        <v>5304</v>
      </c>
      <c r="U41" s="0" t="s">
        <v>5362</v>
      </c>
      <c r="V41" s="0" t="s">
        <v>602</v>
      </c>
      <c r="W41" s="0" t="s">
        <v>5293</v>
      </c>
      <c r="X41" s="0" t="s">
        <v>5363</v>
      </c>
      <c r="Y41" s="0" t="s">
        <v>5362</v>
      </c>
      <c r="Z41" s="0" t="s">
        <v>5364</v>
      </c>
      <c r="AA41" s="0" t="s">
        <v>5365</v>
      </c>
      <c r="AB41" s="0" t="s">
        <v>5366</v>
      </c>
      <c r="AC41" s="0" t="s">
        <v>19</v>
      </c>
      <c r="AD41" s="0" t="s">
        <v>63</v>
      </c>
      <c r="AE41" s="0" t="s">
        <v>63</v>
      </c>
      <c r="AF41" s="0" t="s">
        <v>22</v>
      </c>
      <c r="AG41" s="0" t="s">
        <v>22</v>
      </c>
      <c r="AH41" s="0" t="s">
        <v>5367</v>
      </c>
      <c r="AI41" s="0" t="s">
        <v>5367</v>
      </c>
      <c r="AJ41" s="0" t="s">
        <v>5367</v>
      </c>
      <c r="AK41" s="0" t="s">
        <v>5367</v>
      </c>
      <c r="AL41" s="0" t="s">
        <v>22</v>
      </c>
    </row>
    <row customHeight="1" ht="11.25">
      <c r="A42" s="0" t="s">
        <v>22</v>
      </c>
      <c r="B42" s="0" t="s">
        <v>49</v>
      </c>
      <c r="C42" s="0" t="s">
        <v>51</v>
      </c>
      <c r="D42" s="0" t="s">
        <v>22</v>
      </c>
      <c r="E42" s="0" t="s">
        <v>133</v>
      </c>
      <c r="F42" s="0" t="s">
        <v>1114</v>
      </c>
      <c r="G42" s="0" t="s">
        <v>109</v>
      </c>
      <c r="H42" s="0" t="s">
        <v>109</v>
      </c>
      <c r="I42" s="0" t="s">
        <v>110</v>
      </c>
      <c r="J42" s="0" t="s">
        <v>1192</v>
      </c>
      <c r="K42" s="0" t="s">
        <v>1193</v>
      </c>
      <c r="L42" s="0" t="s">
        <v>1194</v>
      </c>
      <c r="M42" s="0" t="s">
        <v>1195</v>
      </c>
      <c r="N42" s="0" t="s">
        <v>121</v>
      </c>
      <c r="O42" s="0" t="s">
        <v>109</v>
      </c>
      <c r="P42" s="0" t="s">
        <v>109</v>
      </c>
      <c r="Q42" s="0" t="s">
        <v>110</v>
      </c>
      <c r="R42" s="0" t="s">
        <v>1192</v>
      </c>
      <c r="S42" s="0" t="s">
        <v>1193</v>
      </c>
      <c r="T42" s="0" t="s">
        <v>5291</v>
      </c>
      <c r="U42" s="0" t="s">
        <v>5292</v>
      </c>
      <c r="V42" s="0" t="s">
        <v>602</v>
      </c>
      <c r="W42" s="0" t="s">
        <v>5293</v>
      </c>
      <c r="X42" s="0" t="s">
        <v>5294</v>
      </c>
      <c r="Y42" s="0" t="s">
        <v>5295</v>
      </c>
      <c r="Z42" s="0" t="s">
        <v>5383</v>
      </c>
      <c r="AA42" s="0" t="s">
        <v>5384</v>
      </c>
      <c r="AB42" s="0" t="s">
        <v>5298</v>
      </c>
      <c r="AC42" s="0" t="s">
        <v>63</v>
      </c>
      <c r="AD42" s="0" t="s">
        <v>63</v>
      </c>
      <c r="AE42" s="0" t="s">
        <v>63</v>
      </c>
      <c r="AF42" s="0" t="s">
        <v>4459</v>
      </c>
      <c r="AG42" s="0" t="s">
        <v>5385</v>
      </c>
      <c r="AH42" s="0" t="s">
        <v>4459</v>
      </c>
      <c r="AI42" s="0" t="s">
        <v>5385</v>
      </c>
      <c r="AJ42" s="0" t="s">
        <v>4459</v>
      </c>
      <c r="AK42" s="0" t="s">
        <v>5385</v>
      </c>
      <c r="AL42" s="0" t="s">
        <v>5300</v>
      </c>
    </row>
    <row customHeight="1" ht="11.25">
      <c r="A43" s="0" t="s">
        <v>22</v>
      </c>
      <c r="B43" s="0" t="s">
        <v>49</v>
      </c>
      <c r="C43" s="0" t="s">
        <v>51</v>
      </c>
      <c r="D43" s="0" t="s">
        <v>22</v>
      </c>
      <c r="E43" s="0" t="s">
        <v>133</v>
      </c>
      <c r="F43" s="0" t="s">
        <v>1114</v>
      </c>
      <c r="G43" s="0" t="s">
        <v>109</v>
      </c>
      <c r="H43" s="0" t="s">
        <v>109</v>
      </c>
      <c r="I43" s="0" t="s">
        <v>110</v>
      </c>
      <c r="J43" s="0" t="s">
        <v>1192</v>
      </c>
      <c r="K43" s="0" t="s">
        <v>1193</v>
      </c>
      <c r="L43" s="0" t="s">
        <v>1194</v>
      </c>
      <c r="M43" s="0" t="s">
        <v>1195</v>
      </c>
      <c r="N43" s="0" t="s">
        <v>121</v>
      </c>
      <c r="O43" s="0" t="s">
        <v>109</v>
      </c>
      <c r="P43" s="0" t="s">
        <v>109</v>
      </c>
      <c r="Q43" s="0" t="s">
        <v>110</v>
      </c>
      <c r="R43" s="0" t="s">
        <v>1192</v>
      </c>
      <c r="S43" s="0" t="s">
        <v>1193</v>
      </c>
      <c r="T43" s="0" t="s">
        <v>5291</v>
      </c>
      <c r="U43" s="0" t="s">
        <v>5292</v>
      </c>
      <c r="V43" s="0" t="s">
        <v>602</v>
      </c>
      <c r="W43" s="0" t="s">
        <v>5293</v>
      </c>
      <c r="X43" s="0" t="s">
        <v>5294</v>
      </c>
      <c r="Y43" s="0" t="s">
        <v>5295</v>
      </c>
      <c r="Z43" s="0" t="s">
        <v>5383</v>
      </c>
      <c r="AA43" s="0" t="s">
        <v>5384</v>
      </c>
      <c r="AB43" s="0" t="s">
        <v>5298</v>
      </c>
      <c r="AC43" s="0" t="s">
        <v>63</v>
      </c>
      <c r="AD43" s="0" t="s">
        <v>63</v>
      </c>
      <c r="AE43" s="0" t="s">
        <v>63</v>
      </c>
      <c r="AF43" s="0" t="s">
        <v>4459</v>
      </c>
      <c r="AG43" s="0" t="s">
        <v>5386</v>
      </c>
      <c r="AH43" s="0" t="s">
        <v>4459</v>
      </c>
      <c r="AI43" s="0" t="s">
        <v>5387</v>
      </c>
      <c r="AJ43" s="0" t="s">
        <v>4459</v>
      </c>
      <c r="AK43" s="0" t="s">
        <v>5387</v>
      </c>
      <c r="AL43" s="0" t="s">
        <v>5300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30252E-0DA2-680A-DBFE-0.029DF9E8}"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7486" width="9.140625" hidden="1" customWidth="1"/>
    <col min="2" max="2" style="7235" width="9.140625" hidden="1" customWidth="1"/>
    <col min="3" max="3" style="7758" width="3.00390625" customWidth="1"/>
    <col min="4" max="4" style="7235" width="5.00390625" customWidth="1"/>
    <col min="5" max="5" style="7235" width="48.00390625" customWidth="1"/>
    <col min="6" max="6" style="7235" width="38.00390625" customWidth="1"/>
    <col min="7" max="7" style="7235" width="1.7109375" hidden="1" customWidth="1"/>
    <col min="8" max="11" style="7235" width="19.8515625" customWidth="1"/>
    <col min="12" max="12" style="7235" width="9.7109375" customWidth="1"/>
    <col min="13" max="18" style="7235" width="19.8515625" customWidth="1"/>
    <col min="19" max="19" style="7235" width="1.7109375" hidden="1" customWidth="1"/>
    <col min="20" max="22" style="7235" width="19.8515625" hidden="1" customWidth="1"/>
    <col min="23" max="23" style="7235" width="1.7109375" hidden="1" customWidth="1"/>
    <col min="24" max="26" style="7235" width="19.8515625" hidden="1" customWidth="1"/>
    <col min="27" max="27" style="7235" width="1.7109375" hidden="1" customWidth="1"/>
    <col min="28" max="29" style="7235" width="19.8515625" hidden="1" customWidth="1"/>
    <col min="30" max="30" style="7235" width="1.7109375" hidden="1" customWidth="1"/>
    <col min="31" max="31" style="7235" width="103.7109375" customWidth="1"/>
    <col min="32" max="34" style="7235" width="103.7109375" hidden="1" customWidth="1"/>
    <col min="35" max="35" style="6055" width="3.00390625" customWidth="1"/>
    <col min="36" max="38" style="6720" width="10.00390625" customWidth="1"/>
    <col min="39" max="39" style="6720" width="13.7109375" hidden="1" customWidth="1"/>
    <col min="40" max="40" style="6720" width="15.00390625" customWidth="1"/>
    <col min="41" max="41" style="6720" width="16.00390625" customWidth="1"/>
    <col min="42" max="45" style="6720" width="10.00390625" customWidth="1"/>
    <col min="46" max="46" style="7235" width="10.57421875" hidden="1"/>
  </cols>
  <sheetData>
    <row customHeight="1" ht="22.5" hidden="1">
      <c r="E1" s="558"/>
      <c r="F1" s="558"/>
      <c r="G1" s="558"/>
      <c r="H1" s="2376" t="s">
        <v>374</v>
      </c>
      <c r="I1" s="2376"/>
      <c r="J1" s="2376"/>
      <c r="K1" s="2376"/>
      <c r="L1" s="2376"/>
      <c r="M1" s="2376"/>
      <c r="N1" s="2376"/>
      <c r="O1" s="2376"/>
      <c r="P1" s="2376"/>
      <c r="Q1" s="2376"/>
      <c r="R1" s="2376"/>
      <c r="T1" s="2376" t="s">
        <v>375</v>
      </c>
      <c r="U1" s="2376"/>
      <c r="V1" s="2376"/>
      <c r="X1" s="2376" t="s">
        <v>376</v>
      </c>
      <c r="Y1" s="2376"/>
      <c r="Z1" s="2376"/>
      <c r="AB1" s="2376" t="s">
        <v>377</v>
      </c>
      <c r="AC1" s="2376"/>
      <c r="AT1" s="593" t="s">
        <v>14</v>
      </c>
    </row>
    <row customHeight="1" ht="14.25" hidden="1">
      <c r="AT2" s="593">
        <v>0</v>
      </c>
    </row>
    <row s="6070" customFormat="1" customHeight="1" ht="5.25">
      <c r="C3" s="847"/>
      <c r="D3" s="848"/>
      <c r="E3" s="848"/>
      <c r="F3" s="848"/>
      <c r="G3" s="848"/>
      <c r="H3" s="848" t="s">
        <v>378</v>
      </c>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J3" s="657"/>
      <c r="AK3" s="657"/>
      <c r="AL3" s="657"/>
      <c r="AM3" s="657"/>
      <c r="AN3" s="657"/>
      <c r="AO3" s="657"/>
      <c r="AP3" s="657"/>
      <c r="AQ3" s="657"/>
      <c r="AR3" s="657"/>
      <c r="AS3" s="657"/>
      <c r="AT3" s="846">
        <v>5</v>
      </c>
    </row>
    <row customHeight="1" ht="39.75">
      <c r="C4" s="596"/>
      <c r="D4" s="231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17"/>
      <c r="F4" s="2317"/>
      <c r="G4" s="2317"/>
      <c r="H4" s="2317"/>
      <c r="I4" s="2317"/>
      <c r="J4" s="2317"/>
      <c r="K4" s="2317"/>
      <c r="L4" s="2317"/>
      <c r="M4" s="2317"/>
      <c r="N4" s="2317"/>
      <c r="O4" s="2317"/>
      <c r="P4" s="2317"/>
      <c r="Q4" s="2317"/>
      <c r="R4" s="2318"/>
      <c r="S4" s="999"/>
      <c r="T4" s="845"/>
      <c r="U4" s="845"/>
      <c r="V4" s="845"/>
      <c r="W4" s="845"/>
      <c r="X4" s="845"/>
      <c r="Y4" s="845"/>
      <c r="Z4" s="845"/>
      <c r="AA4" s="845"/>
      <c r="AB4" s="845"/>
      <c r="AC4" s="845"/>
      <c r="AD4" s="845"/>
      <c r="AE4" s="637"/>
      <c r="AF4" s="637"/>
      <c r="AG4" s="637"/>
      <c r="AH4" s="637"/>
      <c r="AI4" s="634"/>
      <c r="AT4" s="593">
        <v>38</v>
      </c>
    </row>
    <row s="7235" customFormat="1" customHeight="1" ht="18">
      <c r="A5" s="905"/>
      <c r="C5" s="968"/>
      <c r="D5" s="2373" t="str">
        <f>IF(org=0,"Не определено",org)</f>
        <v>ПАО "ТГК-14"</v>
      </c>
      <c r="E5" s="2374"/>
      <c r="F5" s="2374"/>
      <c r="G5" s="2374"/>
      <c r="H5" s="2374"/>
      <c r="I5" s="2374"/>
      <c r="J5" s="2374"/>
      <c r="K5" s="2374"/>
      <c r="L5" s="2374"/>
      <c r="M5" s="2374"/>
      <c r="N5" s="2374"/>
      <c r="O5" s="2374"/>
      <c r="P5" s="2374"/>
      <c r="Q5" s="2374"/>
      <c r="R5" s="2375"/>
      <c r="S5" s="999"/>
      <c r="T5" s="845"/>
      <c r="U5" s="845"/>
      <c r="V5" s="845"/>
      <c r="W5" s="845"/>
      <c r="X5" s="845"/>
      <c r="Y5" s="845"/>
      <c r="Z5" s="845"/>
      <c r="AA5" s="845"/>
      <c r="AB5" s="845"/>
      <c r="AC5" s="845"/>
      <c r="AD5" s="845"/>
      <c r="AE5" s="637"/>
      <c r="AF5" s="637"/>
      <c r="AG5" s="637"/>
      <c r="AH5" s="637"/>
      <c r="AI5" s="634"/>
      <c r="AJ5" s="657"/>
      <c r="AK5" s="657"/>
      <c r="AL5" s="657"/>
      <c r="AM5" s="657"/>
      <c r="AN5" s="657"/>
      <c r="AO5" s="657"/>
      <c r="AP5" s="657"/>
      <c r="AQ5" s="657"/>
      <c r="AR5" s="657"/>
      <c r="AS5" s="657"/>
      <c r="AT5" s="904">
        <v>17</v>
      </c>
    </row>
    <row s="6075" customFormat="1" customHeight="1" ht="11.549999999999999">
      <c r="A6" s="625"/>
      <c r="C6" s="632"/>
      <c r="D6" s="631"/>
      <c r="E6" s="631"/>
      <c r="F6" s="631"/>
      <c r="G6" s="631"/>
      <c r="H6" s="631"/>
      <c r="I6" s="631"/>
      <c r="J6" s="631"/>
      <c r="K6" s="631"/>
      <c r="L6" s="631"/>
      <c r="M6" s="631"/>
      <c r="N6" s="631"/>
      <c r="O6" s="631"/>
      <c r="P6" s="631"/>
      <c r="Q6" s="631"/>
      <c r="R6" s="898"/>
      <c r="S6" s="898"/>
      <c r="T6" s="631"/>
      <c r="U6" s="631"/>
      <c r="V6" s="858"/>
      <c r="W6" s="858"/>
      <c r="X6" s="631"/>
      <c r="Y6" s="631"/>
      <c r="Z6" s="858"/>
      <c r="AA6" s="858"/>
      <c r="AB6" s="631"/>
      <c r="AC6" s="858"/>
      <c r="AD6" s="858"/>
      <c r="AE6" s="631"/>
      <c r="AF6" s="631"/>
      <c r="AG6" s="631"/>
      <c r="AH6" s="631"/>
      <c r="AJ6" s="635"/>
      <c r="AK6" s="635"/>
      <c r="AL6" s="635"/>
      <c r="AM6" s="635"/>
      <c r="AN6" s="635"/>
      <c r="AO6" s="635"/>
      <c r="AP6" s="635"/>
      <c r="AQ6" s="635"/>
      <c r="AR6" s="635"/>
      <c r="AS6" s="635"/>
      <c r="AT6" s="626">
        <v>11</v>
      </c>
    </row>
    <row customHeight="1" ht="14.699999999999998">
      <c r="C7" s="596"/>
      <c r="D7" s="2377" t="s">
        <v>322</v>
      </c>
      <c r="E7" s="2378"/>
      <c r="F7" s="2378"/>
      <c r="G7" s="2378"/>
      <c r="H7" s="2378"/>
      <c r="I7" s="2378"/>
      <c r="J7" s="2378"/>
      <c r="K7" s="2378"/>
      <c r="L7" s="2378"/>
      <c r="M7" s="2378"/>
      <c r="N7" s="2378"/>
      <c r="O7" s="2378"/>
      <c r="P7" s="2378"/>
      <c r="Q7" s="2378"/>
      <c r="R7" s="2378"/>
      <c r="S7" s="2378"/>
      <c r="T7" s="2378"/>
      <c r="U7" s="2378"/>
      <c r="V7" s="2378"/>
      <c r="W7" s="2378"/>
      <c r="X7" s="2378"/>
      <c r="Y7" s="2378"/>
      <c r="Z7" s="2378"/>
      <c r="AA7" s="2378"/>
      <c r="AB7" s="2378"/>
      <c r="AC7" s="2378"/>
      <c r="AD7" s="2379"/>
      <c r="AE7" s="2382" t="s">
        <v>323</v>
      </c>
      <c r="AF7" s="2382" t="s">
        <v>323</v>
      </c>
      <c r="AG7" s="2382" t="s">
        <v>323</v>
      </c>
      <c r="AH7" s="2382" t="s">
        <v>323</v>
      </c>
      <c r="AT7" s="593">
        <v>14</v>
      </c>
    </row>
    <row customHeight="1" ht="27.299999999999997">
      <c r="C8" s="596"/>
      <c r="D8" s="2286" t="s">
        <v>89</v>
      </c>
      <c r="E8" s="2382" t="str">
        <f>"Наименование "&amp;IF(TEMPLATE_SPHERE&lt;&gt;"HEAT","централизованной ","")&amp;"системы "&amp;TEMPLATE_SPHERE_RUS</f>
        <v>Наименование системы теплоснабжения</v>
      </c>
      <c r="F8" s="2382" t="str">
        <f>IF(TEMPLATE_SPHERE&lt;&gt;"HEAT","Регулируемый вид деятельности","Вид регулируемой деятельности")</f>
        <v>Вид регулируемой деятельности</v>
      </c>
      <c r="G8" s="974"/>
      <c r="H8" s="2383" t="s">
        <v>379</v>
      </c>
      <c r="I8" s="2385" t="s">
        <v>380</v>
      </c>
      <c r="J8" s="2382" t="s">
        <v>381</v>
      </c>
      <c r="K8" s="2382"/>
      <c r="L8" s="2382"/>
      <c r="M8" s="2377"/>
      <c r="N8" s="2382" t="s">
        <v>382</v>
      </c>
      <c r="O8" s="2382"/>
      <c r="P8" s="2382" t="s">
        <v>383</v>
      </c>
      <c r="Q8" s="2382"/>
      <c r="R8" s="2389" t="s">
        <v>384</v>
      </c>
      <c r="S8" s="970"/>
      <c r="T8" s="2387" t="s">
        <v>385</v>
      </c>
      <c r="U8" s="2387" t="s">
        <v>386</v>
      </c>
      <c r="V8" s="2387" t="s">
        <v>387</v>
      </c>
      <c r="W8" s="972"/>
      <c r="X8" s="2387" t="s">
        <v>388</v>
      </c>
      <c r="Y8" s="2387" t="s">
        <v>389</v>
      </c>
      <c r="Z8" s="2387" t="s">
        <v>390</v>
      </c>
      <c r="AA8" s="972"/>
      <c r="AB8" s="2387" t="s">
        <v>391</v>
      </c>
      <c r="AC8" s="2387" t="s">
        <v>384</v>
      </c>
      <c r="AD8" s="972"/>
      <c r="AE8" s="2382"/>
      <c r="AF8" s="2382"/>
      <c r="AG8" s="2382"/>
      <c r="AH8" s="2382"/>
      <c r="AT8" s="593">
        <v>26</v>
      </c>
    </row>
    <row customHeight="1" ht="46.199999999999996">
      <c r="C9" s="596"/>
      <c r="D9" s="2286"/>
      <c r="E9" s="2382"/>
      <c r="F9" s="2382"/>
      <c r="G9" s="975"/>
      <c r="H9" s="2384"/>
      <c r="I9" s="2386"/>
      <c r="J9" s="571" t="s">
        <v>392</v>
      </c>
      <c r="K9" s="571" t="s">
        <v>393</v>
      </c>
      <c r="L9" s="571" t="s">
        <v>394</v>
      </c>
      <c r="M9" s="577" t="s">
        <v>395</v>
      </c>
      <c r="N9" s="571" t="s">
        <v>396</v>
      </c>
      <c r="O9" s="571" t="s">
        <v>395</v>
      </c>
      <c r="P9" s="571" t="s">
        <v>397</v>
      </c>
      <c r="Q9" s="571" t="s">
        <v>395</v>
      </c>
      <c r="R9" s="2390"/>
      <c r="S9" s="971"/>
      <c r="T9" s="2388"/>
      <c r="U9" s="2388"/>
      <c r="V9" s="2388"/>
      <c r="W9" s="973"/>
      <c r="X9" s="2388"/>
      <c r="Y9" s="2388"/>
      <c r="Z9" s="2388"/>
      <c r="AA9" s="973"/>
      <c r="AB9" s="2388"/>
      <c r="AC9" s="2388"/>
      <c r="AD9" s="973"/>
      <c r="AE9" s="2382"/>
      <c r="AF9" s="2382"/>
      <c r="AG9" s="2382"/>
      <c r="AH9" s="2382"/>
      <c r="AT9" s="593">
        <v>44</v>
      </c>
    </row>
    <row customHeight="1" ht="12" hidden="1">
      <c r="C10" s="633"/>
      <c r="D10" s="594"/>
      <c r="E10" s="594"/>
      <c r="F10" s="594"/>
      <c r="G10" s="594"/>
      <c r="H10" s="594"/>
      <c r="I10" s="594"/>
      <c r="J10" s="594"/>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3"/>
      <c r="AP10" s="646"/>
      <c r="AQ10" s="646"/>
      <c r="AT10" s="593">
        <v>0</v>
      </c>
    </row>
    <row s="6314" customFormat="1" customHeight="1" ht="11.25" hidden="1">
      <c r="C11" s="644"/>
      <c r="D11" s="645" t="s">
        <v>398</v>
      </c>
      <c r="E11" s="645"/>
      <c r="F11" s="645"/>
      <c r="G11" s="645"/>
      <c r="H11" s="643"/>
      <c r="I11" s="643"/>
      <c r="J11" s="643"/>
      <c r="K11" s="643"/>
      <c r="L11" s="643"/>
      <c r="M11" s="643"/>
      <c r="N11" s="643"/>
      <c r="O11" s="643"/>
      <c r="P11" s="643"/>
      <c r="Q11" s="643"/>
      <c r="R11" s="643"/>
      <c r="S11" s="643"/>
      <c r="T11" s="643"/>
      <c r="U11" s="643"/>
      <c r="V11" s="643"/>
      <c r="W11" s="643"/>
      <c r="X11" s="643"/>
      <c r="Y11" s="643"/>
      <c r="Z11" s="643"/>
      <c r="AA11" s="643"/>
      <c r="AB11" s="643"/>
      <c r="AC11" s="643"/>
      <c r="AD11" s="643"/>
      <c r="AE11" s="581"/>
      <c r="AF11" s="581"/>
      <c r="AG11" s="581"/>
      <c r="AH11" s="581"/>
      <c r="AJ11" s="635"/>
      <c r="AK11" s="635"/>
      <c r="AL11" s="635"/>
      <c r="AM11" s="635"/>
      <c r="AN11" s="635"/>
      <c r="AO11" s="635"/>
      <c r="AP11" s="635"/>
      <c r="AQ11" s="635"/>
      <c r="AR11" s="635"/>
      <c r="AS11" s="635"/>
      <c r="AT11" s="642">
        <v>0</v>
      </c>
    </row>
    <row customHeight="1" ht="14.699999999999998">
      <c r="A12" s="593"/>
      <c r="C12" s="596"/>
      <c r="D12" s="580" t="s">
        <v>121</v>
      </c>
      <c r="E12" s="1922" t="s">
        <v>22</v>
      </c>
      <c r="F12" s="1001"/>
      <c r="G12" s="1002"/>
      <c r="H12" s="1923"/>
      <c r="I12" s="1923"/>
      <c r="J12" s="579"/>
      <c r="K12" s="2006"/>
      <c r="L12" s="578"/>
      <c r="M12" s="2006"/>
      <c r="N12" s="579"/>
      <c r="O12" s="2006"/>
      <c r="P12" s="579"/>
      <c r="Q12" s="2006"/>
      <c r="R12" s="579"/>
      <c r="S12" s="1000"/>
      <c r="T12" s="1923"/>
      <c r="U12" s="579"/>
      <c r="V12" s="579"/>
      <c r="W12" s="973"/>
      <c r="X12" s="1923"/>
      <c r="Y12" s="579"/>
      <c r="Z12" s="579"/>
      <c r="AA12" s="973"/>
      <c r="AB12" s="1923"/>
      <c r="AC12" s="579"/>
      <c r="AD12" s="973"/>
      <c r="AE12" s="2380" t="s">
        <v>399</v>
      </c>
      <c r="AF12" s="2380" t="s">
        <v>400</v>
      </c>
      <c r="AG12" s="2380" t="s">
        <v>401</v>
      </c>
      <c r="AH12" s="2380" t="s">
        <v>402</v>
      </c>
      <c r="AI12" s="593"/>
      <c r="AM12" s="657"/>
      <c r="AP12" s="646" t="s">
        <v>403</v>
      </c>
      <c r="AQ12" s="646" t="s">
        <v>403</v>
      </c>
      <c r="AT12" s="593">
        <v>14</v>
      </c>
    </row>
    <row customHeight="1" ht="18">
      <c r="A13" s="593"/>
      <c r="C13" s="596"/>
      <c r="D13" s="551"/>
      <c r="E13" s="1015" t="str">
        <f>IF(TITLE_DIFFERENTIATION_TYPE="нет","","Добавить систему")</f>
        <v/>
      </c>
      <c r="F13" s="1015" t="str">
        <f>IF(TITLE_DIFFERENTIATION_TYPE="нет","Добавить вид деятельности","")</f>
        <v>Добавить вид деятельности</v>
      </c>
      <c r="G13" s="459"/>
      <c r="H13" s="552"/>
      <c r="I13" s="552"/>
      <c r="J13" s="552"/>
      <c r="K13" s="552"/>
      <c r="L13" s="552"/>
      <c r="M13" s="552"/>
      <c r="N13" s="552"/>
      <c r="O13" s="552"/>
      <c r="P13" s="552"/>
      <c r="Q13" s="552"/>
      <c r="R13" s="552"/>
      <c r="S13" s="552"/>
      <c r="T13" s="552"/>
      <c r="U13" s="552"/>
      <c r="V13" s="552"/>
      <c r="W13" s="552"/>
      <c r="X13" s="552"/>
      <c r="Y13" s="552"/>
      <c r="Z13" s="552"/>
      <c r="AA13" s="552"/>
      <c r="AB13" s="552"/>
      <c r="AC13" s="552"/>
      <c r="AD13" s="1003"/>
      <c r="AE13" s="2381"/>
      <c r="AF13" s="2381"/>
      <c r="AG13" s="2381"/>
      <c r="AH13" s="2381"/>
      <c r="AI13" s="593"/>
      <c r="AT13" s="593">
        <v>17</v>
      </c>
    </row>
    <row customHeight="1" ht="14.699999999999998">
      <c r="AI14" s="593"/>
      <c r="AT14" s="593">
        <v>14</v>
      </c>
    </row>
    <row customHeight="1" ht="14.699999999999998">
      <c r="E15" s="904"/>
      <c r="L15" s="904"/>
      <c r="AT15" s="593">
        <v>14</v>
      </c>
    </row>
    <row customHeight="1" ht="14.699999999999998">
      <c r="L16" s="904"/>
      <c r="AT16" s="593">
        <v>14</v>
      </c>
    </row>
    <row customHeight="1" ht="14.699999999999998">
      <c r="L17" s="904"/>
      <c r="AT17" s="593">
        <v>14</v>
      </c>
    </row>
    <row customHeight="1" ht="22.5" hidden="1">
      <c r="A18" s="595" t="s">
        <v>83</v>
      </c>
      <c r="B18" s="593">
        <v>0</v>
      </c>
      <c r="C18" s="597">
        <v>3</v>
      </c>
      <c r="D18" s="593">
        <v>5</v>
      </c>
      <c r="E18" s="593">
        <v>48</v>
      </c>
      <c r="F18" s="593">
        <v>38</v>
      </c>
      <c r="G18" s="904">
        <v>0</v>
      </c>
      <c r="H18" s="593">
        <v>0</v>
      </c>
      <c r="I18" s="593">
        <v>0</v>
      </c>
      <c r="J18" s="593">
        <v>0</v>
      </c>
      <c r="K18" s="593">
        <v>0</v>
      </c>
      <c r="L18" s="593">
        <v>0</v>
      </c>
      <c r="M18" s="593">
        <v>0</v>
      </c>
      <c r="N18" s="593">
        <v>0</v>
      </c>
      <c r="O18" s="593">
        <v>0</v>
      </c>
      <c r="P18" s="593">
        <v>0</v>
      </c>
      <c r="Q18" s="593">
        <v>0</v>
      </c>
      <c r="R18" s="593">
        <v>0</v>
      </c>
      <c r="S18" s="904">
        <v>0</v>
      </c>
      <c r="T18" s="651">
        <v>0</v>
      </c>
      <c r="U18" s="651">
        <v>0</v>
      </c>
      <c r="V18" s="651">
        <v>0</v>
      </c>
      <c r="W18" s="904">
        <v>0</v>
      </c>
      <c r="X18" s="651">
        <v>0</v>
      </c>
      <c r="Y18" s="651">
        <v>0</v>
      </c>
      <c r="Z18" s="651">
        <v>0</v>
      </c>
      <c r="AA18" s="904">
        <v>0</v>
      </c>
      <c r="AB18" s="651">
        <v>0</v>
      </c>
      <c r="AC18" s="651">
        <v>0</v>
      </c>
      <c r="AD18" s="904">
        <v>0</v>
      </c>
      <c r="AE18" s="593">
        <v>0</v>
      </c>
      <c r="AF18" s="651">
        <v>0</v>
      </c>
      <c r="AG18" s="651">
        <v>0</v>
      </c>
      <c r="AH18" s="651">
        <v>0</v>
      </c>
      <c r="AI18" s="598">
        <v>3</v>
      </c>
      <c r="AJ18" s="635">
        <v>10</v>
      </c>
      <c r="AK18" s="635">
        <v>10</v>
      </c>
      <c r="AL18" s="635">
        <v>10</v>
      </c>
      <c r="AM18" s="635">
        <v>0</v>
      </c>
      <c r="AN18" s="635">
        <v>15</v>
      </c>
      <c r="AO18" s="635">
        <v>16</v>
      </c>
      <c r="AP18" s="635">
        <v>10</v>
      </c>
      <c r="AQ18" s="635">
        <v>10</v>
      </c>
      <c r="AR18" s="635">
        <v>10</v>
      </c>
      <c r="AS18" s="635">
        <v>10</v>
      </c>
      <c r="AT18" s="593">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911344-2F54-3423-1598-0.62F603AC}"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7964" width="9.140625"/>
  </cols>
  <sheetData>
    <row customHeight="1" ht="11.25">
      <c r="A1" s="329" t="s">
        <v>154</v>
      </c>
      <c r="B1" s="329" t="s">
        <v>5388</v>
      </c>
    </row>
    <row customHeight="1" ht="11.25">
      <c r="A2" s="7964" t="s">
        <v>99</v>
      </c>
      <c r="B2" s="7964" t="s">
        <v>5389</v>
      </c>
    </row>
    <row customHeight="1" ht="11.25">
      <c r="A3" s="7964" t="s">
        <v>107</v>
      </c>
      <c r="B3" s="7964" t="s">
        <v>5390</v>
      </c>
    </row>
    <row customHeight="1" ht="11.25">
      <c r="A4" s="7964" t="s">
        <v>111</v>
      </c>
      <c r="B4" s="7964" t="s">
        <v>5391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E319B3-4DE8-2729-EA59-0.ACB6D4E3}"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7972" width="9.140625"/>
    <col min="2" max="2" style="7972" width="65.28125" customWidth="1"/>
  </cols>
  <sheetData>
    <row customHeight="1" ht="11.25">
      <c r="A1" s="981" t="s">
        <v>5392</v>
      </c>
      <c r="B1" s="981" t="s">
        <v>5393</v>
      </c>
    </row>
    <row customHeight="1" ht="11.25">
      <c r="A2" s="981">
        <v>4213775</v>
      </c>
      <c r="B2" s="981" t="s">
        <v>1569</v>
      </c>
    </row>
    <row customHeight="1" ht="11.25">
      <c r="A3" s="981">
        <v>4213784</v>
      </c>
      <c r="B3" s="981" t="s">
        <v>1602</v>
      </c>
    </row>
    <row customHeight="1" ht="11.25">
      <c r="A4" s="981">
        <v>4213781</v>
      </c>
      <c r="B4" s="981" t="s">
        <v>1595</v>
      </c>
    </row>
    <row customHeight="1" ht="11.25">
      <c r="A5" s="981">
        <v>4213776</v>
      </c>
      <c r="B5" s="981" t="s">
        <v>190</v>
      </c>
    </row>
    <row customHeight="1" ht="11.25">
      <c r="A6" s="981">
        <v>4213777</v>
      </c>
      <c r="B6" s="981" t="s">
        <v>196</v>
      </c>
    </row>
    <row customHeight="1" ht="11.25">
      <c r="A7" s="981">
        <v>4213778</v>
      </c>
      <c r="B7" s="981" t="s">
        <v>202</v>
      </c>
    </row>
    <row customHeight="1" ht="11.25">
      <c r="A8" s="981">
        <v>4213780</v>
      </c>
      <c r="B8" s="981" t="s">
        <v>208</v>
      </c>
    </row>
    <row customHeight="1" ht="11.25">
      <c r="A9" s="981">
        <v>4213779</v>
      </c>
      <c r="B9" s="981" t="s">
        <v>1730</v>
      </c>
    </row>
    <row customHeight="1" ht="11.25">
      <c r="A10" s="981">
        <v>4213783</v>
      </c>
      <c r="B10" s="981" t="s">
        <v>1744</v>
      </c>
    </row>
    <row customHeight="1" ht="11.25">
      <c r="A11" s="981">
        <v>4213782</v>
      </c>
      <c r="B11" s="981" t="s">
        <v>214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FBE16B-84BD-FA24-FAAE-0.866EE9D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7972" width="9.140625"/>
    <col min="2" max="2" style="7972" width="65.28125" customWidth="1"/>
  </cols>
  <sheetData>
    <row customHeight="1" ht="11.25">
      <c r="A1" s="981" t="s">
        <v>5392</v>
      </c>
      <c r="B1" s="981" t="s">
        <v>5394</v>
      </c>
    </row>
    <row customHeight="1" ht="11.25">
      <c r="A2" s="981" t="s">
        <v>5395</v>
      </c>
      <c r="B2" s="981" t="s">
        <v>1832</v>
      </c>
    </row>
    <row customHeight="1" ht="11.25">
      <c r="A3" s="981" t="s">
        <v>5396</v>
      </c>
      <c r="B3" s="981" t="s">
        <v>1841</v>
      </c>
    </row>
    <row customHeight="1" ht="11.25">
      <c r="A4" s="981" t="s">
        <v>5397</v>
      </c>
      <c r="B4" s="981" t="s">
        <v>1849</v>
      </c>
    </row>
    <row customHeight="1" ht="11.25">
      <c r="A5" s="981" t="s">
        <v>140</v>
      </c>
      <c r="B5" s="981" t="s">
        <v>1858</v>
      </c>
    </row>
    <row customHeight="1" ht="11.25">
      <c r="A6" s="981" t="s">
        <v>5398</v>
      </c>
      <c r="B6" s="981" t="s">
        <v>1863</v>
      </c>
    </row>
    <row customHeight="1" ht="11.25">
      <c r="A7" s="981" t="s">
        <v>5399</v>
      </c>
      <c r="B7" s="981" t="s">
        <v>1870</v>
      </c>
    </row>
    <row customHeight="1" ht="11.25">
      <c r="A8" s="981" t="s">
        <v>5400</v>
      </c>
      <c r="B8" s="981" t="s">
        <v>1876</v>
      </c>
    </row>
    <row customHeight="1" ht="11.25">
      <c r="A9" s="981" t="s">
        <v>5401</v>
      </c>
      <c r="B9" s="981" t="s">
        <v>1881</v>
      </c>
    </row>
    <row customHeight="1" ht="11.25">
      <c r="A10" s="981" t="s">
        <v>5402</v>
      </c>
      <c r="B10" s="981" t="s">
        <v>1884</v>
      </c>
    </row>
    <row customHeight="1" ht="11.25">
      <c r="A11" s="981" t="s">
        <v>5403</v>
      </c>
      <c r="B11" s="981" t="s">
        <v>1890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DD25CE-1A9D-3F07-718E-0.BF105AC2}" mc:Ignorable="x14ac xr xr2 xr3">
  <sheetPr>
    <tabColor rgb="FFFFCC99"/>
  </sheetPr>
  <dimension ref="A1:G355"/>
  <sheetViews>
    <sheetView topLeftCell="A1" showGridLines="0" workbookViewId="0">
      <selection activeCell="A1" sqref="A1"/>
    </sheetView>
  </sheetViews>
  <sheetFormatPr customHeight="1" defaultRowHeight="11.25"/>
  <sheetData>
    <row customHeight="1" ht="11.25">
      <c r="A1" s="519" t="s">
        <v>4185</v>
      </c>
      <c r="B1" s="519" t="s">
        <v>4186</v>
      </c>
      <c r="C1" s="519" t="s">
        <v>4187</v>
      </c>
      <c r="D1" s="519" t="s">
        <v>4188</v>
      </c>
      <c r="E1" s="0" t="s">
        <v>4189</v>
      </c>
      <c r="F1" s="0" t="s">
        <v>4190</v>
      </c>
      <c r="G1" s="0" t="s">
        <v>4191</v>
      </c>
    </row>
    <row customHeight="1" ht="11.25">
      <c r="A2" s="0" t="s">
        <v>16</v>
      </c>
      <c r="B2" s="0" t="s">
        <v>4195</v>
      </c>
      <c r="C2" s="0" t="s">
        <v>4196</v>
      </c>
      <c r="D2" s="0" t="s">
        <v>4195</v>
      </c>
      <c r="E2" s="0" t="s">
        <v>4196</v>
      </c>
      <c r="F2" s="0" t="s">
        <v>4197</v>
      </c>
      <c r="G2" s="0" t="s">
        <v>121</v>
      </c>
    </row>
    <row customHeight="1" ht="11.25">
      <c r="A3" s="0" t="s">
        <v>16</v>
      </c>
      <c r="B3" s="0" t="s">
        <v>4195</v>
      </c>
      <c r="C3" s="0" t="s">
        <v>4196</v>
      </c>
      <c r="D3" s="0" t="s">
        <v>4198</v>
      </c>
      <c r="E3" s="0" t="s">
        <v>4199</v>
      </c>
      <c r="F3" s="0" t="s">
        <v>4200</v>
      </c>
      <c r="G3" s="0" t="s">
        <v>105</v>
      </c>
    </row>
    <row customHeight="1" ht="11.25">
      <c r="A4" s="0" t="s">
        <v>16</v>
      </c>
      <c r="B4" s="0" t="s">
        <v>4195</v>
      </c>
      <c r="C4" s="0" t="s">
        <v>4196</v>
      </c>
      <c r="D4" s="0" t="s">
        <v>4201</v>
      </c>
      <c r="E4" s="0" t="s">
        <v>4202</v>
      </c>
      <c r="F4" s="0" t="s">
        <v>4200</v>
      </c>
      <c r="G4" s="0" t="s">
        <v>91</v>
      </c>
    </row>
    <row customHeight="1" ht="11.25">
      <c r="A5" s="0" t="s">
        <v>16</v>
      </c>
      <c r="B5" s="0" t="s">
        <v>4195</v>
      </c>
      <c r="C5" s="0" t="s">
        <v>4196</v>
      </c>
      <c r="D5" s="0" t="s">
        <v>4203</v>
      </c>
      <c r="E5" s="0" t="s">
        <v>4204</v>
      </c>
      <c r="F5" s="0" t="s">
        <v>4200</v>
      </c>
      <c r="G5" s="0" t="s">
        <v>92</v>
      </c>
    </row>
    <row customHeight="1" ht="11.25">
      <c r="A6" s="0" t="s">
        <v>16</v>
      </c>
      <c r="B6" s="0" t="s">
        <v>4195</v>
      </c>
      <c r="C6" s="0" t="s">
        <v>4196</v>
      </c>
      <c r="D6" s="0" t="s">
        <v>4205</v>
      </c>
      <c r="E6" s="0" t="s">
        <v>4206</v>
      </c>
      <c r="F6" s="0" t="s">
        <v>4200</v>
      </c>
      <c r="G6" s="0" t="s">
        <v>122</v>
      </c>
    </row>
    <row customHeight="1" ht="11.25">
      <c r="A7" s="0" t="s">
        <v>16</v>
      </c>
      <c r="B7" s="0" t="s">
        <v>4195</v>
      </c>
      <c r="C7" s="0" t="s">
        <v>4196</v>
      </c>
      <c r="D7" s="0" t="s">
        <v>4207</v>
      </c>
      <c r="E7" s="0" t="s">
        <v>4208</v>
      </c>
      <c r="F7" s="0" t="s">
        <v>4209</v>
      </c>
      <c r="G7" s="0" t="s">
        <v>93</v>
      </c>
    </row>
    <row customHeight="1" ht="11.25">
      <c r="A8" s="0" t="s">
        <v>16</v>
      </c>
      <c r="B8" s="0" t="s">
        <v>4195</v>
      </c>
      <c r="C8" s="0" t="s">
        <v>4196</v>
      </c>
      <c r="D8" s="0" t="s">
        <v>4210</v>
      </c>
      <c r="E8" s="0" t="s">
        <v>4211</v>
      </c>
      <c r="F8" s="0" t="s">
        <v>4209</v>
      </c>
      <c r="G8" s="0" t="s">
        <v>94</v>
      </c>
    </row>
    <row customHeight="1" ht="11.25">
      <c r="A9" s="0" t="s">
        <v>16</v>
      </c>
      <c r="B9" s="0" t="s">
        <v>4195</v>
      </c>
      <c r="C9" s="0" t="s">
        <v>4196</v>
      </c>
      <c r="D9" s="0" t="s">
        <v>4212</v>
      </c>
      <c r="E9" s="0" t="s">
        <v>4213</v>
      </c>
      <c r="F9" s="0" t="s">
        <v>4200</v>
      </c>
      <c r="G9" s="0" t="s">
        <v>123</v>
      </c>
    </row>
    <row customHeight="1" ht="11.25">
      <c r="A10" s="0" t="s">
        <v>16</v>
      </c>
      <c r="B10" s="0" t="s">
        <v>4195</v>
      </c>
      <c r="C10" s="0" t="s">
        <v>4196</v>
      </c>
      <c r="D10" s="0" t="s">
        <v>4214</v>
      </c>
      <c r="E10" s="0" t="s">
        <v>4215</v>
      </c>
      <c r="F10" s="0" t="s">
        <v>4200</v>
      </c>
      <c r="G10" s="0" t="s">
        <v>172</v>
      </c>
    </row>
    <row customHeight="1" ht="11.25">
      <c r="A11" s="0" t="s">
        <v>16</v>
      </c>
      <c r="B11" s="0" t="s">
        <v>4195</v>
      </c>
      <c r="C11" s="0" t="s">
        <v>4196</v>
      </c>
      <c r="D11" s="0" t="s">
        <v>4216</v>
      </c>
      <c r="E11" s="0" t="s">
        <v>4217</v>
      </c>
      <c r="F11" s="0" t="s">
        <v>4200</v>
      </c>
      <c r="G11" s="0" t="s">
        <v>173</v>
      </c>
    </row>
    <row customHeight="1" ht="11.25">
      <c r="A12" s="0" t="s">
        <v>16</v>
      </c>
      <c r="B12" s="0" t="s">
        <v>4195</v>
      </c>
      <c r="C12" s="0" t="s">
        <v>4196</v>
      </c>
      <c r="D12" s="0" t="s">
        <v>4218</v>
      </c>
      <c r="E12" s="0" t="s">
        <v>4219</v>
      </c>
      <c r="F12" s="0" t="s">
        <v>4200</v>
      </c>
      <c r="G12" s="0" t="s">
        <v>174</v>
      </c>
    </row>
    <row customHeight="1" ht="11.25">
      <c r="A13" s="0" t="s">
        <v>16</v>
      </c>
      <c r="B13" s="0" t="s">
        <v>4195</v>
      </c>
      <c r="C13" s="0" t="s">
        <v>4196</v>
      </c>
      <c r="D13" s="0" t="s">
        <v>4220</v>
      </c>
      <c r="E13" s="0" t="s">
        <v>4221</v>
      </c>
      <c r="F13" s="0" t="s">
        <v>4200</v>
      </c>
      <c r="G13" s="0" t="s">
        <v>175</v>
      </c>
    </row>
    <row customHeight="1" ht="11.25">
      <c r="A14" s="0" t="s">
        <v>16</v>
      </c>
      <c r="B14" s="0" t="s">
        <v>4195</v>
      </c>
      <c r="C14" s="0" t="s">
        <v>4196</v>
      </c>
      <c r="D14" s="0" t="s">
        <v>4222</v>
      </c>
      <c r="E14" s="0" t="s">
        <v>4223</v>
      </c>
      <c r="F14" s="0" t="s">
        <v>4200</v>
      </c>
      <c r="G14" s="0" t="s">
        <v>176</v>
      </c>
    </row>
    <row customHeight="1" ht="11.25">
      <c r="A15" s="0" t="s">
        <v>16</v>
      </c>
      <c r="B15" s="0" t="s">
        <v>4195</v>
      </c>
      <c r="C15" s="0" t="s">
        <v>4196</v>
      </c>
      <c r="D15" s="0" t="s">
        <v>4224</v>
      </c>
      <c r="E15" s="0" t="s">
        <v>4225</v>
      </c>
      <c r="F15" s="0" t="s">
        <v>4200</v>
      </c>
      <c r="G15" s="0" t="s">
        <v>177</v>
      </c>
    </row>
    <row customHeight="1" ht="11.25">
      <c r="A16" s="0" t="s">
        <v>16</v>
      </c>
      <c r="B16" s="0" t="s">
        <v>4226</v>
      </c>
      <c r="C16" s="0" t="s">
        <v>4227</v>
      </c>
      <c r="D16" s="0" t="s">
        <v>4226</v>
      </c>
      <c r="E16" s="0" t="s">
        <v>4227</v>
      </c>
      <c r="F16" s="0" t="s">
        <v>4194</v>
      </c>
      <c r="G16" s="0" t="s">
        <v>1190</v>
      </c>
    </row>
    <row customHeight="1" ht="11.25">
      <c r="A17" s="0" t="s">
        <v>16</v>
      </c>
      <c r="B17" s="0" t="s">
        <v>4228</v>
      </c>
      <c r="C17" s="0" t="s">
        <v>4229</v>
      </c>
      <c r="D17" s="0" t="s">
        <v>4228</v>
      </c>
      <c r="E17" s="0" t="s">
        <v>4229</v>
      </c>
      <c r="F17" s="0" t="s">
        <v>4194</v>
      </c>
      <c r="G17" s="0" t="s">
        <v>1196</v>
      </c>
    </row>
    <row customHeight="1" ht="11.25">
      <c r="A18" s="0" t="s">
        <v>16</v>
      </c>
      <c r="B18" s="0" t="s">
        <v>4232</v>
      </c>
      <c r="C18" s="0" t="s">
        <v>4233</v>
      </c>
      <c r="D18" s="0" t="s">
        <v>4232</v>
      </c>
      <c r="E18" s="0" t="s">
        <v>4233</v>
      </c>
      <c r="F18" s="0" t="s">
        <v>4197</v>
      </c>
      <c r="G18" s="0" t="s">
        <v>1199</v>
      </c>
    </row>
    <row customHeight="1" ht="11.25">
      <c r="A19" s="0" t="s">
        <v>16</v>
      </c>
      <c r="B19" s="0" t="s">
        <v>4232</v>
      </c>
      <c r="C19" s="0" t="s">
        <v>4233</v>
      </c>
      <c r="D19" s="0" t="s">
        <v>4234</v>
      </c>
      <c r="E19" s="0" t="s">
        <v>4235</v>
      </c>
      <c r="F19" s="0" t="s">
        <v>4236</v>
      </c>
      <c r="G19" s="0" t="s">
        <v>1141</v>
      </c>
    </row>
    <row customHeight="1" ht="11.25">
      <c r="A20" s="0" t="s">
        <v>16</v>
      </c>
      <c r="B20" s="0" t="s">
        <v>4232</v>
      </c>
      <c r="C20" s="0" t="s">
        <v>4233</v>
      </c>
      <c r="D20" s="0" t="s">
        <v>4237</v>
      </c>
      <c r="E20" s="0" t="s">
        <v>4238</v>
      </c>
      <c r="F20" s="0" t="s">
        <v>4200</v>
      </c>
      <c r="G20" s="0" t="s">
        <v>1204</v>
      </c>
    </row>
    <row customHeight="1" ht="11.25">
      <c r="A21" s="0" t="s">
        <v>16</v>
      </c>
      <c r="B21" s="0" t="s">
        <v>4232</v>
      </c>
      <c r="C21" s="0" t="s">
        <v>4233</v>
      </c>
      <c r="D21" s="0" t="s">
        <v>4239</v>
      </c>
      <c r="E21" s="0" t="s">
        <v>4240</v>
      </c>
      <c r="F21" s="0" t="s">
        <v>4200</v>
      </c>
      <c r="G21" s="0" t="s">
        <v>1157</v>
      </c>
    </row>
    <row customHeight="1" ht="11.25">
      <c r="A22" s="0" t="s">
        <v>16</v>
      </c>
      <c r="B22" s="0" t="s">
        <v>4232</v>
      </c>
      <c r="C22" s="0" t="s">
        <v>4233</v>
      </c>
      <c r="D22" s="0" t="s">
        <v>4241</v>
      </c>
      <c r="E22" s="0" t="s">
        <v>4242</v>
      </c>
      <c r="F22" s="0" t="s">
        <v>4200</v>
      </c>
      <c r="G22" s="0" t="s">
        <v>1211</v>
      </c>
    </row>
    <row customHeight="1" ht="11.25">
      <c r="A23" s="0" t="s">
        <v>16</v>
      </c>
      <c r="B23" s="0" t="s">
        <v>4232</v>
      </c>
      <c r="C23" s="0" t="s">
        <v>4233</v>
      </c>
      <c r="D23" s="0" t="s">
        <v>4243</v>
      </c>
      <c r="E23" s="0" t="s">
        <v>4244</v>
      </c>
      <c r="F23" s="0" t="s">
        <v>4200</v>
      </c>
      <c r="G23" s="0" t="s">
        <v>1213</v>
      </c>
    </row>
    <row customHeight="1" ht="11.25">
      <c r="A24" s="0" t="s">
        <v>16</v>
      </c>
      <c r="B24" s="0" t="s">
        <v>4232</v>
      </c>
      <c r="C24" s="0" t="s">
        <v>4233</v>
      </c>
      <c r="D24" s="0" t="s">
        <v>4245</v>
      </c>
      <c r="E24" s="0" t="s">
        <v>4246</v>
      </c>
      <c r="F24" s="0" t="s">
        <v>4200</v>
      </c>
      <c r="G24" s="0" t="s">
        <v>1149</v>
      </c>
    </row>
    <row customHeight="1" ht="11.25">
      <c r="A25" s="0" t="s">
        <v>16</v>
      </c>
      <c r="B25" s="0" t="s">
        <v>4232</v>
      </c>
      <c r="C25" s="0" t="s">
        <v>4233</v>
      </c>
      <c r="D25" s="0" t="s">
        <v>4247</v>
      </c>
      <c r="E25" s="0" t="s">
        <v>4248</v>
      </c>
      <c r="F25" s="0" t="s">
        <v>4200</v>
      </c>
      <c r="G25" s="0" t="s">
        <v>1217</v>
      </c>
    </row>
    <row customHeight="1" ht="11.25">
      <c r="A26" s="0" t="s">
        <v>16</v>
      </c>
      <c r="B26" s="0" t="s">
        <v>4232</v>
      </c>
      <c r="C26" s="0" t="s">
        <v>4233</v>
      </c>
      <c r="D26" s="0" t="s">
        <v>4249</v>
      </c>
      <c r="E26" s="0" t="s">
        <v>4250</v>
      </c>
      <c r="F26" s="0" t="s">
        <v>4200</v>
      </c>
      <c r="G26" s="0" t="s">
        <v>1167</v>
      </c>
    </row>
    <row customHeight="1" ht="11.25">
      <c r="A27" s="0" t="s">
        <v>16</v>
      </c>
      <c r="B27" s="0" t="s">
        <v>4232</v>
      </c>
      <c r="C27" s="0" t="s">
        <v>4233</v>
      </c>
      <c r="D27" s="0" t="s">
        <v>4251</v>
      </c>
      <c r="E27" s="0" t="s">
        <v>4252</v>
      </c>
      <c r="F27" s="0" t="s">
        <v>4200</v>
      </c>
      <c r="G27" s="0" t="s">
        <v>1220</v>
      </c>
    </row>
    <row customHeight="1" ht="11.25">
      <c r="A28" s="0" t="s">
        <v>16</v>
      </c>
      <c r="B28" s="0" t="s">
        <v>4232</v>
      </c>
      <c r="C28" s="0" t="s">
        <v>4233</v>
      </c>
      <c r="D28" s="0" t="s">
        <v>4253</v>
      </c>
      <c r="E28" s="0" t="s">
        <v>4254</v>
      </c>
      <c r="F28" s="0" t="s">
        <v>4200</v>
      </c>
      <c r="G28" s="0" t="s">
        <v>1222</v>
      </c>
    </row>
    <row customHeight="1" ht="11.25">
      <c r="A29" s="0" t="s">
        <v>16</v>
      </c>
      <c r="B29" s="0" t="s">
        <v>101</v>
      </c>
      <c r="C29" s="0" t="s">
        <v>4257</v>
      </c>
      <c r="D29" s="0" t="s">
        <v>4258</v>
      </c>
      <c r="E29" s="0" t="s">
        <v>4259</v>
      </c>
      <c r="F29" s="0" t="s">
        <v>4200</v>
      </c>
      <c r="G29" s="0" t="s">
        <v>1224</v>
      </c>
    </row>
    <row customHeight="1" ht="11.25">
      <c r="A30" s="0" t="s">
        <v>16</v>
      </c>
      <c r="B30" s="0" t="s">
        <v>101</v>
      </c>
      <c r="C30" s="0" t="s">
        <v>4257</v>
      </c>
      <c r="D30" s="0" t="s">
        <v>4260</v>
      </c>
      <c r="E30" s="0" t="s">
        <v>4261</v>
      </c>
      <c r="F30" s="0" t="s">
        <v>4200</v>
      </c>
      <c r="G30" s="0" t="s">
        <v>1226</v>
      </c>
    </row>
    <row customHeight="1" ht="11.25">
      <c r="A31" s="0" t="s">
        <v>16</v>
      </c>
      <c r="B31" s="0" t="s">
        <v>101</v>
      </c>
      <c r="C31" s="0" t="s">
        <v>4257</v>
      </c>
      <c r="D31" s="0" t="s">
        <v>101</v>
      </c>
      <c r="E31" s="0" t="s">
        <v>4257</v>
      </c>
      <c r="F31" s="0" t="s">
        <v>4197</v>
      </c>
      <c r="G31" s="0" t="s">
        <v>1229</v>
      </c>
    </row>
    <row customHeight="1" ht="11.25">
      <c r="A32" s="0" t="s">
        <v>16</v>
      </c>
      <c r="B32" s="0" t="s">
        <v>101</v>
      </c>
      <c r="C32" s="0" t="s">
        <v>4257</v>
      </c>
      <c r="D32" s="0" t="s">
        <v>4262</v>
      </c>
      <c r="E32" s="0" t="s">
        <v>4263</v>
      </c>
      <c r="F32" s="0" t="s">
        <v>4236</v>
      </c>
      <c r="G32" s="0" t="s">
        <v>1145</v>
      </c>
    </row>
    <row customHeight="1" ht="11.25">
      <c r="A33" s="0" t="s">
        <v>16</v>
      </c>
      <c r="B33" s="0" t="s">
        <v>101</v>
      </c>
      <c r="C33" s="0" t="s">
        <v>4257</v>
      </c>
      <c r="D33" s="0" t="s">
        <v>4264</v>
      </c>
      <c r="E33" s="0" t="s">
        <v>4265</v>
      </c>
      <c r="F33" s="0" t="s">
        <v>4200</v>
      </c>
      <c r="G33" s="0" t="s">
        <v>1232</v>
      </c>
    </row>
    <row customHeight="1" ht="11.25">
      <c r="A34" s="0" t="s">
        <v>16</v>
      </c>
      <c r="B34" s="0" t="s">
        <v>101</v>
      </c>
      <c r="C34" s="0" t="s">
        <v>4257</v>
      </c>
      <c r="D34" s="0" t="s">
        <v>4266</v>
      </c>
      <c r="E34" s="0" t="s">
        <v>4267</v>
      </c>
      <c r="F34" s="0" t="s">
        <v>4200</v>
      </c>
      <c r="G34" s="0" t="s">
        <v>1234</v>
      </c>
    </row>
    <row customHeight="1" ht="11.25">
      <c r="A35" s="0" t="s">
        <v>16</v>
      </c>
      <c r="B35" s="0" t="s">
        <v>101</v>
      </c>
      <c r="C35" s="0" t="s">
        <v>4257</v>
      </c>
      <c r="D35" s="0" t="s">
        <v>4268</v>
      </c>
      <c r="E35" s="0" t="s">
        <v>4269</v>
      </c>
      <c r="F35" s="0" t="s">
        <v>4200</v>
      </c>
      <c r="G35" s="0" t="s">
        <v>1236</v>
      </c>
    </row>
    <row customHeight="1" ht="11.25">
      <c r="A36" s="0" t="s">
        <v>16</v>
      </c>
      <c r="B36" s="0" t="s">
        <v>101</v>
      </c>
      <c r="C36" s="0" t="s">
        <v>4257</v>
      </c>
      <c r="D36" s="0" t="s">
        <v>4270</v>
      </c>
      <c r="E36" s="0" t="s">
        <v>4271</v>
      </c>
      <c r="F36" s="0" t="s">
        <v>4200</v>
      </c>
      <c r="G36" s="0" t="s">
        <v>1241</v>
      </c>
    </row>
    <row customHeight="1" ht="11.25">
      <c r="A37" s="0" t="s">
        <v>16</v>
      </c>
      <c r="B37" s="0" t="s">
        <v>101</v>
      </c>
      <c r="C37" s="0" t="s">
        <v>4257</v>
      </c>
      <c r="D37" s="0" t="s">
        <v>4272</v>
      </c>
      <c r="E37" s="0" t="s">
        <v>4273</v>
      </c>
      <c r="F37" s="0" t="s">
        <v>4200</v>
      </c>
      <c r="G37" s="0" t="s">
        <v>1243</v>
      </c>
    </row>
    <row customHeight="1" ht="11.25">
      <c r="A38" s="0" t="s">
        <v>16</v>
      </c>
      <c r="B38" s="0" t="s">
        <v>101</v>
      </c>
      <c r="C38" s="0" t="s">
        <v>4257</v>
      </c>
      <c r="D38" s="0" t="s">
        <v>4274</v>
      </c>
      <c r="E38" s="0" t="s">
        <v>4275</v>
      </c>
      <c r="F38" s="0" t="s">
        <v>4200</v>
      </c>
      <c r="G38" s="0" t="s">
        <v>1245</v>
      </c>
    </row>
    <row customHeight="1" ht="11.25">
      <c r="A39" s="0" t="s">
        <v>16</v>
      </c>
      <c r="B39" s="0" t="s">
        <v>101</v>
      </c>
      <c r="C39" s="0" t="s">
        <v>4257</v>
      </c>
      <c r="D39" s="0" t="s">
        <v>4276</v>
      </c>
      <c r="E39" s="0" t="s">
        <v>4277</v>
      </c>
      <c r="F39" s="0" t="s">
        <v>4200</v>
      </c>
      <c r="G39" s="0" t="s">
        <v>1247</v>
      </c>
    </row>
    <row customHeight="1" ht="11.25">
      <c r="A40" s="0" t="s">
        <v>16</v>
      </c>
      <c r="B40" s="0" t="s">
        <v>101</v>
      </c>
      <c r="C40" s="0" t="s">
        <v>4257</v>
      </c>
      <c r="D40" s="0" t="s">
        <v>4278</v>
      </c>
      <c r="E40" s="0" t="s">
        <v>4279</v>
      </c>
      <c r="F40" s="0" t="s">
        <v>4200</v>
      </c>
      <c r="G40" s="0" t="s">
        <v>1249</v>
      </c>
    </row>
    <row customHeight="1" ht="11.25">
      <c r="A41" s="0" t="s">
        <v>16</v>
      </c>
      <c r="B41" s="0" t="s">
        <v>101</v>
      </c>
      <c r="C41" s="0" t="s">
        <v>4257</v>
      </c>
      <c r="D41" s="0" t="s">
        <v>4280</v>
      </c>
      <c r="E41" s="0" t="s">
        <v>4281</v>
      </c>
      <c r="F41" s="0" t="s">
        <v>4200</v>
      </c>
      <c r="G41" s="0" t="s">
        <v>1252</v>
      </c>
    </row>
    <row customHeight="1" ht="11.25">
      <c r="A42" s="0" t="s">
        <v>16</v>
      </c>
      <c r="B42" s="0" t="s">
        <v>101</v>
      </c>
      <c r="C42" s="0" t="s">
        <v>4257</v>
      </c>
      <c r="D42" s="0" t="s">
        <v>4282</v>
      </c>
      <c r="E42" s="0" t="s">
        <v>4283</v>
      </c>
      <c r="F42" s="0" t="s">
        <v>4200</v>
      </c>
      <c r="G42" s="0" t="s">
        <v>1254</v>
      </c>
    </row>
    <row customHeight="1" ht="11.25">
      <c r="A43" s="0" t="s">
        <v>16</v>
      </c>
      <c r="B43" s="0" t="s">
        <v>101</v>
      </c>
      <c r="C43" s="0" t="s">
        <v>4257</v>
      </c>
      <c r="D43" s="0" t="s">
        <v>4284</v>
      </c>
      <c r="E43" s="0" t="s">
        <v>4285</v>
      </c>
      <c r="F43" s="0" t="s">
        <v>4200</v>
      </c>
      <c r="G43" s="0" t="s">
        <v>1256</v>
      </c>
    </row>
    <row customHeight="1" ht="11.25">
      <c r="A44" s="0" t="s">
        <v>16</v>
      </c>
      <c r="B44" s="0" t="s">
        <v>101</v>
      </c>
      <c r="C44" s="0" t="s">
        <v>4257</v>
      </c>
      <c r="D44" s="0" t="s">
        <v>102</v>
      </c>
      <c r="E44" s="0" t="s">
        <v>103</v>
      </c>
      <c r="F44" s="0" t="s">
        <v>4209</v>
      </c>
      <c r="G44" s="0" t="s">
        <v>100</v>
      </c>
    </row>
    <row customHeight="1" ht="11.25">
      <c r="A45" s="0" t="s">
        <v>16</v>
      </c>
      <c r="B45" s="0" t="s">
        <v>101</v>
      </c>
      <c r="C45" s="0" t="s">
        <v>4257</v>
      </c>
      <c r="D45" s="0" t="s">
        <v>4286</v>
      </c>
      <c r="E45" s="0" t="s">
        <v>4287</v>
      </c>
      <c r="F45" s="0" t="s">
        <v>4200</v>
      </c>
      <c r="G45" s="0" t="s">
        <v>1259</v>
      </c>
    </row>
    <row customHeight="1" ht="11.25">
      <c r="A46" s="0" t="s">
        <v>16</v>
      </c>
      <c r="B46" s="0" t="s">
        <v>101</v>
      </c>
      <c r="C46" s="0" t="s">
        <v>4257</v>
      </c>
      <c r="D46" s="0" t="s">
        <v>4288</v>
      </c>
      <c r="E46" s="0" t="s">
        <v>4289</v>
      </c>
      <c r="F46" s="0" t="s">
        <v>4200</v>
      </c>
      <c r="G46" s="0" t="s">
        <v>1261</v>
      </c>
    </row>
    <row customHeight="1" ht="11.25">
      <c r="A47" s="0" t="s">
        <v>16</v>
      </c>
      <c r="B47" s="0" t="s">
        <v>4290</v>
      </c>
      <c r="C47" s="0" t="s">
        <v>4291</v>
      </c>
      <c r="D47" s="0" t="s">
        <v>4290</v>
      </c>
      <c r="E47" s="0" t="s">
        <v>4291</v>
      </c>
      <c r="F47" s="0" t="s">
        <v>4194</v>
      </c>
      <c r="G47" s="0" t="s">
        <v>1263</v>
      </c>
    </row>
    <row customHeight="1" ht="11.25">
      <c r="A48" s="0" t="s">
        <v>16</v>
      </c>
      <c r="B48" s="0" t="s">
        <v>4292</v>
      </c>
      <c r="C48" s="0" t="s">
        <v>4293</v>
      </c>
      <c r="D48" s="0" t="s">
        <v>4294</v>
      </c>
      <c r="E48" s="0" t="s">
        <v>4295</v>
      </c>
      <c r="F48" s="0" t="s">
        <v>4200</v>
      </c>
      <c r="G48" s="0" t="s">
        <v>1265</v>
      </c>
    </row>
    <row customHeight="1" ht="11.25">
      <c r="A49" s="0" t="s">
        <v>16</v>
      </c>
      <c r="B49" s="0" t="s">
        <v>4292</v>
      </c>
      <c r="C49" s="0" t="s">
        <v>4293</v>
      </c>
      <c r="D49" s="0" t="s">
        <v>4296</v>
      </c>
      <c r="E49" s="0" t="s">
        <v>4297</v>
      </c>
      <c r="F49" s="0" t="s">
        <v>4200</v>
      </c>
      <c r="G49" s="0" t="s">
        <v>1267</v>
      </c>
    </row>
    <row customHeight="1" ht="11.25">
      <c r="A50" s="0" t="s">
        <v>16</v>
      </c>
      <c r="B50" s="0" t="s">
        <v>4292</v>
      </c>
      <c r="C50" s="0" t="s">
        <v>4293</v>
      </c>
      <c r="D50" s="0" t="s">
        <v>4292</v>
      </c>
      <c r="E50" s="0" t="s">
        <v>4293</v>
      </c>
      <c r="F50" s="0" t="s">
        <v>4197</v>
      </c>
      <c r="G50" s="0" t="s">
        <v>1270</v>
      </c>
    </row>
    <row customHeight="1" ht="11.25">
      <c r="A51" s="0" t="s">
        <v>16</v>
      </c>
      <c r="B51" s="0" t="s">
        <v>4292</v>
      </c>
      <c r="C51" s="0" t="s">
        <v>4293</v>
      </c>
      <c r="D51" s="0" t="s">
        <v>4298</v>
      </c>
      <c r="E51" s="0" t="s">
        <v>4299</v>
      </c>
      <c r="F51" s="0" t="s">
        <v>4200</v>
      </c>
      <c r="G51" s="0" t="s">
        <v>1272</v>
      </c>
    </row>
    <row customHeight="1" ht="11.25">
      <c r="A52" s="0" t="s">
        <v>16</v>
      </c>
      <c r="B52" s="0" t="s">
        <v>4292</v>
      </c>
      <c r="C52" s="0" t="s">
        <v>4293</v>
      </c>
      <c r="D52" s="0" t="s">
        <v>4300</v>
      </c>
      <c r="E52" s="0" t="s">
        <v>4301</v>
      </c>
      <c r="F52" s="0" t="s">
        <v>4200</v>
      </c>
      <c r="G52" s="0" t="s">
        <v>1276</v>
      </c>
    </row>
    <row customHeight="1" ht="11.25">
      <c r="A53" s="0" t="s">
        <v>16</v>
      </c>
      <c r="B53" s="0" t="s">
        <v>4292</v>
      </c>
      <c r="C53" s="0" t="s">
        <v>4293</v>
      </c>
      <c r="D53" s="0" t="s">
        <v>4302</v>
      </c>
      <c r="E53" s="0" t="s">
        <v>4303</v>
      </c>
      <c r="F53" s="0" t="s">
        <v>4200</v>
      </c>
      <c r="G53" s="0" t="s">
        <v>1979</v>
      </c>
    </row>
    <row customHeight="1" ht="11.25">
      <c r="A54" s="0" t="s">
        <v>16</v>
      </c>
      <c r="B54" s="0" t="s">
        <v>4292</v>
      </c>
      <c r="C54" s="0" t="s">
        <v>4293</v>
      </c>
      <c r="D54" s="0" t="s">
        <v>4304</v>
      </c>
      <c r="E54" s="0" t="s">
        <v>4305</v>
      </c>
      <c r="F54" s="0" t="s">
        <v>4200</v>
      </c>
      <c r="G54" s="0" t="s">
        <v>1982</v>
      </c>
    </row>
    <row customHeight="1" ht="11.25">
      <c r="A55" s="0" t="s">
        <v>16</v>
      </c>
      <c r="B55" s="0" t="s">
        <v>4292</v>
      </c>
      <c r="C55" s="0" t="s">
        <v>4293</v>
      </c>
      <c r="D55" s="0" t="s">
        <v>4306</v>
      </c>
      <c r="E55" s="0" t="s">
        <v>4307</v>
      </c>
      <c r="F55" s="0" t="s">
        <v>4200</v>
      </c>
      <c r="G55" s="0" t="s">
        <v>1987</v>
      </c>
    </row>
    <row customHeight="1" ht="11.25">
      <c r="A56" s="0" t="s">
        <v>16</v>
      </c>
      <c r="B56" s="0" t="s">
        <v>4292</v>
      </c>
      <c r="C56" s="0" t="s">
        <v>4293</v>
      </c>
      <c r="D56" s="0" t="s">
        <v>4308</v>
      </c>
      <c r="E56" s="0" t="s">
        <v>4309</v>
      </c>
      <c r="F56" s="0" t="s">
        <v>4200</v>
      </c>
      <c r="G56" s="0" t="s">
        <v>1991</v>
      </c>
    </row>
    <row customHeight="1" ht="11.25">
      <c r="A57" s="0" t="s">
        <v>16</v>
      </c>
      <c r="B57" s="0" t="s">
        <v>4292</v>
      </c>
      <c r="C57" s="0" t="s">
        <v>4293</v>
      </c>
      <c r="D57" s="0" t="s">
        <v>4310</v>
      </c>
      <c r="E57" s="0" t="s">
        <v>4311</v>
      </c>
      <c r="F57" s="0" t="s">
        <v>4200</v>
      </c>
      <c r="G57" s="0" t="s">
        <v>1136</v>
      </c>
    </row>
    <row customHeight="1" ht="11.25">
      <c r="A58" s="0" t="s">
        <v>16</v>
      </c>
      <c r="B58" s="0" t="s">
        <v>4312</v>
      </c>
      <c r="C58" s="0" t="s">
        <v>4313</v>
      </c>
      <c r="D58" s="0" t="s">
        <v>4314</v>
      </c>
      <c r="E58" s="0" t="s">
        <v>4315</v>
      </c>
      <c r="F58" s="0" t="s">
        <v>4200</v>
      </c>
      <c r="G58" s="0" t="s">
        <v>1996</v>
      </c>
    </row>
    <row customHeight="1" ht="11.25">
      <c r="A59" s="0" t="s">
        <v>16</v>
      </c>
      <c r="B59" s="0" t="s">
        <v>4312</v>
      </c>
      <c r="C59" s="0" t="s">
        <v>4313</v>
      </c>
      <c r="D59" s="0" t="s">
        <v>4312</v>
      </c>
      <c r="E59" s="0" t="s">
        <v>4313</v>
      </c>
      <c r="F59" s="0" t="s">
        <v>4197</v>
      </c>
      <c r="G59" s="0" t="s">
        <v>2000</v>
      </c>
    </row>
    <row customHeight="1" ht="11.25">
      <c r="A60" s="0" t="s">
        <v>16</v>
      </c>
      <c r="B60" s="0" t="s">
        <v>4312</v>
      </c>
      <c r="C60" s="0" t="s">
        <v>4313</v>
      </c>
      <c r="D60" s="0" t="s">
        <v>4318</v>
      </c>
      <c r="E60" s="0" t="s">
        <v>4319</v>
      </c>
      <c r="F60" s="0" t="s">
        <v>4200</v>
      </c>
      <c r="G60" s="0" t="s">
        <v>2003</v>
      </c>
    </row>
    <row customHeight="1" ht="11.25">
      <c r="A61" s="0" t="s">
        <v>16</v>
      </c>
      <c r="B61" s="0" t="s">
        <v>4312</v>
      </c>
      <c r="C61" s="0" t="s">
        <v>4313</v>
      </c>
      <c r="D61" s="0" t="s">
        <v>4321</v>
      </c>
      <c r="E61" s="0" t="s">
        <v>4322</v>
      </c>
      <c r="F61" s="0" t="s">
        <v>4200</v>
      </c>
      <c r="G61" s="0" t="s">
        <v>4316</v>
      </c>
    </row>
    <row customHeight="1" ht="11.25">
      <c r="A62" s="0" t="s">
        <v>16</v>
      </c>
      <c r="B62" s="0" t="s">
        <v>4312</v>
      </c>
      <c r="C62" s="0" t="s">
        <v>4313</v>
      </c>
      <c r="D62" s="0" t="s">
        <v>4324</v>
      </c>
      <c r="E62" s="0" t="s">
        <v>4325</v>
      </c>
      <c r="F62" s="0" t="s">
        <v>4200</v>
      </c>
      <c r="G62" s="0" t="s">
        <v>4317</v>
      </c>
    </row>
    <row customHeight="1" ht="11.25">
      <c r="A63" s="0" t="s">
        <v>16</v>
      </c>
      <c r="B63" s="0" t="s">
        <v>4312</v>
      </c>
      <c r="C63" s="0" t="s">
        <v>4313</v>
      </c>
      <c r="D63" s="0" t="s">
        <v>4327</v>
      </c>
      <c r="E63" s="0" t="s">
        <v>4328</v>
      </c>
      <c r="F63" s="0" t="s">
        <v>4236</v>
      </c>
      <c r="G63" s="0" t="s">
        <v>4320</v>
      </c>
    </row>
    <row customHeight="1" ht="11.25">
      <c r="A64" s="0" t="s">
        <v>16</v>
      </c>
      <c r="B64" s="0" t="s">
        <v>4312</v>
      </c>
      <c r="C64" s="0" t="s">
        <v>4313</v>
      </c>
      <c r="D64" s="0" t="s">
        <v>4330</v>
      </c>
      <c r="E64" s="0" t="s">
        <v>4331</v>
      </c>
      <c r="F64" s="0" t="s">
        <v>4200</v>
      </c>
      <c r="G64" s="0" t="s">
        <v>4323</v>
      </c>
    </row>
    <row customHeight="1" ht="11.25">
      <c r="A65" s="0" t="s">
        <v>16</v>
      </c>
      <c r="B65" s="0" t="s">
        <v>4312</v>
      </c>
      <c r="C65" s="0" t="s">
        <v>4313</v>
      </c>
      <c r="D65" s="0" t="s">
        <v>4332</v>
      </c>
      <c r="E65" s="0" t="s">
        <v>4333</v>
      </c>
      <c r="F65" s="0" t="s">
        <v>4200</v>
      </c>
      <c r="G65" s="0" t="s">
        <v>4326</v>
      </c>
    </row>
    <row customHeight="1" ht="11.25">
      <c r="A66" s="0" t="s">
        <v>16</v>
      </c>
      <c r="B66" s="0" t="s">
        <v>4312</v>
      </c>
      <c r="C66" s="0" t="s">
        <v>4313</v>
      </c>
      <c r="D66" s="0" t="s">
        <v>4335</v>
      </c>
      <c r="E66" s="0" t="s">
        <v>4336</v>
      </c>
      <c r="F66" s="0" t="s">
        <v>4200</v>
      </c>
      <c r="G66" s="0" t="s">
        <v>4329</v>
      </c>
    </row>
    <row customHeight="1" ht="11.25">
      <c r="A67" s="0" t="s">
        <v>16</v>
      </c>
      <c r="B67" s="0" t="s">
        <v>4312</v>
      </c>
      <c r="C67" s="0" t="s">
        <v>4313</v>
      </c>
      <c r="D67" s="0" t="s">
        <v>4337</v>
      </c>
      <c r="E67" s="0" t="s">
        <v>4338</v>
      </c>
      <c r="F67" s="0" t="s">
        <v>4200</v>
      </c>
      <c r="G67" s="0" t="s">
        <v>2308</v>
      </c>
    </row>
    <row customHeight="1" ht="11.25">
      <c r="A68" s="0" t="s">
        <v>16</v>
      </c>
      <c r="B68" s="0" t="s">
        <v>4312</v>
      </c>
      <c r="C68" s="0" t="s">
        <v>4313</v>
      </c>
      <c r="D68" s="0" t="s">
        <v>4339</v>
      </c>
      <c r="E68" s="0" t="s">
        <v>4340</v>
      </c>
      <c r="F68" s="0" t="s">
        <v>4200</v>
      </c>
      <c r="G68" s="0" t="s">
        <v>4334</v>
      </c>
    </row>
    <row customHeight="1" ht="11.25">
      <c r="A69" s="0" t="s">
        <v>16</v>
      </c>
      <c r="B69" s="0" t="s">
        <v>4342</v>
      </c>
      <c r="C69" s="0" t="s">
        <v>4343</v>
      </c>
      <c r="D69" s="0" t="s">
        <v>4342</v>
      </c>
      <c r="E69" s="0" t="s">
        <v>4343</v>
      </c>
      <c r="F69" s="0" t="s">
        <v>4344</v>
      </c>
      <c r="G69" s="0" t="s">
        <v>1118</v>
      </c>
    </row>
    <row customHeight="1" ht="11.25">
      <c r="A70" s="0" t="s">
        <v>16</v>
      </c>
      <c r="B70" s="0" t="s">
        <v>113</v>
      </c>
      <c r="C70" s="0" t="s">
        <v>114</v>
      </c>
      <c r="D70" s="0" t="s">
        <v>113</v>
      </c>
      <c r="E70" s="0" t="s">
        <v>114</v>
      </c>
      <c r="F70" s="0" t="s">
        <v>4344</v>
      </c>
      <c r="G70" s="0" t="s">
        <v>112</v>
      </c>
    </row>
    <row customHeight="1" ht="11.25">
      <c r="A71" s="0" t="s">
        <v>16</v>
      </c>
      <c r="B71" s="0" t="s">
        <v>4347</v>
      </c>
      <c r="C71" s="0" t="s">
        <v>4348</v>
      </c>
      <c r="D71" s="0" t="s">
        <v>4347</v>
      </c>
      <c r="E71" s="0" t="s">
        <v>4348</v>
      </c>
      <c r="F71" s="0" t="s">
        <v>4344</v>
      </c>
      <c r="G71" s="0" t="s">
        <v>4341</v>
      </c>
    </row>
    <row customHeight="1" ht="11.25">
      <c r="A72" s="0" t="s">
        <v>16</v>
      </c>
      <c r="B72" s="0" t="s">
        <v>4350</v>
      </c>
      <c r="C72" s="0" t="s">
        <v>4351</v>
      </c>
      <c r="D72" s="0" t="s">
        <v>4350</v>
      </c>
      <c r="E72" s="0" t="s">
        <v>4351</v>
      </c>
      <c r="F72" s="0" t="s">
        <v>4344</v>
      </c>
      <c r="G72" s="0" t="s">
        <v>4345</v>
      </c>
    </row>
    <row customHeight="1" ht="11.25">
      <c r="A73" s="0" t="s">
        <v>16</v>
      </c>
      <c r="B73" s="0" t="s">
        <v>4356</v>
      </c>
      <c r="C73" s="0" t="s">
        <v>4357</v>
      </c>
      <c r="D73" s="0" t="s">
        <v>4358</v>
      </c>
      <c r="E73" s="0" t="s">
        <v>4359</v>
      </c>
      <c r="F73" s="0" t="s">
        <v>4200</v>
      </c>
      <c r="G73" s="0" t="s">
        <v>4346</v>
      </c>
    </row>
    <row customHeight="1" ht="11.25">
      <c r="A74" s="0" t="s">
        <v>16</v>
      </c>
      <c r="B74" s="0" t="s">
        <v>4356</v>
      </c>
      <c r="C74" s="0" t="s">
        <v>4357</v>
      </c>
      <c r="D74" s="0" t="s">
        <v>4361</v>
      </c>
      <c r="E74" s="0" t="s">
        <v>4362</v>
      </c>
      <c r="F74" s="0" t="s">
        <v>4200</v>
      </c>
      <c r="G74" s="0" t="s">
        <v>4349</v>
      </c>
    </row>
    <row customHeight="1" ht="11.25">
      <c r="A75" s="0" t="s">
        <v>16</v>
      </c>
      <c r="B75" s="0" t="s">
        <v>4356</v>
      </c>
      <c r="C75" s="0" t="s">
        <v>4357</v>
      </c>
      <c r="D75" s="0" t="s">
        <v>4364</v>
      </c>
      <c r="E75" s="0" t="s">
        <v>4365</v>
      </c>
      <c r="F75" s="0" t="s">
        <v>4200</v>
      </c>
      <c r="G75" s="0" t="s">
        <v>4352</v>
      </c>
    </row>
    <row customHeight="1" ht="11.25">
      <c r="A76" s="0" t="s">
        <v>16</v>
      </c>
      <c r="B76" s="0" t="s">
        <v>4356</v>
      </c>
      <c r="C76" s="0" t="s">
        <v>4357</v>
      </c>
      <c r="D76" s="0" t="s">
        <v>4367</v>
      </c>
      <c r="E76" s="0" t="s">
        <v>4368</v>
      </c>
      <c r="F76" s="0" t="s">
        <v>4200</v>
      </c>
      <c r="G76" s="0" t="s">
        <v>4355</v>
      </c>
    </row>
    <row customHeight="1" ht="11.25">
      <c r="A77" s="0" t="s">
        <v>16</v>
      </c>
      <c r="B77" s="0" t="s">
        <v>4356</v>
      </c>
      <c r="C77" s="0" t="s">
        <v>4357</v>
      </c>
      <c r="D77" s="0" t="s">
        <v>4356</v>
      </c>
      <c r="E77" s="0" t="s">
        <v>4357</v>
      </c>
      <c r="F77" s="0" t="s">
        <v>4197</v>
      </c>
      <c r="G77" s="0" t="s">
        <v>4360</v>
      </c>
    </row>
    <row customHeight="1" ht="11.25">
      <c r="A78" s="0" t="s">
        <v>16</v>
      </c>
      <c r="B78" s="0" t="s">
        <v>4356</v>
      </c>
      <c r="C78" s="0" t="s">
        <v>4357</v>
      </c>
      <c r="D78" s="0" t="s">
        <v>4371</v>
      </c>
      <c r="E78" s="0" t="s">
        <v>4372</v>
      </c>
      <c r="F78" s="0" t="s">
        <v>4200</v>
      </c>
      <c r="G78" s="0" t="s">
        <v>4363</v>
      </c>
    </row>
    <row customHeight="1" ht="11.25">
      <c r="A79" s="0" t="s">
        <v>16</v>
      </c>
      <c r="B79" s="0" t="s">
        <v>4356</v>
      </c>
      <c r="C79" s="0" t="s">
        <v>4357</v>
      </c>
      <c r="D79" s="0" t="s">
        <v>4374</v>
      </c>
      <c r="E79" s="0" t="s">
        <v>4375</v>
      </c>
      <c r="F79" s="0" t="s">
        <v>4200</v>
      </c>
      <c r="G79" s="0" t="s">
        <v>4366</v>
      </c>
    </row>
    <row customHeight="1" ht="11.25">
      <c r="A80" s="0" t="s">
        <v>16</v>
      </c>
      <c r="B80" s="0" t="s">
        <v>4356</v>
      </c>
      <c r="C80" s="0" t="s">
        <v>4357</v>
      </c>
      <c r="D80" s="0" t="s">
        <v>4377</v>
      </c>
      <c r="E80" s="0" t="s">
        <v>4378</v>
      </c>
      <c r="F80" s="0" t="s">
        <v>4200</v>
      </c>
      <c r="G80" s="0" t="s">
        <v>4369</v>
      </c>
    </row>
    <row customHeight="1" ht="11.25">
      <c r="A81" s="0" t="s">
        <v>16</v>
      </c>
      <c r="B81" s="0" t="s">
        <v>4356</v>
      </c>
      <c r="C81" s="0" t="s">
        <v>4357</v>
      </c>
      <c r="D81" s="0" t="s">
        <v>4380</v>
      </c>
      <c r="E81" s="0" t="s">
        <v>4381</v>
      </c>
      <c r="F81" s="0" t="s">
        <v>4200</v>
      </c>
      <c r="G81" s="0" t="s">
        <v>4370</v>
      </c>
    </row>
    <row customHeight="1" ht="11.25">
      <c r="A82" s="0" t="s">
        <v>16</v>
      </c>
      <c r="B82" s="0" t="s">
        <v>4356</v>
      </c>
      <c r="C82" s="0" t="s">
        <v>4357</v>
      </c>
      <c r="D82" s="0" t="s">
        <v>4383</v>
      </c>
      <c r="E82" s="0" t="s">
        <v>4384</v>
      </c>
      <c r="F82" s="0" t="s">
        <v>4200</v>
      </c>
      <c r="G82" s="0" t="s">
        <v>4373</v>
      </c>
    </row>
    <row customHeight="1" ht="11.25">
      <c r="A83" s="0" t="s">
        <v>16</v>
      </c>
      <c r="B83" s="0" t="s">
        <v>4356</v>
      </c>
      <c r="C83" s="0" t="s">
        <v>4357</v>
      </c>
      <c r="D83" s="0" t="s">
        <v>4386</v>
      </c>
      <c r="E83" s="0" t="s">
        <v>4387</v>
      </c>
      <c r="F83" s="0" t="s">
        <v>4200</v>
      </c>
      <c r="G83" s="0" t="s">
        <v>4376</v>
      </c>
    </row>
    <row customHeight="1" ht="11.25">
      <c r="A84" s="0" t="s">
        <v>16</v>
      </c>
      <c r="B84" s="0" t="s">
        <v>4391</v>
      </c>
      <c r="C84" s="0" t="s">
        <v>4392</v>
      </c>
      <c r="D84" s="0" t="s">
        <v>4393</v>
      </c>
      <c r="E84" s="0" t="s">
        <v>4394</v>
      </c>
      <c r="F84" s="0" t="s">
        <v>4200</v>
      </c>
      <c r="G84" s="0" t="s">
        <v>4379</v>
      </c>
    </row>
    <row customHeight="1" ht="11.25">
      <c r="A85" s="0" t="s">
        <v>16</v>
      </c>
      <c r="B85" s="0" t="s">
        <v>4391</v>
      </c>
      <c r="C85" s="0" t="s">
        <v>4392</v>
      </c>
      <c r="D85" s="0" t="s">
        <v>4396</v>
      </c>
      <c r="E85" s="0" t="s">
        <v>4397</v>
      </c>
      <c r="F85" s="0" t="s">
        <v>4200</v>
      </c>
      <c r="G85" s="0" t="s">
        <v>4382</v>
      </c>
    </row>
    <row customHeight="1" ht="11.25">
      <c r="A86" s="0" t="s">
        <v>16</v>
      </c>
      <c r="B86" s="0" t="s">
        <v>4391</v>
      </c>
      <c r="C86" s="0" t="s">
        <v>4392</v>
      </c>
      <c r="D86" s="0" t="s">
        <v>4399</v>
      </c>
      <c r="E86" s="0" t="s">
        <v>4400</v>
      </c>
      <c r="F86" s="0" t="s">
        <v>4200</v>
      </c>
      <c r="G86" s="0" t="s">
        <v>4385</v>
      </c>
    </row>
    <row customHeight="1" ht="11.25">
      <c r="A87" s="0" t="s">
        <v>16</v>
      </c>
      <c r="B87" s="0" t="s">
        <v>4391</v>
      </c>
      <c r="C87" s="0" t="s">
        <v>4392</v>
      </c>
      <c r="D87" s="0" t="s">
        <v>4391</v>
      </c>
      <c r="E87" s="0" t="s">
        <v>4392</v>
      </c>
      <c r="F87" s="0" t="s">
        <v>4197</v>
      </c>
      <c r="G87" s="0" t="s">
        <v>4388</v>
      </c>
    </row>
    <row customHeight="1" ht="11.25">
      <c r="A88" s="0" t="s">
        <v>16</v>
      </c>
      <c r="B88" s="0" t="s">
        <v>4391</v>
      </c>
      <c r="C88" s="0" t="s">
        <v>4392</v>
      </c>
      <c r="D88" s="0" t="s">
        <v>4403</v>
      </c>
      <c r="E88" s="0" t="s">
        <v>4404</v>
      </c>
      <c r="F88" s="0" t="s">
        <v>4209</v>
      </c>
      <c r="G88" s="0" t="s">
        <v>1126</v>
      </c>
    </row>
    <row customHeight="1" ht="11.25">
      <c r="A89" s="0" t="s">
        <v>16</v>
      </c>
      <c r="B89" s="0" t="s">
        <v>4391</v>
      </c>
      <c r="C89" s="0" t="s">
        <v>4392</v>
      </c>
      <c r="D89" s="0" t="s">
        <v>4406</v>
      </c>
      <c r="E89" s="0" t="s">
        <v>4407</v>
      </c>
      <c r="F89" s="0" t="s">
        <v>4200</v>
      </c>
      <c r="G89" s="0" t="s">
        <v>4395</v>
      </c>
    </row>
    <row customHeight="1" ht="11.25">
      <c r="A90" s="0" t="s">
        <v>16</v>
      </c>
      <c r="B90" s="0" t="s">
        <v>4391</v>
      </c>
      <c r="C90" s="0" t="s">
        <v>4392</v>
      </c>
      <c r="D90" s="0" t="s">
        <v>4409</v>
      </c>
      <c r="E90" s="0" t="s">
        <v>4410</v>
      </c>
      <c r="F90" s="0" t="s">
        <v>4200</v>
      </c>
      <c r="G90" s="0" t="s">
        <v>4398</v>
      </c>
    </row>
    <row customHeight="1" ht="11.25">
      <c r="A91" s="0" t="s">
        <v>16</v>
      </c>
      <c r="B91" s="0" t="s">
        <v>4391</v>
      </c>
      <c r="C91" s="0" t="s">
        <v>4392</v>
      </c>
      <c r="D91" s="0" t="s">
        <v>4412</v>
      </c>
      <c r="E91" s="0" t="s">
        <v>4413</v>
      </c>
      <c r="F91" s="0" t="s">
        <v>4200</v>
      </c>
      <c r="G91" s="0" t="s">
        <v>4401</v>
      </c>
    </row>
    <row customHeight="1" ht="11.25">
      <c r="A92" s="0" t="s">
        <v>16</v>
      </c>
      <c r="B92" s="0" t="s">
        <v>4391</v>
      </c>
      <c r="C92" s="0" t="s">
        <v>4392</v>
      </c>
      <c r="D92" s="0" t="s">
        <v>4415</v>
      </c>
      <c r="E92" s="0" t="s">
        <v>4416</v>
      </c>
      <c r="F92" s="0" t="s">
        <v>4200</v>
      </c>
      <c r="G92" s="0" t="s">
        <v>4402</v>
      </c>
    </row>
    <row customHeight="1" ht="11.25">
      <c r="A93" s="0" t="s">
        <v>16</v>
      </c>
      <c r="B93" s="0" t="s">
        <v>4418</v>
      </c>
      <c r="C93" s="0" t="s">
        <v>4419</v>
      </c>
      <c r="D93" s="0" t="s">
        <v>4418</v>
      </c>
      <c r="E93" s="0" t="s">
        <v>4419</v>
      </c>
      <c r="F93" s="0" t="s">
        <v>4194</v>
      </c>
      <c r="G93" s="0" t="s">
        <v>4405</v>
      </c>
    </row>
    <row customHeight="1" ht="11.25">
      <c r="A94" s="0" t="s">
        <v>16</v>
      </c>
      <c r="B94" s="0" t="s">
        <v>4421</v>
      </c>
      <c r="C94" s="0" t="s">
        <v>4422</v>
      </c>
      <c r="D94" s="0" t="s">
        <v>4421</v>
      </c>
      <c r="E94" s="0" t="s">
        <v>4422</v>
      </c>
      <c r="F94" s="0" t="s">
        <v>4194</v>
      </c>
      <c r="G94" s="0" t="s">
        <v>4408</v>
      </c>
    </row>
    <row customHeight="1" ht="11.25">
      <c r="A95" s="0" t="s">
        <v>16</v>
      </c>
      <c r="B95" s="0" t="s">
        <v>4424</v>
      </c>
      <c r="C95" s="0" t="s">
        <v>4425</v>
      </c>
      <c r="D95" s="0" t="s">
        <v>4426</v>
      </c>
      <c r="E95" s="0" t="s">
        <v>4427</v>
      </c>
      <c r="F95" s="0" t="s">
        <v>4200</v>
      </c>
      <c r="G95" s="0" t="s">
        <v>4411</v>
      </c>
    </row>
    <row customHeight="1" ht="11.25">
      <c r="A96" s="0" t="s">
        <v>16</v>
      </c>
      <c r="B96" s="0" t="s">
        <v>4424</v>
      </c>
      <c r="C96" s="0" t="s">
        <v>4425</v>
      </c>
      <c r="D96" s="0" t="s">
        <v>4429</v>
      </c>
      <c r="E96" s="0" t="s">
        <v>4430</v>
      </c>
      <c r="F96" s="0" t="s">
        <v>4200</v>
      </c>
      <c r="G96" s="0" t="s">
        <v>4414</v>
      </c>
    </row>
    <row customHeight="1" ht="11.25">
      <c r="A97" s="0" t="s">
        <v>16</v>
      </c>
      <c r="B97" s="0" t="s">
        <v>4424</v>
      </c>
      <c r="C97" s="0" t="s">
        <v>4425</v>
      </c>
      <c r="D97" s="0" t="s">
        <v>4432</v>
      </c>
      <c r="E97" s="0" t="s">
        <v>4433</v>
      </c>
      <c r="F97" s="0" t="s">
        <v>4200</v>
      </c>
      <c r="G97" s="0" t="s">
        <v>4417</v>
      </c>
    </row>
    <row customHeight="1" ht="11.25">
      <c r="A98" s="0" t="s">
        <v>16</v>
      </c>
      <c r="B98" s="0" t="s">
        <v>4424</v>
      </c>
      <c r="C98" s="0" t="s">
        <v>4425</v>
      </c>
      <c r="D98" s="0" t="s">
        <v>4435</v>
      </c>
      <c r="E98" s="0" t="s">
        <v>4436</v>
      </c>
      <c r="F98" s="0" t="s">
        <v>4200</v>
      </c>
      <c r="G98" s="0" t="s">
        <v>4420</v>
      </c>
    </row>
    <row customHeight="1" ht="11.25">
      <c r="A99" s="0" t="s">
        <v>16</v>
      </c>
      <c r="B99" s="0" t="s">
        <v>4424</v>
      </c>
      <c r="C99" s="0" t="s">
        <v>4425</v>
      </c>
      <c r="D99" s="0" t="s">
        <v>4424</v>
      </c>
      <c r="E99" s="0" t="s">
        <v>4425</v>
      </c>
      <c r="F99" s="0" t="s">
        <v>4197</v>
      </c>
      <c r="G99" s="0" t="s">
        <v>4423</v>
      </c>
    </row>
    <row customHeight="1" ht="11.25">
      <c r="A100" s="0" t="s">
        <v>16</v>
      </c>
      <c r="B100" s="0" t="s">
        <v>4424</v>
      </c>
      <c r="C100" s="0" t="s">
        <v>4425</v>
      </c>
      <c r="D100" s="0" t="s">
        <v>4439</v>
      </c>
      <c r="E100" s="0" t="s">
        <v>4440</v>
      </c>
      <c r="F100" s="0" t="s">
        <v>4200</v>
      </c>
      <c r="G100" s="0" t="s">
        <v>4428</v>
      </c>
    </row>
    <row customHeight="1" ht="11.25">
      <c r="A101" s="0" t="s">
        <v>16</v>
      </c>
      <c r="B101" s="0" t="s">
        <v>4424</v>
      </c>
      <c r="C101" s="0" t="s">
        <v>4425</v>
      </c>
      <c r="D101" s="0" t="s">
        <v>4442</v>
      </c>
      <c r="E101" s="0" t="s">
        <v>4443</v>
      </c>
      <c r="F101" s="0" t="s">
        <v>4200</v>
      </c>
      <c r="G101" s="0" t="s">
        <v>4431</v>
      </c>
    </row>
    <row customHeight="1" ht="11.25">
      <c r="A102" s="0" t="s">
        <v>16</v>
      </c>
      <c r="B102" s="0" t="s">
        <v>4424</v>
      </c>
      <c r="C102" s="0" t="s">
        <v>4425</v>
      </c>
      <c r="D102" s="0" t="s">
        <v>4445</v>
      </c>
      <c r="E102" s="0" t="s">
        <v>4446</v>
      </c>
      <c r="F102" s="0" t="s">
        <v>4200</v>
      </c>
      <c r="G102" s="0" t="s">
        <v>4434</v>
      </c>
    </row>
    <row customHeight="1" ht="11.25">
      <c r="A103" s="0" t="s">
        <v>16</v>
      </c>
      <c r="B103" s="0" t="s">
        <v>4424</v>
      </c>
      <c r="C103" s="0" t="s">
        <v>4425</v>
      </c>
      <c r="D103" s="0" t="s">
        <v>4448</v>
      </c>
      <c r="E103" s="0" t="s">
        <v>4449</v>
      </c>
      <c r="F103" s="0" t="s">
        <v>4200</v>
      </c>
      <c r="G103" s="0" t="s">
        <v>4437</v>
      </c>
    </row>
    <row customHeight="1" ht="11.25">
      <c r="A104" s="0" t="s">
        <v>16</v>
      </c>
      <c r="B104" s="0" t="s">
        <v>4424</v>
      </c>
      <c r="C104" s="0" t="s">
        <v>4425</v>
      </c>
      <c r="D104" s="0" t="s">
        <v>4451</v>
      </c>
      <c r="E104" s="0" t="s">
        <v>4452</v>
      </c>
      <c r="F104" s="0" t="s">
        <v>4200</v>
      </c>
      <c r="G104" s="0" t="s">
        <v>4438</v>
      </c>
    </row>
    <row customHeight="1" ht="11.25">
      <c r="A105" s="0" t="s">
        <v>16</v>
      </c>
      <c r="B105" s="0" t="s">
        <v>4424</v>
      </c>
      <c r="C105" s="0" t="s">
        <v>4425</v>
      </c>
      <c r="D105" s="0" t="s">
        <v>4454</v>
      </c>
      <c r="E105" s="0" t="s">
        <v>4455</v>
      </c>
      <c r="F105" s="0" t="s">
        <v>4200</v>
      </c>
      <c r="G105" s="0" t="s">
        <v>4441</v>
      </c>
    </row>
    <row customHeight="1" ht="11.25">
      <c r="A106" s="0" t="s">
        <v>16</v>
      </c>
      <c r="B106" s="0" t="s">
        <v>4424</v>
      </c>
      <c r="C106" s="0" t="s">
        <v>4425</v>
      </c>
      <c r="D106" s="0" t="s">
        <v>4457</v>
      </c>
      <c r="E106" s="0" t="s">
        <v>4458</v>
      </c>
      <c r="F106" s="0" t="s">
        <v>4200</v>
      </c>
      <c r="G106" s="0" t="s">
        <v>4444</v>
      </c>
    </row>
    <row customHeight="1" ht="11.25">
      <c r="A107" s="0" t="s">
        <v>16</v>
      </c>
      <c r="B107" s="0" t="s">
        <v>4462</v>
      </c>
      <c r="C107" s="0" t="s">
        <v>4463</v>
      </c>
      <c r="D107" s="0" t="s">
        <v>4464</v>
      </c>
      <c r="E107" s="0" t="s">
        <v>4465</v>
      </c>
      <c r="F107" s="0" t="s">
        <v>4200</v>
      </c>
      <c r="G107" s="0" t="s">
        <v>4447</v>
      </c>
    </row>
    <row customHeight="1" ht="11.25">
      <c r="A108" s="0" t="s">
        <v>16</v>
      </c>
      <c r="B108" s="0" t="s">
        <v>4462</v>
      </c>
      <c r="C108" s="0" t="s">
        <v>4463</v>
      </c>
      <c r="D108" s="0" t="s">
        <v>4467</v>
      </c>
      <c r="E108" s="0" t="s">
        <v>4468</v>
      </c>
      <c r="F108" s="0" t="s">
        <v>4200</v>
      </c>
      <c r="G108" s="0" t="s">
        <v>4450</v>
      </c>
    </row>
    <row customHeight="1" ht="11.25">
      <c r="A109" s="0" t="s">
        <v>16</v>
      </c>
      <c r="B109" s="0" t="s">
        <v>4462</v>
      </c>
      <c r="C109" s="0" t="s">
        <v>4463</v>
      </c>
      <c r="D109" s="0" t="s">
        <v>4470</v>
      </c>
      <c r="E109" s="0" t="s">
        <v>4471</v>
      </c>
      <c r="F109" s="0" t="s">
        <v>4209</v>
      </c>
      <c r="G109" s="0" t="s">
        <v>4453</v>
      </c>
    </row>
    <row customHeight="1" ht="11.25">
      <c r="A110" s="0" t="s">
        <v>16</v>
      </c>
      <c r="B110" s="0" t="s">
        <v>4462</v>
      </c>
      <c r="C110" s="0" t="s">
        <v>4463</v>
      </c>
      <c r="D110" s="0" t="s">
        <v>4473</v>
      </c>
      <c r="E110" s="0" t="s">
        <v>4474</v>
      </c>
      <c r="F110" s="0" t="s">
        <v>4200</v>
      </c>
      <c r="G110" s="0" t="s">
        <v>4456</v>
      </c>
    </row>
    <row customHeight="1" ht="11.25">
      <c r="A111" s="0" t="s">
        <v>16</v>
      </c>
      <c r="B111" s="0" t="s">
        <v>4462</v>
      </c>
      <c r="C111" s="0" t="s">
        <v>4463</v>
      </c>
      <c r="D111" s="0" t="s">
        <v>4476</v>
      </c>
      <c r="E111" s="0" t="s">
        <v>4477</v>
      </c>
      <c r="F111" s="0" t="s">
        <v>4200</v>
      </c>
      <c r="G111" s="0" t="s">
        <v>4459</v>
      </c>
    </row>
    <row customHeight="1" ht="11.25">
      <c r="A112" s="0" t="s">
        <v>16</v>
      </c>
      <c r="B112" s="0" t="s">
        <v>4462</v>
      </c>
      <c r="C112" s="0" t="s">
        <v>4463</v>
      </c>
      <c r="D112" s="0" t="s">
        <v>4479</v>
      </c>
      <c r="E112" s="0" t="s">
        <v>4480</v>
      </c>
      <c r="F112" s="0" t="s">
        <v>4200</v>
      </c>
      <c r="G112" s="0" t="s">
        <v>655</v>
      </c>
    </row>
    <row customHeight="1" ht="11.25">
      <c r="A113" s="0" t="s">
        <v>16</v>
      </c>
      <c r="B113" s="0" t="s">
        <v>4462</v>
      </c>
      <c r="C113" s="0" t="s">
        <v>4463</v>
      </c>
      <c r="D113" s="0" t="s">
        <v>4462</v>
      </c>
      <c r="E113" s="0" t="s">
        <v>4463</v>
      </c>
      <c r="F113" s="0" t="s">
        <v>4197</v>
      </c>
      <c r="G113" s="0" t="s">
        <v>4466</v>
      </c>
    </row>
    <row customHeight="1" ht="11.25">
      <c r="A114" s="0" t="s">
        <v>16</v>
      </c>
      <c r="B114" s="0" t="s">
        <v>4462</v>
      </c>
      <c r="C114" s="0" t="s">
        <v>4463</v>
      </c>
      <c r="D114" s="0" t="s">
        <v>4483</v>
      </c>
      <c r="E114" s="0" t="s">
        <v>4484</v>
      </c>
      <c r="F114" s="0" t="s">
        <v>4209</v>
      </c>
      <c r="G114" s="0" t="s">
        <v>4469</v>
      </c>
    </row>
    <row customHeight="1" ht="11.25">
      <c r="A115" s="0" t="s">
        <v>16</v>
      </c>
      <c r="B115" s="0" t="s">
        <v>4462</v>
      </c>
      <c r="C115" s="0" t="s">
        <v>4463</v>
      </c>
      <c r="D115" s="0" t="s">
        <v>4486</v>
      </c>
      <c r="E115" s="0" t="s">
        <v>4487</v>
      </c>
      <c r="F115" s="0" t="s">
        <v>4209</v>
      </c>
      <c r="G115" s="0" t="s">
        <v>4472</v>
      </c>
    </row>
    <row customHeight="1" ht="11.25">
      <c r="A116" s="0" t="s">
        <v>16</v>
      </c>
      <c r="B116" s="0" t="s">
        <v>4462</v>
      </c>
      <c r="C116" s="0" t="s">
        <v>4463</v>
      </c>
      <c r="D116" s="0" t="s">
        <v>4489</v>
      </c>
      <c r="E116" s="0" t="s">
        <v>4490</v>
      </c>
      <c r="F116" s="0" t="s">
        <v>4200</v>
      </c>
      <c r="G116" s="0" t="s">
        <v>4475</v>
      </c>
    </row>
    <row customHeight="1" ht="11.25">
      <c r="A117" s="0" t="s">
        <v>16</v>
      </c>
      <c r="B117" s="0" t="s">
        <v>4462</v>
      </c>
      <c r="C117" s="0" t="s">
        <v>4463</v>
      </c>
      <c r="D117" s="0" t="s">
        <v>4492</v>
      </c>
      <c r="E117" s="0" t="s">
        <v>4493</v>
      </c>
      <c r="F117" s="0" t="s">
        <v>4200</v>
      </c>
      <c r="G117" s="0" t="s">
        <v>4478</v>
      </c>
    </row>
    <row customHeight="1" ht="11.25">
      <c r="A118" s="0" t="s">
        <v>16</v>
      </c>
      <c r="B118" s="0" t="s">
        <v>4462</v>
      </c>
      <c r="C118" s="0" t="s">
        <v>4463</v>
      </c>
      <c r="D118" s="0" t="s">
        <v>4495</v>
      </c>
      <c r="E118" s="0" t="s">
        <v>4496</v>
      </c>
      <c r="F118" s="0" t="s">
        <v>4200</v>
      </c>
      <c r="G118" s="0" t="s">
        <v>4481</v>
      </c>
    </row>
    <row customHeight="1" ht="11.25">
      <c r="A119" s="0" t="s">
        <v>16</v>
      </c>
      <c r="B119" s="0" t="s">
        <v>4462</v>
      </c>
      <c r="C119" s="0" t="s">
        <v>4463</v>
      </c>
      <c r="D119" s="0" t="s">
        <v>4498</v>
      </c>
      <c r="E119" s="0" t="s">
        <v>4499</v>
      </c>
      <c r="F119" s="0" t="s">
        <v>4200</v>
      </c>
      <c r="G119" s="0" t="s">
        <v>4482</v>
      </c>
    </row>
    <row customHeight="1" ht="11.25">
      <c r="A120" s="0" t="s">
        <v>16</v>
      </c>
      <c r="B120" s="0" t="s">
        <v>4462</v>
      </c>
      <c r="C120" s="0" t="s">
        <v>4463</v>
      </c>
      <c r="D120" s="0" t="s">
        <v>4501</v>
      </c>
      <c r="E120" s="0" t="s">
        <v>4502</v>
      </c>
      <c r="F120" s="0" t="s">
        <v>4200</v>
      </c>
      <c r="G120" s="0" t="s">
        <v>4485</v>
      </c>
    </row>
    <row customHeight="1" ht="11.25">
      <c r="A121" s="0" t="s">
        <v>16</v>
      </c>
      <c r="B121" s="0" t="s">
        <v>4510</v>
      </c>
      <c r="C121" s="0" t="s">
        <v>4511</v>
      </c>
      <c r="D121" s="0" t="s">
        <v>4512</v>
      </c>
      <c r="E121" s="0" t="s">
        <v>4513</v>
      </c>
      <c r="F121" s="0" t="s">
        <v>4200</v>
      </c>
      <c r="G121" s="0" t="s">
        <v>4488</v>
      </c>
    </row>
    <row customHeight="1" ht="11.25">
      <c r="A122" s="0" t="s">
        <v>16</v>
      </c>
      <c r="B122" s="0" t="s">
        <v>4510</v>
      </c>
      <c r="C122" s="0" t="s">
        <v>4511</v>
      </c>
      <c r="D122" s="0" t="s">
        <v>4515</v>
      </c>
      <c r="E122" s="0" t="s">
        <v>4516</v>
      </c>
      <c r="F122" s="0" t="s">
        <v>4200</v>
      </c>
      <c r="G122" s="0" t="s">
        <v>4491</v>
      </c>
    </row>
    <row customHeight="1" ht="11.25">
      <c r="A123" s="0" t="s">
        <v>16</v>
      </c>
      <c r="B123" s="0" t="s">
        <v>4510</v>
      </c>
      <c r="C123" s="0" t="s">
        <v>4511</v>
      </c>
      <c r="D123" s="0" t="s">
        <v>4518</v>
      </c>
      <c r="E123" s="0" t="s">
        <v>4519</v>
      </c>
      <c r="F123" s="0" t="s">
        <v>4200</v>
      </c>
      <c r="G123" s="0" t="s">
        <v>4494</v>
      </c>
    </row>
    <row customHeight="1" ht="11.25">
      <c r="A124" s="0" t="s">
        <v>16</v>
      </c>
      <c r="B124" s="0" t="s">
        <v>4510</v>
      </c>
      <c r="C124" s="0" t="s">
        <v>4511</v>
      </c>
      <c r="D124" s="0" t="s">
        <v>4521</v>
      </c>
      <c r="E124" s="0" t="s">
        <v>4522</v>
      </c>
      <c r="F124" s="0" t="s">
        <v>4200</v>
      </c>
      <c r="G124" s="0" t="s">
        <v>4497</v>
      </c>
    </row>
    <row customHeight="1" ht="11.25">
      <c r="A125" s="0" t="s">
        <v>16</v>
      </c>
      <c r="B125" s="0" t="s">
        <v>4510</v>
      </c>
      <c r="C125" s="0" t="s">
        <v>4511</v>
      </c>
      <c r="D125" s="0" t="s">
        <v>4524</v>
      </c>
      <c r="E125" s="0" t="s">
        <v>4525</v>
      </c>
      <c r="F125" s="0" t="s">
        <v>4200</v>
      </c>
      <c r="G125" s="0" t="s">
        <v>4500</v>
      </c>
    </row>
    <row customHeight="1" ht="11.25">
      <c r="A126" s="0" t="s">
        <v>16</v>
      </c>
      <c r="B126" s="0" t="s">
        <v>4510</v>
      </c>
      <c r="C126" s="0" t="s">
        <v>4511</v>
      </c>
      <c r="D126" s="0" t="s">
        <v>4527</v>
      </c>
      <c r="E126" s="0" t="s">
        <v>4528</v>
      </c>
      <c r="F126" s="0" t="s">
        <v>4200</v>
      </c>
      <c r="G126" s="0" t="s">
        <v>4503</v>
      </c>
    </row>
    <row customHeight="1" ht="11.25">
      <c r="A127" s="0" t="s">
        <v>16</v>
      </c>
      <c r="B127" s="0" t="s">
        <v>4510</v>
      </c>
      <c r="C127" s="0" t="s">
        <v>4511</v>
      </c>
      <c r="D127" s="0" t="s">
        <v>4530</v>
      </c>
      <c r="E127" s="0" t="s">
        <v>4531</v>
      </c>
      <c r="F127" s="0" t="s">
        <v>4200</v>
      </c>
      <c r="G127" s="0" t="s">
        <v>4506</v>
      </c>
    </row>
    <row customHeight="1" ht="11.25">
      <c r="A128" s="0" t="s">
        <v>16</v>
      </c>
      <c r="B128" s="0" t="s">
        <v>4510</v>
      </c>
      <c r="C128" s="0" t="s">
        <v>4511</v>
      </c>
      <c r="D128" s="0" t="s">
        <v>4533</v>
      </c>
      <c r="E128" s="0" t="s">
        <v>4534</v>
      </c>
      <c r="F128" s="0" t="s">
        <v>4200</v>
      </c>
      <c r="G128" s="0" t="s">
        <v>4509</v>
      </c>
    </row>
    <row customHeight="1" ht="11.25">
      <c r="A129" s="0" t="s">
        <v>16</v>
      </c>
      <c r="B129" s="0" t="s">
        <v>4510</v>
      </c>
      <c r="C129" s="0" t="s">
        <v>4511</v>
      </c>
      <c r="D129" s="0" t="s">
        <v>4536</v>
      </c>
      <c r="E129" s="0" t="s">
        <v>4537</v>
      </c>
      <c r="F129" s="0" t="s">
        <v>4200</v>
      </c>
      <c r="G129" s="0" t="s">
        <v>4514</v>
      </c>
    </row>
    <row customHeight="1" ht="11.25">
      <c r="A130" s="0" t="s">
        <v>16</v>
      </c>
      <c r="B130" s="0" t="s">
        <v>4510</v>
      </c>
      <c r="C130" s="0" t="s">
        <v>4511</v>
      </c>
      <c r="D130" s="0" t="s">
        <v>4510</v>
      </c>
      <c r="E130" s="0" t="s">
        <v>4511</v>
      </c>
      <c r="F130" s="0" t="s">
        <v>4197</v>
      </c>
      <c r="G130" s="0" t="s">
        <v>4517</v>
      </c>
    </row>
    <row customHeight="1" ht="11.25">
      <c r="A131" s="0" t="s">
        <v>16</v>
      </c>
      <c r="B131" s="0" t="s">
        <v>4510</v>
      </c>
      <c r="C131" s="0" t="s">
        <v>4511</v>
      </c>
      <c r="D131" s="0" t="s">
        <v>4540</v>
      </c>
      <c r="E131" s="0" t="s">
        <v>4541</v>
      </c>
      <c r="F131" s="0" t="s">
        <v>4200</v>
      </c>
      <c r="G131" s="0" t="s">
        <v>4520</v>
      </c>
    </row>
    <row customHeight="1" ht="11.25">
      <c r="A132" s="0" t="s">
        <v>16</v>
      </c>
      <c r="B132" s="0" t="s">
        <v>4510</v>
      </c>
      <c r="C132" s="0" t="s">
        <v>4511</v>
      </c>
      <c r="D132" s="0" t="s">
        <v>4543</v>
      </c>
      <c r="E132" s="0" t="s">
        <v>4544</v>
      </c>
      <c r="F132" s="0" t="s">
        <v>4200</v>
      </c>
      <c r="G132" s="0" t="s">
        <v>4523</v>
      </c>
    </row>
    <row customHeight="1" ht="11.25">
      <c r="A133" s="0" t="s">
        <v>16</v>
      </c>
      <c r="B133" s="0" t="s">
        <v>4510</v>
      </c>
      <c r="C133" s="0" t="s">
        <v>4511</v>
      </c>
      <c r="D133" s="0" t="s">
        <v>4546</v>
      </c>
      <c r="E133" s="0" t="s">
        <v>4547</v>
      </c>
      <c r="F133" s="0" t="s">
        <v>4548</v>
      </c>
      <c r="G133" s="0" t="s">
        <v>4526</v>
      </c>
    </row>
    <row customHeight="1" ht="11.25">
      <c r="A134" s="0" t="s">
        <v>16</v>
      </c>
      <c r="B134" s="0" t="s">
        <v>4510</v>
      </c>
      <c r="C134" s="0" t="s">
        <v>4511</v>
      </c>
      <c r="D134" s="0" t="s">
        <v>4550</v>
      </c>
      <c r="E134" s="0" t="s">
        <v>4551</v>
      </c>
      <c r="F134" s="0" t="s">
        <v>4200</v>
      </c>
      <c r="G134" s="0" t="s">
        <v>4529</v>
      </c>
    </row>
    <row customHeight="1" ht="11.25">
      <c r="A135" s="0" t="s">
        <v>16</v>
      </c>
      <c r="B135" s="0" t="s">
        <v>4510</v>
      </c>
      <c r="C135" s="0" t="s">
        <v>4511</v>
      </c>
      <c r="D135" s="0" t="s">
        <v>4553</v>
      </c>
      <c r="E135" s="0" t="s">
        <v>4554</v>
      </c>
      <c r="F135" s="0" t="s">
        <v>4200</v>
      </c>
      <c r="G135" s="0" t="s">
        <v>4532</v>
      </c>
    </row>
    <row customHeight="1" ht="11.25">
      <c r="A136" s="0" t="s">
        <v>16</v>
      </c>
      <c r="B136" s="0" t="s">
        <v>4510</v>
      </c>
      <c r="C136" s="0" t="s">
        <v>4511</v>
      </c>
      <c r="D136" s="0" t="s">
        <v>4556</v>
      </c>
      <c r="E136" s="0" t="s">
        <v>4557</v>
      </c>
      <c r="F136" s="0" t="s">
        <v>4200</v>
      </c>
      <c r="G136" s="0" t="s">
        <v>4535</v>
      </c>
    </row>
    <row customHeight="1" ht="11.25">
      <c r="A137" s="0" t="s">
        <v>16</v>
      </c>
      <c r="B137" s="0" t="s">
        <v>4510</v>
      </c>
      <c r="C137" s="0" t="s">
        <v>4511</v>
      </c>
      <c r="D137" s="0" t="s">
        <v>4559</v>
      </c>
      <c r="E137" s="0" t="s">
        <v>4560</v>
      </c>
      <c r="F137" s="0" t="s">
        <v>4200</v>
      </c>
      <c r="G137" s="0" t="s">
        <v>4538</v>
      </c>
    </row>
    <row customHeight="1" ht="11.25">
      <c r="A138" s="0" t="s">
        <v>16</v>
      </c>
      <c r="B138" s="0" t="s">
        <v>4565</v>
      </c>
      <c r="C138" s="0" t="s">
        <v>4566</v>
      </c>
      <c r="D138" s="0" t="s">
        <v>4567</v>
      </c>
      <c r="E138" s="0" t="s">
        <v>4568</v>
      </c>
      <c r="F138" s="0" t="s">
        <v>4200</v>
      </c>
      <c r="G138" s="0" t="s">
        <v>4539</v>
      </c>
    </row>
    <row customHeight="1" ht="11.25">
      <c r="A139" s="0" t="s">
        <v>16</v>
      </c>
      <c r="B139" s="0" t="s">
        <v>4565</v>
      </c>
      <c r="C139" s="0" t="s">
        <v>4566</v>
      </c>
      <c r="D139" s="0" t="s">
        <v>4570</v>
      </c>
      <c r="E139" s="0" t="s">
        <v>4571</v>
      </c>
      <c r="F139" s="0" t="s">
        <v>4200</v>
      </c>
      <c r="G139" s="0" t="s">
        <v>4542</v>
      </c>
    </row>
    <row customHeight="1" ht="11.25">
      <c r="A140" s="0" t="s">
        <v>16</v>
      </c>
      <c r="B140" s="0" t="s">
        <v>4565</v>
      </c>
      <c r="C140" s="0" t="s">
        <v>4566</v>
      </c>
      <c r="D140" s="0" t="s">
        <v>4573</v>
      </c>
      <c r="E140" s="0" t="s">
        <v>4574</v>
      </c>
      <c r="F140" s="0" t="s">
        <v>4200</v>
      </c>
      <c r="G140" s="0" t="s">
        <v>4545</v>
      </c>
    </row>
    <row customHeight="1" ht="11.25">
      <c r="A141" s="0" t="s">
        <v>16</v>
      </c>
      <c r="B141" s="0" t="s">
        <v>4565</v>
      </c>
      <c r="C141" s="0" t="s">
        <v>4566</v>
      </c>
      <c r="D141" s="0" t="s">
        <v>4576</v>
      </c>
      <c r="E141" s="0" t="s">
        <v>4577</v>
      </c>
      <c r="F141" s="0" t="s">
        <v>4200</v>
      </c>
      <c r="G141" s="0" t="s">
        <v>4549</v>
      </c>
    </row>
    <row customHeight="1" ht="11.25">
      <c r="A142" s="0" t="s">
        <v>16</v>
      </c>
      <c r="B142" s="0" t="s">
        <v>4565</v>
      </c>
      <c r="C142" s="0" t="s">
        <v>4566</v>
      </c>
      <c r="D142" s="0" t="s">
        <v>4565</v>
      </c>
      <c r="E142" s="0" t="s">
        <v>4566</v>
      </c>
      <c r="F142" s="0" t="s">
        <v>4197</v>
      </c>
      <c r="G142" s="0" t="s">
        <v>4552</v>
      </c>
    </row>
    <row customHeight="1" ht="11.25">
      <c r="A143" s="0" t="s">
        <v>16</v>
      </c>
      <c r="B143" s="0" t="s">
        <v>4565</v>
      </c>
      <c r="C143" s="0" t="s">
        <v>4566</v>
      </c>
      <c r="D143" s="0" t="s">
        <v>4580</v>
      </c>
      <c r="E143" s="0" t="s">
        <v>4581</v>
      </c>
      <c r="F143" s="0" t="s">
        <v>4200</v>
      </c>
      <c r="G143" s="0" t="s">
        <v>4555</v>
      </c>
    </row>
    <row customHeight="1" ht="11.25">
      <c r="A144" s="0" t="s">
        <v>16</v>
      </c>
      <c r="B144" s="0" t="s">
        <v>4565</v>
      </c>
      <c r="C144" s="0" t="s">
        <v>4566</v>
      </c>
      <c r="D144" s="0" t="s">
        <v>4583</v>
      </c>
      <c r="E144" s="0" t="s">
        <v>4584</v>
      </c>
      <c r="F144" s="0" t="s">
        <v>4200</v>
      </c>
      <c r="G144" s="0" t="s">
        <v>4558</v>
      </c>
    </row>
    <row customHeight="1" ht="11.25">
      <c r="A145" s="0" t="s">
        <v>16</v>
      </c>
      <c r="B145" s="0" t="s">
        <v>4565</v>
      </c>
      <c r="C145" s="0" t="s">
        <v>4566</v>
      </c>
      <c r="D145" s="0" t="s">
        <v>4586</v>
      </c>
      <c r="E145" s="0" t="s">
        <v>4587</v>
      </c>
      <c r="F145" s="0" t="s">
        <v>4200</v>
      </c>
      <c r="G145" s="0" t="s">
        <v>4561</v>
      </c>
    </row>
    <row customHeight="1" ht="11.25">
      <c r="A146" s="0" t="s">
        <v>16</v>
      </c>
      <c r="B146" s="0" t="s">
        <v>4565</v>
      </c>
      <c r="C146" s="0" t="s">
        <v>4566</v>
      </c>
      <c r="D146" s="0" t="s">
        <v>4589</v>
      </c>
      <c r="E146" s="0" t="s">
        <v>4590</v>
      </c>
      <c r="F146" s="0" t="s">
        <v>4200</v>
      </c>
      <c r="G146" s="0" t="s">
        <v>4564</v>
      </c>
    </row>
    <row customHeight="1" ht="11.25">
      <c r="A147" s="0" t="s">
        <v>16</v>
      </c>
      <c r="B147" s="0" t="s">
        <v>4565</v>
      </c>
      <c r="C147" s="0" t="s">
        <v>4566</v>
      </c>
      <c r="D147" s="0" t="s">
        <v>4592</v>
      </c>
      <c r="E147" s="0" t="s">
        <v>4593</v>
      </c>
      <c r="F147" s="0" t="s">
        <v>4200</v>
      </c>
      <c r="G147" s="0" t="s">
        <v>4569</v>
      </c>
    </row>
    <row customHeight="1" ht="11.25">
      <c r="A148" s="0" t="s">
        <v>16</v>
      </c>
      <c r="B148" s="0" t="s">
        <v>4565</v>
      </c>
      <c r="C148" s="0" t="s">
        <v>4566</v>
      </c>
      <c r="D148" s="0" t="s">
        <v>4595</v>
      </c>
      <c r="E148" s="0" t="s">
        <v>4596</v>
      </c>
      <c r="F148" s="0" t="s">
        <v>4200</v>
      </c>
      <c r="G148" s="0" t="s">
        <v>4572</v>
      </c>
    </row>
    <row customHeight="1" ht="11.25">
      <c r="A149" s="0" t="s">
        <v>16</v>
      </c>
      <c r="B149" s="0" t="s">
        <v>4565</v>
      </c>
      <c r="C149" s="0" t="s">
        <v>4566</v>
      </c>
      <c r="D149" s="0" t="s">
        <v>4598</v>
      </c>
      <c r="E149" s="0" t="s">
        <v>4599</v>
      </c>
      <c r="F149" s="0" t="s">
        <v>4200</v>
      </c>
      <c r="G149" s="0" t="s">
        <v>4575</v>
      </c>
    </row>
    <row customHeight="1" ht="11.25">
      <c r="A150" s="0" t="s">
        <v>16</v>
      </c>
      <c r="B150" s="0" t="s">
        <v>4565</v>
      </c>
      <c r="C150" s="0" t="s">
        <v>4566</v>
      </c>
      <c r="D150" s="0" t="s">
        <v>4601</v>
      </c>
      <c r="E150" s="0" t="s">
        <v>4602</v>
      </c>
      <c r="F150" s="0" t="s">
        <v>4200</v>
      </c>
      <c r="G150" s="0" t="s">
        <v>4578</v>
      </c>
    </row>
    <row customHeight="1" ht="11.25">
      <c r="A151" s="0" t="s">
        <v>16</v>
      </c>
      <c r="B151" s="0" t="s">
        <v>4565</v>
      </c>
      <c r="C151" s="0" t="s">
        <v>4566</v>
      </c>
      <c r="D151" s="0" t="s">
        <v>4604</v>
      </c>
      <c r="E151" s="0" t="s">
        <v>4605</v>
      </c>
      <c r="F151" s="0" t="s">
        <v>4200</v>
      </c>
      <c r="G151" s="0" t="s">
        <v>4579</v>
      </c>
    </row>
    <row customHeight="1" ht="11.25">
      <c r="A152" s="0" t="s">
        <v>16</v>
      </c>
      <c r="B152" s="0" t="s">
        <v>4565</v>
      </c>
      <c r="C152" s="0" t="s">
        <v>4566</v>
      </c>
      <c r="D152" s="0" t="s">
        <v>4607</v>
      </c>
      <c r="E152" s="0" t="s">
        <v>4608</v>
      </c>
      <c r="F152" s="0" t="s">
        <v>4200</v>
      </c>
      <c r="G152" s="0" t="s">
        <v>4582</v>
      </c>
    </row>
    <row customHeight="1" ht="11.25">
      <c r="A153" s="0" t="s">
        <v>16</v>
      </c>
      <c r="B153" s="0" t="s">
        <v>4613</v>
      </c>
      <c r="C153" s="0" t="s">
        <v>4614</v>
      </c>
      <c r="D153" s="0" t="s">
        <v>4615</v>
      </c>
      <c r="E153" s="0" t="s">
        <v>4616</v>
      </c>
      <c r="F153" s="0" t="s">
        <v>4200</v>
      </c>
      <c r="G153" s="0" t="s">
        <v>4585</v>
      </c>
    </row>
    <row customHeight="1" ht="11.25">
      <c r="A154" s="0" t="s">
        <v>16</v>
      </c>
      <c r="B154" s="0" t="s">
        <v>4613</v>
      </c>
      <c r="C154" s="0" t="s">
        <v>4614</v>
      </c>
      <c r="D154" s="0" t="s">
        <v>4618</v>
      </c>
      <c r="E154" s="0" t="s">
        <v>4619</v>
      </c>
      <c r="F154" s="0" t="s">
        <v>4200</v>
      </c>
      <c r="G154" s="0" t="s">
        <v>4588</v>
      </c>
    </row>
    <row customHeight="1" ht="11.25">
      <c r="A155" s="0" t="s">
        <v>16</v>
      </c>
      <c r="B155" s="0" t="s">
        <v>4613</v>
      </c>
      <c r="C155" s="0" t="s">
        <v>4614</v>
      </c>
      <c r="D155" s="0" t="s">
        <v>4621</v>
      </c>
      <c r="E155" s="0" t="s">
        <v>4622</v>
      </c>
      <c r="F155" s="0" t="s">
        <v>4200</v>
      </c>
      <c r="G155" s="0" t="s">
        <v>4591</v>
      </c>
    </row>
    <row customHeight="1" ht="11.25">
      <c r="A156" s="0" t="s">
        <v>16</v>
      </c>
      <c r="B156" s="0" t="s">
        <v>4613</v>
      </c>
      <c r="C156" s="0" t="s">
        <v>4614</v>
      </c>
      <c r="D156" s="0" t="s">
        <v>4624</v>
      </c>
      <c r="E156" s="0" t="s">
        <v>4625</v>
      </c>
      <c r="F156" s="0" t="s">
        <v>4200</v>
      </c>
      <c r="G156" s="0" t="s">
        <v>4594</v>
      </c>
    </row>
    <row customHeight="1" ht="11.25">
      <c r="A157" s="0" t="s">
        <v>16</v>
      </c>
      <c r="B157" s="0" t="s">
        <v>4613</v>
      </c>
      <c r="C157" s="0" t="s">
        <v>4614</v>
      </c>
      <c r="D157" s="0" t="s">
        <v>4627</v>
      </c>
      <c r="E157" s="0" t="s">
        <v>4628</v>
      </c>
      <c r="F157" s="0" t="s">
        <v>4200</v>
      </c>
      <c r="G157" s="0" t="s">
        <v>4597</v>
      </c>
    </row>
    <row customHeight="1" ht="11.25">
      <c r="A158" s="0" t="s">
        <v>16</v>
      </c>
      <c r="B158" s="0" t="s">
        <v>4613</v>
      </c>
      <c r="C158" s="0" t="s">
        <v>4614</v>
      </c>
      <c r="D158" s="0" t="s">
        <v>4630</v>
      </c>
      <c r="E158" s="0" t="s">
        <v>4631</v>
      </c>
      <c r="F158" s="0" t="s">
        <v>4209</v>
      </c>
      <c r="G158" s="0" t="s">
        <v>4600</v>
      </c>
    </row>
    <row customHeight="1" ht="11.25">
      <c r="A159" s="0" t="s">
        <v>16</v>
      </c>
      <c r="B159" s="0" t="s">
        <v>4613</v>
      </c>
      <c r="C159" s="0" t="s">
        <v>4614</v>
      </c>
      <c r="D159" s="0" t="s">
        <v>4613</v>
      </c>
      <c r="E159" s="0" t="s">
        <v>4614</v>
      </c>
      <c r="F159" s="0" t="s">
        <v>4197</v>
      </c>
      <c r="G159" s="0" t="s">
        <v>4603</v>
      </c>
    </row>
    <row customHeight="1" ht="11.25">
      <c r="A160" s="0" t="s">
        <v>16</v>
      </c>
      <c r="B160" s="0" t="s">
        <v>4613</v>
      </c>
      <c r="C160" s="0" t="s">
        <v>4614</v>
      </c>
      <c r="D160" s="0" t="s">
        <v>4634</v>
      </c>
      <c r="E160" s="0" t="s">
        <v>4635</v>
      </c>
      <c r="F160" s="0" t="s">
        <v>4200</v>
      </c>
      <c r="G160" s="0" t="s">
        <v>4606</v>
      </c>
    </row>
    <row customHeight="1" ht="11.25">
      <c r="A161" s="0" t="s">
        <v>16</v>
      </c>
      <c r="B161" s="0" t="s">
        <v>4613</v>
      </c>
      <c r="C161" s="0" t="s">
        <v>4614</v>
      </c>
      <c r="D161" s="0" t="s">
        <v>4637</v>
      </c>
      <c r="E161" s="0" t="s">
        <v>4638</v>
      </c>
      <c r="F161" s="0" t="s">
        <v>4200</v>
      </c>
      <c r="G161" s="0" t="s">
        <v>4609</v>
      </c>
    </row>
    <row customHeight="1" ht="11.25">
      <c r="A162" s="0" t="s">
        <v>16</v>
      </c>
      <c r="B162" s="0" t="s">
        <v>4613</v>
      </c>
      <c r="C162" s="0" t="s">
        <v>4614</v>
      </c>
      <c r="D162" s="0" t="s">
        <v>4640</v>
      </c>
      <c r="E162" s="0" t="s">
        <v>4641</v>
      </c>
      <c r="F162" s="0" t="s">
        <v>4200</v>
      </c>
      <c r="G162" s="0" t="s">
        <v>4612</v>
      </c>
    </row>
    <row customHeight="1" ht="11.25">
      <c r="A163" s="0" t="s">
        <v>16</v>
      </c>
      <c r="B163" s="0" t="s">
        <v>4613</v>
      </c>
      <c r="C163" s="0" t="s">
        <v>4614</v>
      </c>
      <c r="D163" s="0" t="s">
        <v>4643</v>
      </c>
      <c r="E163" s="0" t="s">
        <v>4644</v>
      </c>
      <c r="F163" s="0" t="s">
        <v>4200</v>
      </c>
      <c r="G163" s="0" t="s">
        <v>4617</v>
      </c>
    </row>
    <row customHeight="1" ht="11.25">
      <c r="A164" s="0" t="s">
        <v>16</v>
      </c>
      <c r="B164" s="0" t="s">
        <v>4613</v>
      </c>
      <c r="C164" s="0" t="s">
        <v>4614</v>
      </c>
      <c r="D164" s="0" t="s">
        <v>4646</v>
      </c>
      <c r="E164" s="0" t="s">
        <v>4647</v>
      </c>
      <c r="F164" s="0" t="s">
        <v>4200</v>
      </c>
      <c r="G164" s="0" t="s">
        <v>4620</v>
      </c>
    </row>
    <row customHeight="1" ht="11.25">
      <c r="A165" s="0" t="s">
        <v>16</v>
      </c>
      <c r="B165" s="0" t="s">
        <v>4613</v>
      </c>
      <c r="C165" s="0" t="s">
        <v>4614</v>
      </c>
      <c r="D165" s="0" t="s">
        <v>4649</v>
      </c>
      <c r="E165" s="0" t="s">
        <v>4650</v>
      </c>
      <c r="F165" s="0" t="s">
        <v>4200</v>
      </c>
      <c r="G165" s="0" t="s">
        <v>4623</v>
      </c>
    </row>
    <row customHeight="1" ht="11.25">
      <c r="A166" s="0" t="s">
        <v>16</v>
      </c>
      <c r="B166" s="0" t="s">
        <v>4613</v>
      </c>
      <c r="C166" s="0" t="s">
        <v>4614</v>
      </c>
      <c r="D166" s="0" t="s">
        <v>4652</v>
      </c>
      <c r="E166" s="0" t="s">
        <v>4653</v>
      </c>
      <c r="F166" s="0" t="s">
        <v>4200</v>
      </c>
      <c r="G166" s="0" t="s">
        <v>4626</v>
      </c>
    </row>
    <row customHeight="1" ht="11.25">
      <c r="A167" s="0" t="s">
        <v>16</v>
      </c>
      <c r="B167" s="0" t="s">
        <v>4613</v>
      </c>
      <c r="C167" s="0" t="s">
        <v>4614</v>
      </c>
      <c r="D167" s="0" t="s">
        <v>4655</v>
      </c>
      <c r="E167" s="0" t="s">
        <v>4656</v>
      </c>
      <c r="F167" s="0" t="s">
        <v>4200</v>
      </c>
      <c r="G167" s="0" t="s">
        <v>4629</v>
      </c>
    </row>
    <row customHeight="1" ht="11.25">
      <c r="A168" s="0" t="s">
        <v>16</v>
      </c>
      <c r="B168" s="0" t="s">
        <v>4613</v>
      </c>
      <c r="C168" s="0" t="s">
        <v>4614</v>
      </c>
      <c r="D168" s="0" t="s">
        <v>4658</v>
      </c>
      <c r="E168" s="0" t="s">
        <v>4659</v>
      </c>
      <c r="F168" s="0" t="s">
        <v>4200</v>
      </c>
      <c r="G168" s="0" t="s">
        <v>4632</v>
      </c>
    </row>
    <row customHeight="1" ht="11.25">
      <c r="A169" s="0" t="s">
        <v>16</v>
      </c>
      <c r="B169" s="0" t="s">
        <v>4661</v>
      </c>
      <c r="C169" s="0" t="s">
        <v>4662</v>
      </c>
      <c r="D169" s="0" t="s">
        <v>4661</v>
      </c>
      <c r="E169" s="0" t="s">
        <v>4662</v>
      </c>
      <c r="F169" s="0" t="s">
        <v>4194</v>
      </c>
      <c r="G169" s="0" t="s">
        <v>4633</v>
      </c>
    </row>
    <row customHeight="1" ht="11.25">
      <c r="A170" s="0" t="s">
        <v>16</v>
      </c>
      <c r="B170" s="0" t="s">
        <v>4664</v>
      </c>
      <c r="C170" s="0" t="s">
        <v>4665</v>
      </c>
      <c r="D170" s="0" t="s">
        <v>4666</v>
      </c>
      <c r="E170" s="0" t="s">
        <v>4667</v>
      </c>
      <c r="F170" s="0" t="s">
        <v>4209</v>
      </c>
      <c r="G170" s="0" t="s">
        <v>4636</v>
      </c>
    </row>
    <row customHeight="1" ht="11.25">
      <c r="A171" s="0" t="s">
        <v>16</v>
      </c>
      <c r="B171" s="0" t="s">
        <v>4664</v>
      </c>
      <c r="C171" s="0" t="s">
        <v>4665</v>
      </c>
      <c r="D171" s="0" t="s">
        <v>4669</v>
      </c>
      <c r="E171" s="0" t="s">
        <v>4670</v>
      </c>
      <c r="F171" s="0" t="s">
        <v>4209</v>
      </c>
      <c r="G171" s="0" t="s">
        <v>4639</v>
      </c>
    </row>
    <row customHeight="1" ht="11.25">
      <c r="A172" s="0" t="s">
        <v>16</v>
      </c>
      <c r="B172" s="0" t="s">
        <v>4664</v>
      </c>
      <c r="C172" s="0" t="s">
        <v>4665</v>
      </c>
      <c r="D172" s="0" t="s">
        <v>4264</v>
      </c>
      <c r="E172" s="0" t="s">
        <v>4672</v>
      </c>
      <c r="F172" s="0" t="s">
        <v>4209</v>
      </c>
      <c r="G172" s="0" t="s">
        <v>4642</v>
      </c>
    </row>
    <row customHeight="1" ht="11.25">
      <c r="A173" s="0" t="s">
        <v>16</v>
      </c>
      <c r="B173" s="0" t="s">
        <v>4664</v>
      </c>
      <c r="C173" s="0" t="s">
        <v>4665</v>
      </c>
      <c r="D173" s="0" t="s">
        <v>4674</v>
      </c>
      <c r="E173" s="0" t="s">
        <v>4675</v>
      </c>
      <c r="F173" s="0" t="s">
        <v>4209</v>
      </c>
      <c r="G173" s="0" t="s">
        <v>4645</v>
      </c>
    </row>
    <row customHeight="1" ht="11.25">
      <c r="A174" s="0" t="s">
        <v>16</v>
      </c>
      <c r="B174" s="0" t="s">
        <v>4664</v>
      </c>
      <c r="C174" s="0" t="s">
        <v>4665</v>
      </c>
      <c r="D174" s="0" t="s">
        <v>4677</v>
      </c>
      <c r="E174" s="0" t="s">
        <v>4678</v>
      </c>
      <c r="F174" s="0" t="s">
        <v>4548</v>
      </c>
      <c r="G174" s="0" t="s">
        <v>4648</v>
      </c>
    </row>
    <row customHeight="1" ht="11.25">
      <c r="A175" s="0" t="s">
        <v>16</v>
      </c>
      <c r="B175" s="0" t="s">
        <v>4664</v>
      </c>
      <c r="C175" s="0" t="s">
        <v>4665</v>
      </c>
      <c r="D175" s="0" t="s">
        <v>4664</v>
      </c>
      <c r="E175" s="0" t="s">
        <v>4665</v>
      </c>
      <c r="F175" s="0" t="s">
        <v>4197</v>
      </c>
      <c r="G175" s="0" t="s">
        <v>4651</v>
      </c>
    </row>
    <row customHeight="1" ht="11.25">
      <c r="A176" s="0" t="s">
        <v>16</v>
      </c>
      <c r="B176" s="0" t="s">
        <v>4664</v>
      </c>
      <c r="C176" s="0" t="s">
        <v>4665</v>
      </c>
      <c r="D176" s="0" t="s">
        <v>4681</v>
      </c>
      <c r="E176" s="0" t="s">
        <v>4682</v>
      </c>
      <c r="F176" s="0" t="s">
        <v>4236</v>
      </c>
      <c r="G176" s="0" t="s">
        <v>4654</v>
      </c>
    </row>
    <row customHeight="1" ht="11.25">
      <c r="A177" s="0" t="s">
        <v>16</v>
      </c>
      <c r="B177" s="0" t="s">
        <v>4664</v>
      </c>
      <c r="C177" s="0" t="s">
        <v>4665</v>
      </c>
      <c r="D177" s="0" t="s">
        <v>4684</v>
      </c>
      <c r="E177" s="0" t="s">
        <v>4685</v>
      </c>
      <c r="F177" s="0" t="s">
        <v>4200</v>
      </c>
      <c r="G177" s="0" t="s">
        <v>4657</v>
      </c>
    </row>
    <row customHeight="1" ht="11.25">
      <c r="A178" s="0" t="s">
        <v>16</v>
      </c>
      <c r="B178" s="0" t="s">
        <v>4664</v>
      </c>
      <c r="C178" s="0" t="s">
        <v>4665</v>
      </c>
      <c r="D178" s="0" t="s">
        <v>4687</v>
      </c>
      <c r="E178" s="0" t="s">
        <v>4688</v>
      </c>
      <c r="F178" s="0" t="s">
        <v>4200</v>
      </c>
      <c r="G178" s="0" t="s">
        <v>4660</v>
      </c>
    </row>
    <row customHeight="1" ht="11.25">
      <c r="A179" s="0" t="s">
        <v>16</v>
      </c>
      <c r="B179" s="0" t="s">
        <v>4693</v>
      </c>
      <c r="C179" s="0" t="s">
        <v>4694</v>
      </c>
      <c r="D179" s="0" t="s">
        <v>4695</v>
      </c>
      <c r="E179" s="0" t="s">
        <v>4696</v>
      </c>
      <c r="F179" s="0" t="s">
        <v>4200</v>
      </c>
      <c r="G179" s="0" t="s">
        <v>4663</v>
      </c>
    </row>
    <row customHeight="1" ht="11.25">
      <c r="A180" s="0" t="s">
        <v>16</v>
      </c>
      <c r="B180" s="0" t="s">
        <v>4693</v>
      </c>
      <c r="C180" s="0" t="s">
        <v>4694</v>
      </c>
      <c r="D180" s="0" t="s">
        <v>4698</v>
      </c>
      <c r="E180" s="0" t="s">
        <v>4699</v>
      </c>
      <c r="F180" s="0" t="s">
        <v>4200</v>
      </c>
      <c r="G180" s="0" t="s">
        <v>4668</v>
      </c>
    </row>
    <row customHeight="1" ht="11.25">
      <c r="A181" s="0" t="s">
        <v>16</v>
      </c>
      <c r="B181" s="0" t="s">
        <v>4693</v>
      </c>
      <c r="C181" s="0" t="s">
        <v>4694</v>
      </c>
      <c r="D181" s="0" t="s">
        <v>4701</v>
      </c>
      <c r="E181" s="0" t="s">
        <v>4702</v>
      </c>
      <c r="F181" s="0" t="s">
        <v>4200</v>
      </c>
      <c r="G181" s="0" t="s">
        <v>4671</v>
      </c>
    </row>
    <row customHeight="1" ht="11.25">
      <c r="A182" s="0" t="s">
        <v>16</v>
      </c>
      <c r="B182" s="0" t="s">
        <v>4693</v>
      </c>
      <c r="C182" s="0" t="s">
        <v>4694</v>
      </c>
      <c r="D182" s="0" t="s">
        <v>4704</v>
      </c>
      <c r="E182" s="0" t="s">
        <v>4705</v>
      </c>
      <c r="F182" s="0" t="s">
        <v>4200</v>
      </c>
      <c r="G182" s="0" t="s">
        <v>4673</v>
      </c>
    </row>
    <row customHeight="1" ht="11.25">
      <c r="A183" s="0" t="s">
        <v>16</v>
      </c>
      <c r="B183" s="0" t="s">
        <v>4693</v>
      </c>
      <c r="C183" s="0" t="s">
        <v>4694</v>
      </c>
      <c r="D183" s="0" t="s">
        <v>4707</v>
      </c>
      <c r="E183" s="0" t="s">
        <v>4708</v>
      </c>
      <c r="F183" s="0" t="s">
        <v>4200</v>
      </c>
      <c r="G183" s="0" t="s">
        <v>4676</v>
      </c>
    </row>
    <row customHeight="1" ht="11.25">
      <c r="A184" s="0" t="s">
        <v>16</v>
      </c>
      <c r="B184" s="0" t="s">
        <v>4693</v>
      </c>
      <c r="C184" s="0" t="s">
        <v>4694</v>
      </c>
      <c r="D184" s="0" t="s">
        <v>4710</v>
      </c>
      <c r="E184" s="0" t="s">
        <v>4711</v>
      </c>
      <c r="F184" s="0" t="s">
        <v>4200</v>
      </c>
      <c r="G184" s="0" t="s">
        <v>4679</v>
      </c>
    </row>
    <row customHeight="1" ht="11.25">
      <c r="A185" s="0" t="s">
        <v>16</v>
      </c>
      <c r="B185" s="0" t="s">
        <v>4693</v>
      </c>
      <c r="C185" s="0" t="s">
        <v>4694</v>
      </c>
      <c r="D185" s="0" t="s">
        <v>4713</v>
      </c>
      <c r="E185" s="0" t="s">
        <v>4714</v>
      </c>
      <c r="F185" s="0" t="s">
        <v>4200</v>
      </c>
      <c r="G185" s="0" t="s">
        <v>4680</v>
      </c>
    </row>
    <row customHeight="1" ht="11.25">
      <c r="A186" s="0" t="s">
        <v>16</v>
      </c>
      <c r="B186" s="0" t="s">
        <v>4693</v>
      </c>
      <c r="C186" s="0" t="s">
        <v>4694</v>
      </c>
      <c r="D186" s="0" t="s">
        <v>4716</v>
      </c>
      <c r="E186" s="0" t="s">
        <v>4717</v>
      </c>
      <c r="F186" s="0" t="s">
        <v>4200</v>
      </c>
      <c r="G186" s="0" t="s">
        <v>4683</v>
      </c>
    </row>
    <row customHeight="1" ht="11.25">
      <c r="A187" s="0" t="s">
        <v>16</v>
      </c>
      <c r="B187" s="0" t="s">
        <v>4693</v>
      </c>
      <c r="C187" s="0" t="s">
        <v>4694</v>
      </c>
      <c r="D187" s="0" t="s">
        <v>4719</v>
      </c>
      <c r="E187" s="0" t="s">
        <v>4720</v>
      </c>
      <c r="F187" s="0" t="s">
        <v>4200</v>
      </c>
      <c r="G187" s="0" t="s">
        <v>4686</v>
      </c>
    </row>
    <row customHeight="1" ht="11.25">
      <c r="A188" s="0" t="s">
        <v>16</v>
      </c>
      <c r="B188" s="0" t="s">
        <v>4693</v>
      </c>
      <c r="C188" s="0" t="s">
        <v>4694</v>
      </c>
      <c r="D188" s="0" t="s">
        <v>4693</v>
      </c>
      <c r="E188" s="0" t="s">
        <v>4694</v>
      </c>
      <c r="F188" s="0" t="s">
        <v>4197</v>
      </c>
      <c r="G188" s="0" t="s">
        <v>4689</v>
      </c>
    </row>
    <row customHeight="1" ht="11.25">
      <c r="A189" s="0" t="s">
        <v>16</v>
      </c>
      <c r="B189" s="0" t="s">
        <v>4693</v>
      </c>
      <c r="C189" s="0" t="s">
        <v>4694</v>
      </c>
      <c r="D189" s="0" t="s">
        <v>4723</v>
      </c>
      <c r="E189" s="0" t="s">
        <v>4724</v>
      </c>
      <c r="F189" s="0" t="s">
        <v>4236</v>
      </c>
      <c r="G189" s="0" t="s">
        <v>4692</v>
      </c>
    </row>
    <row customHeight="1" ht="11.25">
      <c r="A190" s="0" t="s">
        <v>16</v>
      </c>
      <c r="B190" s="0" t="s">
        <v>4693</v>
      </c>
      <c r="C190" s="0" t="s">
        <v>4694</v>
      </c>
      <c r="D190" s="0" t="s">
        <v>4726</v>
      </c>
      <c r="E190" s="0" t="s">
        <v>4727</v>
      </c>
      <c r="F190" s="0" t="s">
        <v>4200</v>
      </c>
      <c r="G190" s="0" t="s">
        <v>4697</v>
      </c>
    </row>
    <row customHeight="1" ht="11.25">
      <c r="A191" s="0" t="s">
        <v>16</v>
      </c>
      <c r="B191" s="0" t="s">
        <v>4693</v>
      </c>
      <c r="C191" s="0" t="s">
        <v>4694</v>
      </c>
      <c r="D191" s="0" t="s">
        <v>4729</v>
      </c>
      <c r="E191" s="0" t="s">
        <v>4730</v>
      </c>
      <c r="F191" s="0" t="s">
        <v>4200</v>
      </c>
      <c r="G191" s="0" t="s">
        <v>4700</v>
      </c>
    </row>
    <row customHeight="1" ht="11.25">
      <c r="A192" s="0" t="s">
        <v>16</v>
      </c>
      <c r="B192" s="0" t="s">
        <v>4693</v>
      </c>
      <c r="C192" s="0" t="s">
        <v>4694</v>
      </c>
      <c r="D192" s="0" t="s">
        <v>4732</v>
      </c>
      <c r="E192" s="0" t="s">
        <v>4733</v>
      </c>
      <c r="F192" s="0" t="s">
        <v>4200</v>
      </c>
      <c r="G192" s="0" t="s">
        <v>4703</v>
      </c>
    </row>
    <row customHeight="1" ht="11.25">
      <c r="A193" s="0" t="s">
        <v>16</v>
      </c>
      <c r="B193" s="0" t="s">
        <v>4693</v>
      </c>
      <c r="C193" s="0" t="s">
        <v>4694</v>
      </c>
      <c r="D193" s="0" t="s">
        <v>4735</v>
      </c>
      <c r="E193" s="0" t="s">
        <v>4736</v>
      </c>
      <c r="F193" s="0" t="s">
        <v>4200</v>
      </c>
      <c r="G193" s="0" t="s">
        <v>4706</v>
      </c>
    </row>
    <row customHeight="1" ht="11.25">
      <c r="A194" s="0" t="s">
        <v>16</v>
      </c>
      <c r="B194" s="0" t="s">
        <v>4693</v>
      </c>
      <c r="C194" s="0" t="s">
        <v>4694</v>
      </c>
      <c r="D194" s="0" t="s">
        <v>4738</v>
      </c>
      <c r="E194" s="0" t="s">
        <v>4739</v>
      </c>
      <c r="F194" s="0" t="s">
        <v>4209</v>
      </c>
      <c r="G194" s="0" t="s">
        <v>4709</v>
      </c>
    </row>
    <row customHeight="1" ht="11.25">
      <c r="A195" s="0" t="s">
        <v>16</v>
      </c>
      <c r="B195" s="0" t="s">
        <v>4741</v>
      </c>
      <c r="C195" s="0" t="s">
        <v>4742</v>
      </c>
      <c r="D195" s="0" t="s">
        <v>4741</v>
      </c>
      <c r="E195" s="0" t="s">
        <v>4742</v>
      </c>
      <c r="F195" s="0" t="s">
        <v>4194</v>
      </c>
      <c r="G195" s="0" t="s">
        <v>4712</v>
      </c>
    </row>
    <row customHeight="1" ht="11.25">
      <c r="A196" s="0" t="s">
        <v>16</v>
      </c>
      <c r="B196" s="0" t="s">
        <v>4747</v>
      </c>
      <c r="C196" s="0" t="s">
        <v>4748</v>
      </c>
      <c r="D196" s="0" t="s">
        <v>4749</v>
      </c>
      <c r="E196" s="0" t="s">
        <v>4750</v>
      </c>
      <c r="F196" s="0" t="s">
        <v>4200</v>
      </c>
      <c r="G196" s="0" t="s">
        <v>4715</v>
      </c>
    </row>
    <row customHeight="1" ht="11.25">
      <c r="A197" s="0" t="s">
        <v>16</v>
      </c>
      <c r="B197" s="0" t="s">
        <v>4747</v>
      </c>
      <c r="C197" s="0" t="s">
        <v>4748</v>
      </c>
      <c r="D197" s="0" t="s">
        <v>4752</v>
      </c>
      <c r="E197" s="0" t="s">
        <v>4753</v>
      </c>
      <c r="F197" s="0" t="s">
        <v>4200</v>
      </c>
      <c r="G197" s="0" t="s">
        <v>4718</v>
      </c>
    </row>
    <row customHeight="1" ht="11.25">
      <c r="A198" s="0" t="s">
        <v>16</v>
      </c>
      <c r="B198" s="0" t="s">
        <v>4747</v>
      </c>
      <c r="C198" s="0" t="s">
        <v>4748</v>
      </c>
      <c r="D198" s="0" t="s">
        <v>4755</v>
      </c>
      <c r="E198" s="0" t="s">
        <v>4756</v>
      </c>
      <c r="F198" s="0" t="s">
        <v>4200</v>
      </c>
      <c r="G198" s="0" t="s">
        <v>4721</v>
      </c>
    </row>
    <row customHeight="1" ht="11.25">
      <c r="A199" s="0" t="s">
        <v>16</v>
      </c>
      <c r="B199" s="0" t="s">
        <v>4747</v>
      </c>
      <c r="C199" s="0" t="s">
        <v>4748</v>
      </c>
      <c r="D199" s="0" t="s">
        <v>4758</v>
      </c>
      <c r="E199" s="0" t="s">
        <v>4759</v>
      </c>
      <c r="F199" s="0" t="s">
        <v>4200</v>
      </c>
      <c r="G199" s="0" t="s">
        <v>4722</v>
      </c>
    </row>
    <row customHeight="1" ht="11.25">
      <c r="A200" s="0" t="s">
        <v>16</v>
      </c>
      <c r="B200" s="0" t="s">
        <v>4747</v>
      </c>
      <c r="C200" s="0" t="s">
        <v>4748</v>
      </c>
      <c r="D200" s="0" t="s">
        <v>4761</v>
      </c>
      <c r="E200" s="0" t="s">
        <v>4762</v>
      </c>
      <c r="F200" s="0" t="s">
        <v>4200</v>
      </c>
      <c r="G200" s="0" t="s">
        <v>4725</v>
      </c>
    </row>
    <row customHeight="1" ht="11.25">
      <c r="A201" s="0" t="s">
        <v>16</v>
      </c>
      <c r="B201" s="0" t="s">
        <v>4747</v>
      </c>
      <c r="C201" s="0" t="s">
        <v>4748</v>
      </c>
      <c r="D201" s="0" t="s">
        <v>4764</v>
      </c>
      <c r="E201" s="0" t="s">
        <v>4765</v>
      </c>
      <c r="F201" s="0" t="s">
        <v>4209</v>
      </c>
      <c r="G201" s="0" t="s">
        <v>4728</v>
      </c>
    </row>
    <row customHeight="1" ht="11.25">
      <c r="A202" s="0" t="s">
        <v>16</v>
      </c>
      <c r="B202" s="0" t="s">
        <v>4747</v>
      </c>
      <c r="C202" s="0" t="s">
        <v>4748</v>
      </c>
      <c r="D202" s="0" t="s">
        <v>4767</v>
      </c>
      <c r="E202" s="0" t="s">
        <v>4768</v>
      </c>
      <c r="F202" s="0" t="s">
        <v>4209</v>
      </c>
      <c r="G202" s="0" t="s">
        <v>4731</v>
      </c>
    </row>
    <row customHeight="1" ht="11.25">
      <c r="A203" s="0" t="s">
        <v>16</v>
      </c>
      <c r="B203" s="0" t="s">
        <v>4747</v>
      </c>
      <c r="C203" s="0" t="s">
        <v>4748</v>
      </c>
      <c r="D203" s="0" t="s">
        <v>4770</v>
      </c>
      <c r="E203" s="0" t="s">
        <v>4771</v>
      </c>
      <c r="F203" s="0" t="s">
        <v>4200</v>
      </c>
      <c r="G203" s="0" t="s">
        <v>4734</v>
      </c>
    </row>
    <row customHeight="1" ht="11.25">
      <c r="A204" s="0" t="s">
        <v>16</v>
      </c>
      <c r="B204" s="0" t="s">
        <v>4747</v>
      </c>
      <c r="C204" s="0" t="s">
        <v>4748</v>
      </c>
      <c r="D204" s="0" t="s">
        <v>4747</v>
      </c>
      <c r="E204" s="0" t="s">
        <v>4748</v>
      </c>
      <c r="F204" s="0" t="s">
        <v>4197</v>
      </c>
      <c r="G204" s="0" t="s">
        <v>4737</v>
      </c>
    </row>
    <row customHeight="1" ht="11.25">
      <c r="A205" s="0" t="s">
        <v>16</v>
      </c>
      <c r="B205" s="0" t="s">
        <v>4747</v>
      </c>
      <c r="C205" s="0" t="s">
        <v>4748</v>
      </c>
      <c r="D205" s="0" t="s">
        <v>4774</v>
      </c>
      <c r="E205" s="0" t="s">
        <v>4775</v>
      </c>
      <c r="F205" s="0" t="s">
        <v>4209</v>
      </c>
      <c r="G205" s="0" t="s">
        <v>4740</v>
      </c>
    </row>
    <row customHeight="1" ht="11.25">
      <c r="A206" s="0" t="s">
        <v>16</v>
      </c>
      <c r="B206" s="0" t="s">
        <v>4747</v>
      </c>
      <c r="C206" s="0" t="s">
        <v>4748</v>
      </c>
      <c r="D206" s="0" t="s">
        <v>4777</v>
      </c>
      <c r="E206" s="0" t="s">
        <v>4778</v>
      </c>
      <c r="F206" s="0" t="s">
        <v>4200</v>
      </c>
      <c r="G206" s="0" t="s">
        <v>4743</v>
      </c>
    </row>
    <row customHeight="1" ht="11.25">
      <c r="A207" s="0" t="s">
        <v>16</v>
      </c>
      <c r="B207" s="0" t="s">
        <v>4747</v>
      </c>
      <c r="C207" s="0" t="s">
        <v>4748</v>
      </c>
      <c r="D207" s="0" t="s">
        <v>4780</v>
      </c>
      <c r="E207" s="0" t="s">
        <v>4781</v>
      </c>
      <c r="F207" s="0" t="s">
        <v>4200</v>
      </c>
      <c r="G207" s="0" t="s">
        <v>4746</v>
      </c>
    </row>
    <row customHeight="1" ht="11.25">
      <c r="A208" s="0" t="s">
        <v>16</v>
      </c>
      <c r="B208" s="0" t="s">
        <v>4747</v>
      </c>
      <c r="C208" s="0" t="s">
        <v>4748</v>
      </c>
      <c r="D208" s="0" t="s">
        <v>4783</v>
      </c>
      <c r="E208" s="0" t="s">
        <v>4784</v>
      </c>
      <c r="F208" s="0" t="s">
        <v>4200</v>
      </c>
      <c r="G208" s="0" t="s">
        <v>4751</v>
      </c>
    </row>
    <row customHeight="1" ht="11.25">
      <c r="A209" s="0" t="s">
        <v>16</v>
      </c>
      <c r="B209" s="0" t="s">
        <v>4747</v>
      </c>
      <c r="C209" s="0" t="s">
        <v>4748</v>
      </c>
      <c r="D209" s="0" t="s">
        <v>4786</v>
      </c>
      <c r="E209" s="0" t="s">
        <v>4787</v>
      </c>
      <c r="F209" s="0" t="s">
        <v>4200</v>
      </c>
      <c r="G209" s="0" t="s">
        <v>4754</v>
      </c>
    </row>
    <row customHeight="1" ht="11.25">
      <c r="A210" s="0" t="s">
        <v>16</v>
      </c>
      <c r="B210" s="0" t="s">
        <v>4747</v>
      </c>
      <c r="C210" s="0" t="s">
        <v>4748</v>
      </c>
      <c r="D210" s="0" t="s">
        <v>4789</v>
      </c>
      <c r="E210" s="0" t="s">
        <v>4790</v>
      </c>
      <c r="F210" s="0" t="s">
        <v>4200</v>
      </c>
      <c r="G210" s="0" t="s">
        <v>4757</v>
      </c>
    </row>
    <row customHeight="1" ht="11.25">
      <c r="A211" s="0" t="s">
        <v>16</v>
      </c>
      <c r="B211" s="0" t="s">
        <v>4747</v>
      </c>
      <c r="C211" s="0" t="s">
        <v>4748</v>
      </c>
      <c r="D211" s="0" t="s">
        <v>4792</v>
      </c>
      <c r="E211" s="0" t="s">
        <v>4793</v>
      </c>
      <c r="F211" s="0" t="s">
        <v>4200</v>
      </c>
      <c r="G211" s="0" t="s">
        <v>4760</v>
      </c>
    </row>
    <row customHeight="1" ht="11.25">
      <c r="A212" s="0" t="s">
        <v>16</v>
      </c>
      <c r="B212" s="0" t="s">
        <v>4747</v>
      </c>
      <c r="C212" s="0" t="s">
        <v>4748</v>
      </c>
      <c r="D212" s="0" t="s">
        <v>4280</v>
      </c>
      <c r="E212" s="0" t="s">
        <v>4795</v>
      </c>
      <c r="F212" s="0" t="s">
        <v>4200</v>
      </c>
      <c r="G212" s="0" t="s">
        <v>4763</v>
      </c>
    </row>
    <row customHeight="1" ht="11.25">
      <c r="A213" s="0" t="s">
        <v>16</v>
      </c>
      <c r="B213" s="0" t="s">
        <v>4747</v>
      </c>
      <c r="C213" s="0" t="s">
        <v>4748</v>
      </c>
      <c r="D213" s="0" t="s">
        <v>4797</v>
      </c>
      <c r="E213" s="0" t="s">
        <v>4798</v>
      </c>
      <c r="F213" s="0" t="s">
        <v>4200</v>
      </c>
      <c r="G213" s="0" t="s">
        <v>4766</v>
      </c>
    </row>
    <row customHeight="1" ht="11.25">
      <c r="A214" s="0" t="s">
        <v>16</v>
      </c>
      <c r="B214" s="0" t="s">
        <v>4747</v>
      </c>
      <c r="C214" s="0" t="s">
        <v>4748</v>
      </c>
      <c r="D214" s="0" t="s">
        <v>4800</v>
      </c>
      <c r="E214" s="0" t="s">
        <v>4801</v>
      </c>
      <c r="F214" s="0" t="s">
        <v>4200</v>
      </c>
      <c r="G214" s="0" t="s">
        <v>4769</v>
      </c>
    </row>
    <row customHeight="1" ht="11.25">
      <c r="A215" s="0" t="s">
        <v>16</v>
      </c>
      <c r="B215" s="0" t="s">
        <v>4747</v>
      </c>
      <c r="C215" s="0" t="s">
        <v>4748</v>
      </c>
      <c r="D215" s="0" t="s">
        <v>4803</v>
      </c>
      <c r="E215" s="0" t="s">
        <v>4804</v>
      </c>
      <c r="F215" s="0" t="s">
        <v>4209</v>
      </c>
      <c r="G215" s="0" t="s">
        <v>4772</v>
      </c>
    </row>
    <row customHeight="1" ht="11.25">
      <c r="A216" s="0" t="s">
        <v>16</v>
      </c>
      <c r="B216" s="0" t="s">
        <v>4806</v>
      </c>
      <c r="C216" s="0" t="s">
        <v>4807</v>
      </c>
      <c r="D216" s="0" t="s">
        <v>4806</v>
      </c>
      <c r="E216" s="0" t="s">
        <v>4807</v>
      </c>
      <c r="F216" s="0" t="s">
        <v>4194</v>
      </c>
      <c r="G216" s="0" t="s">
        <v>4773</v>
      </c>
    </row>
    <row customHeight="1" ht="11.25">
      <c r="A217" s="0" t="s">
        <v>16</v>
      </c>
      <c r="B217" s="0" t="s">
        <v>4809</v>
      </c>
      <c r="C217" s="0" t="s">
        <v>4810</v>
      </c>
      <c r="D217" s="0" t="s">
        <v>4811</v>
      </c>
      <c r="E217" s="0" t="s">
        <v>4812</v>
      </c>
      <c r="F217" s="0" t="s">
        <v>4200</v>
      </c>
      <c r="G217" s="0" t="s">
        <v>4776</v>
      </c>
    </row>
    <row customHeight="1" ht="11.25">
      <c r="A218" s="0" t="s">
        <v>16</v>
      </c>
      <c r="B218" s="0" t="s">
        <v>4809</v>
      </c>
      <c r="C218" s="0" t="s">
        <v>4810</v>
      </c>
      <c r="D218" s="0" t="s">
        <v>4814</v>
      </c>
      <c r="E218" s="0" t="s">
        <v>4815</v>
      </c>
      <c r="F218" s="0" t="s">
        <v>4200</v>
      </c>
      <c r="G218" s="0" t="s">
        <v>4779</v>
      </c>
    </row>
    <row customHeight="1" ht="11.25">
      <c r="A219" s="0" t="s">
        <v>16</v>
      </c>
      <c r="B219" s="0" t="s">
        <v>4809</v>
      </c>
      <c r="C219" s="0" t="s">
        <v>4810</v>
      </c>
      <c r="D219" s="0" t="s">
        <v>4817</v>
      </c>
      <c r="E219" s="0" t="s">
        <v>4818</v>
      </c>
      <c r="F219" s="0" t="s">
        <v>4200</v>
      </c>
      <c r="G219" s="0" t="s">
        <v>4782</v>
      </c>
    </row>
    <row customHeight="1" ht="11.25">
      <c r="A220" s="0" t="s">
        <v>16</v>
      </c>
      <c r="B220" s="0" t="s">
        <v>4809</v>
      </c>
      <c r="C220" s="0" t="s">
        <v>4810</v>
      </c>
      <c r="D220" s="0" t="s">
        <v>4820</v>
      </c>
      <c r="E220" s="0" t="s">
        <v>4821</v>
      </c>
      <c r="F220" s="0" t="s">
        <v>4200</v>
      </c>
      <c r="G220" s="0" t="s">
        <v>4785</v>
      </c>
    </row>
    <row customHeight="1" ht="11.25">
      <c r="A221" s="0" t="s">
        <v>16</v>
      </c>
      <c r="B221" s="0" t="s">
        <v>4809</v>
      </c>
      <c r="C221" s="0" t="s">
        <v>4810</v>
      </c>
      <c r="D221" s="0" t="s">
        <v>4823</v>
      </c>
      <c r="E221" s="0" t="s">
        <v>4824</v>
      </c>
      <c r="F221" s="0" t="s">
        <v>4200</v>
      </c>
      <c r="G221" s="0" t="s">
        <v>4788</v>
      </c>
    </row>
    <row customHeight="1" ht="11.25">
      <c r="A222" s="0" t="s">
        <v>16</v>
      </c>
      <c r="B222" s="0" t="s">
        <v>4809</v>
      </c>
      <c r="C222" s="0" t="s">
        <v>4810</v>
      </c>
      <c r="D222" s="0" t="s">
        <v>4826</v>
      </c>
      <c r="E222" s="0" t="s">
        <v>4827</v>
      </c>
      <c r="F222" s="0" t="s">
        <v>4200</v>
      </c>
      <c r="G222" s="0" t="s">
        <v>4791</v>
      </c>
    </row>
    <row customHeight="1" ht="11.25">
      <c r="A223" s="0" t="s">
        <v>16</v>
      </c>
      <c r="B223" s="0" t="s">
        <v>4809</v>
      </c>
      <c r="C223" s="0" t="s">
        <v>4810</v>
      </c>
      <c r="D223" s="0" t="s">
        <v>4829</v>
      </c>
      <c r="E223" s="0" t="s">
        <v>4830</v>
      </c>
      <c r="F223" s="0" t="s">
        <v>4200</v>
      </c>
      <c r="G223" s="0" t="s">
        <v>4794</v>
      </c>
    </row>
    <row customHeight="1" ht="11.25">
      <c r="A224" s="0" t="s">
        <v>16</v>
      </c>
      <c r="B224" s="0" t="s">
        <v>4809</v>
      </c>
      <c r="C224" s="0" t="s">
        <v>4810</v>
      </c>
      <c r="D224" s="0" t="s">
        <v>4832</v>
      </c>
      <c r="E224" s="0" t="s">
        <v>4833</v>
      </c>
      <c r="F224" s="0" t="s">
        <v>4200</v>
      </c>
      <c r="G224" s="0" t="s">
        <v>4796</v>
      </c>
    </row>
    <row customHeight="1" ht="11.25">
      <c r="A225" s="0" t="s">
        <v>16</v>
      </c>
      <c r="B225" s="0" t="s">
        <v>4809</v>
      </c>
      <c r="C225" s="0" t="s">
        <v>4810</v>
      </c>
      <c r="D225" s="0" t="s">
        <v>4809</v>
      </c>
      <c r="E225" s="0" t="s">
        <v>4810</v>
      </c>
      <c r="F225" s="0" t="s">
        <v>4197</v>
      </c>
      <c r="G225" s="0" t="s">
        <v>4799</v>
      </c>
    </row>
    <row customHeight="1" ht="11.25">
      <c r="A226" s="0" t="s">
        <v>16</v>
      </c>
      <c r="B226" s="0" t="s">
        <v>4809</v>
      </c>
      <c r="C226" s="0" t="s">
        <v>4810</v>
      </c>
      <c r="D226" s="0" t="s">
        <v>4836</v>
      </c>
      <c r="E226" s="0" t="s">
        <v>4837</v>
      </c>
      <c r="F226" s="0" t="s">
        <v>4200</v>
      </c>
      <c r="G226" s="0" t="s">
        <v>4802</v>
      </c>
    </row>
    <row customHeight="1" ht="11.25">
      <c r="A227" s="0" t="s">
        <v>16</v>
      </c>
      <c r="B227" s="0" t="s">
        <v>4809</v>
      </c>
      <c r="C227" s="0" t="s">
        <v>4810</v>
      </c>
      <c r="D227" s="0" t="s">
        <v>4839</v>
      </c>
      <c r="E227" s="0" t="s">
        <v>4840</v>
      </c>
      <c r="F227" s="0" t="s">
        <v>4200</v>
      </c>
      <c r="G227" s="0" t="s">
        <v>4805</v>
      </c>
    </row>
    <row customHeight="1" ht="11.25">
      <c r="A228" s="0" t="s">
        <v>16</v>
      </c>
      <c r="B228" s="0" t="s">
        <v>4809</v>
      </c>
      <c r="C228" s="0" t="s">
        <v>4810</v>
      </c>
      <c r="D228" s="0" t="s">
        <v>4284</v>
      </c>
      <c r="E228" s="0" t="s">
        <v>4842</v>
      </c>
      <c r="F228" s="0" t="s">
        <v>4200</v>
      </c>
      <c r="G228" s="0" t="s">
        <v>4808</v>
      </c>
    </row>
    <row customHeight="1" ht="11.25">
      <c r="A229" s="0" t="s">
        <v>16</v>
      </c>
      <c r="B229" s="0" t="s">
        <v>4847</v>
      </c>
      <c r="C229" s="0" t="s">
        <v>4848</v>
      </c>
      <c r="D229" s="0" t="s">
        <v>4849</v>
      </c>
      <c r="E229" s="0" t="s">
        <v>4850</v>
      </c>
      <c r="F229" s="0" t="s">
        <v>4200</v>
      </c>
      <c r="G229" s="0" t="s">
        <v>4813</v>
      </c>
    </row>
    <row customHeight="1" ht="11.25">
      <c r="A230" s="0" t="s">
        <v>16</v>
      </c>
      <c r="B230" s="0" t="s">
        <v>4847</v>
      </c>
      <c r="C230" s="0" t="s">
        <v>4848</v>
      </c>
      <c r="D230" s="0" t="s">
        <v>4852</v>
      </c>
      <c r="E230" s="0" t="s">
        <v>4853</v>
      </c>
      <c r="F230" s="0" t="s">
        <v>4200</v>
      </c>
      <c r="G230" s="0" t="s">
        <v>4816</v>
      </c>
    </row>
    <row customHeight="1" ht="11.25">
      <c r="A231" s="0" t="s">
        <v>16</v>
      </c>
      <c r="B231" s="0" t="s">
        <v>4847</v>
      </c>
      <c r="C231" s="0" t="s">
        <v>4848</v>
      </c>
      <c r="D231" s="0" t="s">
        <v>4854</v>
      </c>
      <c r="E231" s="0" t="s">
        <v>4855</v>
      </c>
      <c r="F231" s="0" t="s">
        <v>4200</v>
      </c>
      <c r="G231" s="0" t="s">
        <v>4819</v>
      </c>
    </row>
    <row customHeight="1" ht="11.25">
      <c r="A232" s="0" t="s">
        <v>16</v>
      </c>
      <c r="B232" s="0" t="s">
        <v>4847</v>
      </c>
      <c r="C232" s="0" t="s">
        <v>4848</v>
      </c>
      <c r="D232" s="0" t="s">
        <v>4857</v>
      </c>
      <c r="E232" s="0" t="s">
        <v>4858</v>
      </c>
      <c r="F232" s="0" t="s">
        <v>4200</v>
      </c>
      <c r="G232" s="0" t="s">
        <v>4822</v>
      </c>
    </row>
    <row customHeight="1" ht="11.25">
      <c r="A233" s="0" t="s">
        <v>16</v>
      </c>
      <c r="B233" s="0" t="s">
        <v>4847</v>
      </c>
      <c r="C233" s="0" t="s">
        <v>4848</v>
      </c>
      <c r="D233" s="0" t="s">
        <v>4860</v>
      </c>
      <c r="E233" s="0" t="s">
        <v>4861</v>
      </c>
      <c r="F233" s="0" t="s">
        <v>4200</v>
      </c>
      <c r="G233" s="0" t="s">
        <v>4825</v>
      </c>
    </row>
    <row customHeight="1" ht="11.25">
      <c r="A234" s="0" t="s">
        <v>16</v>
      </c>
      <c r="B234" s="0" t="s">
        <v>4847</v>
      </c>
      <c r="C234" s="0" t="s">
        <v>4848</v>
      </c>
      <c r="D234" s="0" t="s">
        <v>4863</v>
      </c>
      <c r="E234" s="0" t="s">
        <v>4864</v>
      </c>
      <c r="F234" s="0" t="s">
        <v>4200</v>
      </c>
      <c r="G234" s="0" t="s">
        <v>4828</v>
      </c>
    </row>
    <row customHeight="1" ht="11.25">
      <c r="A235" s="0" t="s">
        <v>16</v>
      </c>
      <c r="B235" s="0" t="s">
        <v>4847</v>
      </c>
      <c r="C235" s="0" t="s">
        <v>4848</v>
      </c>
      <c r="D235" s="0" t="s">
        <v>4866</v>
      </c>
      <c r="E235" s="0" t="s">
        <v>4867</v>
      </c>
      <c r="F235" s="0" t="s">
        <v>4209</v>
      </c>
      <c r="G235" s="0" t="s">
        <v>4831</v>
      </c>
    </row>
    <row customHeight="1" ht="11.25">
      <c r="A236" s="0" t="s">
        <v>16</v>
      </c>
      <c r="B236" s="0" t="s">
        <v>4847</v>
      </c>
      <c r="C236" s="0" t="s">
        <v>4848</v>
      </c>
      <c r="D236" s="0" t="s">
        <v>4869</v>
      </c>
      <c r="E236" s="0" t="s">
        <v>4870</v>
      </c>
      <c r="F236" s="0" t="s">
        <v>4200</v>
      </c>
      <c r="G236" s="0" t="s">
        <v>4834</v>
      </c>
    </row>
    <row customHeight="1" ht="11.25">
      <c r="A237" s="0" t="s">
        <v>16</v>
      </c>
      <c r="B237" s="0" t="s">
        <v>4847</v>
      </c>
      <c r="C237" s="0" t="s">
        <v>4848</v>
      </c>
      <c r="D237" s="0" t="s">
        <v>4847</v>
      </c>
      <c r="E237" s="0" t="s">
        <v>4848</v>
      </c>
      <c r="F237" s="0" t="s">
        <v>4197</v>
      </c>
      <c r="G237" s="0" t="s">
        <v>4835</v>
      </c>
    </row>
    <row customHeight="1" ht="11.25">
      <c r="A238" s="0" t="s">
        <v>16</v>
      </c>
      <c r="B238" s="0" t="s">
        <v>4847</v>
      </c>
      <c r="C238" s="0" t="s">
        <v>4848</v>
      </c>
      <c r="D238" s="0" t="s">
        <v>4873</v>
      </c>
      <c r="E238" s="0" t="s">
        <v>4874</v>
      </c>
      <c r="F238" s="0" t="s">
        <v>4200</v>
      </c>
      <c r="G238" s="0" t="s">
        <v>4838</v>
      </c>
    </row>
    <row customHeight="1" ht="11.25">
      <c r="A239" s="0" t="s">
        <v>16</v>
      </c>
      <c r="B239" s="0" t="s">
        <v>4847</v>
      </c>
      <c r="C239" s="0" t="s">
        <v>4848</v>
      </c>
      <c r="D239" s="0" t="s">
        <v>4876</v>
      </c>
      <c r="E239" s="0" t="s">
        <v>4877</v>
      </c>
      <c r="F239" s="0" t="s">
        <v>4200</v>
      </c>
      <c r="G239" s="0" t="s">
        <v>4841</v>
      </c>
    </row>
    <row customHeight="1" ht="11.25">
      <c r="A240" s="0" t="s">
        <v>16</v>
      </c>
      <c r="B240" s="0" t="s">
        <v>4847</v>
      </c>
      <c r="C240" s="0" t="s">
        <v>4848</v>
      </c>
      <c r="D240" s="0" t="s">
        <v>4879</v>
      </c>
      <c r="E240" s="0" t="s">
        <v>4880</v>
      </c>
      <c r="F240" s="0" t="s">
        <v>4200</v>
      </c>
      <c r="G240" s="0" t="s">
        <v>4843</v>
      </c>
    </row>
    <row customHeight="1" ht="11.25">
      <c r="A241" s="0" t="s">
        <v>16</v>
      </c>
      <c r="B241" s="0" t="s">
        <v>4847</v>
      </c>
      <c r="C241" s="0" t="s">
        <v>4848</v>
      </c>
      <c r="D241" s="0" t="s">
        <v>4882</v>
      </c>
      <c r="E241" s="0" t="s">
        <v>4883</v>
      </c>
      <c r="F241" s="0" t="s">
        <v>4200</v>
      </c>
      <c r="G241" s="0" t="s">
        <v>4846</v>
      </c>
    </row>
    <row customHeight="1" ht="11.25">
      <c r="A242" s="0" t="s">
        <v>16</v>
      </c>
      <c r="B242" s="0" t="s">
        <v>4847</v>
      </c>
      <c r="C242" s="0" t="s">
        <v>4848</v>
      </c>
      <c r="D242" s="0" t="s">
        <v>4885</v>
      </c>
      <c r="E242" s="0" t="s">
        <v>4886</v>
      </c>
      <c r="F242" s="0" t="s">
        <v>4200</v>
      </c>
      <c r="G242" s="0" t="s">
        <v>4851</v>
      </c>
    </row>
    <row customHeight="1" ht="11.25">
      <c r="A243" s="0" t="s">
        <v>16</v>
      </c>
      <c r="B243" s="0" t="s">
        <v>109</v>
      </c>
      <c r="C243" s="0" t="s">
        <v>110</v>
      </c>
      <c r="D243" s="0" t="s">
        <v>109</v>
      </c>
      <c r="E243" s="0" t="s">
        <v>110</v>
      </c>
      <c r="F243" s="0" t="s">
        <v>4194</v>
      </c>
      <c r="G243" s="0" t="s">
        <v>108</v>
      </c>
    </row>
    <row customHeight="1" ht="11.25">
      <c r="A244" s="0" t="s">
        <v>16</v>
      </c>
      <c r="B244" s="0" t="s">
        <v>4889</v>
      </c>
      <c r="C244" s="0" t="s">
        <v>4890</v>
      </c>
      <c r="D244" s="0" t="s">
        <v>4891</v>
      </c>
      <c r="E244" s="0" t="s">
        <v>4892</v>
      </c>
      <c r="F244" s="0" t="s">
        <v>4200</v>
      </c>
      <c r="G244" s="0" t="s">
        <v>4856</v>
      </c>
    </row>
    <row customHeight="1" ht="11.25">
      <c r="A245" s="0" t="s">
        <v>16</v>
      </c>
      <c r="B245" s="0" t="s">
        <v>4889</v>
      </c>
      <c r="C245" s="0" t="s">
        <v>4890</v>
      </c>
      <c r="D245" s="0" t="s">
        <v>4894</v>
      </c>
      <c r="E245" s="0" t="s">
        <v>4895</v>
      </c>
      <c r="F245" s="0" t="s">
        <v>4200</v>
      </c>
      <c r="G245" s="0" t="s">
        <v>4859</v>
      </c>
    </row>
    <row customHeight="1" ht="11.25">
      <c r="A246" s="0" t="s">
        <v>16</v>
      </c>
      <c r="B246" s="0" t="s">
        <v>4889</v>
      </c>
      <c r="C246" s="0" t="s">
        <v>4890</v>
      </c>
      <c r="D246" s="0" t="s">
        <v>4897</v>
      </c>
      <c r="E246" s="0" t="s">
        <v>4898</v>
      </c>
      <c r="F246" s="0" t="s">
        <v>4200</v>
      </c>
      <c r="G246" s="0" t="s">
        <v>4862</v>
      </c>
    </row>
    <row customHeight="1" ht="11.25">
      <c r="A247" s="0" t="s">
        <v>16</v>
      </c>
      <c r="B247" s="0" t="s">
        <v>4889</v>
      </c>
      <c r="C247" s="0" t="s">
        <v>4890</v>
      </c>
      <c r="D247" s="0" t="s">
        <v>4900</v>
      </c>
      <c r="E247" s="0" t="s">
        <v>4901</v>
      </c>
      <c r="F247" s="0" t="s">
        <v>4200</v>
      </c>
      <c r="G247" s="0" t="s">
        <v>4865</v>
      </c>
    </row>
    <row customHeight="1" ht="11.25">
      <c r="A248" s="0" t="s">
        <v>16</v>
      </c>
      <c r="B248" s="0" t="s">
        <v>4889</v>
      </c>
      <c r="C248" s="0" t="s">
        <v>4890</v>
      </c>
      <c r="D248" s="0" t="s">
        <v>4903</v>
      </c>
      <c r="E248" s="0" t="s">
        <v>4904</v>
      </c>
      <c r="F248" s="0" t="s">
        <v>4200</v>
      </c>
      <c r="G248" s="0" t="s">
        <v>4868</v>
      </c>
    </row>
    <row customHeight="1" ht="11.25">
      <c r="A249" s="0" t="s">
        <v>16</v>
      </c>
      <c r="B249" s="0" t="s">
        <v>4889</v>
      </c>
      <c r="C249" s="0" t="s">
        <v>4890</v>
      </c>
      <c r="D249" s="0" t="s">
        <v>4906</v>
      </c>
      <c r="E249" s="0" t="s">
        <v>4907</v>
      </c>
      <c r="F249" s="0" t="s">
        <v>4209</v>
      </c>
      <c r="G249" s="0" t="s">
        <v>4871</v>
      </c>
    </row>
    <row customHeight="1" ht="11.25">
      <c r="A250" s="0" t="s">
        <v>16</v>
      </c>
      <c r="B250" s="0" t="s">
        <v>4889</v>
      </c>
      <c r="C250" s="0" t="s">
        <v>4890</v>
      </c>
      <c r="D250" s="0" t="s">
        <v>4909</v>
      </c>
      <c r="E250" s="0" t="s">
        <v>4910</v>
      </c>
      <c r="F250" s="0" t="s">
        <v>4548</v>
      </c>
      <c r="G250" s="0" t="s">
        <v>4872</v>
      </c>
    </row>
    <row customHeight="1" ht="11.25">
      <c r="A251" s="0" t="s">
        <v>16</v>
      </c>
      <c r="B251" s="0" t="s">
        <v>4889</v>
      </c>
      <c r="C251" s="0" t="s">
        <v>4890</v>
      </c>
      <c r="D251" s="0" t="s">
        <v>4912</v>
      </c>
      <c r="E251" s="0" t="s">
        <v>4913</v>
      </c>
      <c r="F251" s="0" t="s">
        <v>4200</v>
      </c>
      <c r="G251" s="0" t="s">
        <v>4875</v>
      </c>
    </row>
    <row customHeight="1" ht="11.25">
      <c r="A252" s="0" t="s">
        <v>16</v>
      </c>
      <c r="B252" s="0" t="s">
        <v>4889</v>
      </c>
      <c r="C252" s="0" t="s">
        <v>4890</v>
      </c>
      <c r="D252" s="0" t="s">
        <v>4889</v>
      </c>
      <c r="E252" s="0" t="s">
        <v>4890</v>
      </c>
      <c r="F252" s="0" t="s">
        <v>4197</v>
      </c>
      <c r="G252" s="0" t="s">
        <v>4878</v>
      </c>
    </row>
    <row customHeight="1" ht="11.25">
      <c r="A253" s="0" t="s">
        <v>16</v>
      </c>
      <c r="B253" s="0" t="s">
        <v>4889</v>
      </c>
      <c r="C253" s="0" t="s">
        <v>4890</v>
      </c>
      <c r="D253" s="0" t="s">
        <v>4916</v>
      </c>
      <c r="E253" s="0" t="s">
        <v>4917</v>
      </c>
      <c r="F253" s="0" t="s">
        <v>4236</v>
      </c>
      <c r="G253" s="0" t="s">
        <v>4881</v>
      </c>
    </row>
    <row customHeight="1" ht="11.25">
      <c r="A254" s="0" t="s">
        <v>16</v>
      </c>
      <c r="B254" s="0" t="s">
        <v>4889</v>
      </c>
      <c r="C254" s="0" t="s">
        <v>4890</v>
      </c>
      <c r="D254" s="0" t="s">
        <v>4919</v>
      </c>
      <c r="E254" s="0" t="s">
        <v>4920</v>
      </c>
      <c r="F254" s="0" t="s">
        <v>4209</v>
      </c>
      <c r="G254" s="0" t="s">
        <v>4884</v>
      </c>
    </row>
    <row customHeight="1" ht="11.25">
      <c r="A255" s="0" t="s">
        <v>16</v>
      </c>
      <c r="B255" s="0" t="s">
        <v>4889</v>
      </c>
      <c r="C255" s="0" t="s">
        <v>4890</v>
      </c>
      <c r="D255" s="0" t="s">
        <v>4922</v>
      </c>
      <c r="E255" s="0" t="s">
        <v>4923</v>
      </c>
      <c r="F255" s="0" t="s">
        <v>4200</v>
      </c>
      <c r="G255" s="0" t="s">
        <v>4887</v>
      </c>
    </row>
    <row customHeight="1" ht="11.25">
      <c r="A256" s="0" t="s">
        <v>16</v>
      </c>
      <c r="B256" s="0" t="s">
        <v>4889</v>
      </c>
      <c r="C256" s="0" t="s">
        <v>4890</v>
      </c>
      <c r="D256" s="0" t="s">
        <v>4925</v>
      </c>
      <c r="E256" s="0" t="s">
        <v>4926</v>
      </c>
      <c r="F256" s="0" t="s">
        <v>4200</v>
      </c>
      <c r="G256" s="0" t="s">
        <v>4888</v>
      </c>
    </row>
    <row customHeight="1" ht="11.25">
      <c r="A257" s="0" t="s">
        <v>16</v>
      </c>
      <c r="B257" s="0" t="s">
        <v>4889</v>
      </c>
      <c r="C257" s="0" t="s">
        <v>4890</v>
      </c>
      <c r="D257" s="0" t="s">
        <v>4928</v>
      </c>
      <c r="E257" s="0" t="s">
        <v>4929</v>
      </c>
      <c r="F257" s="0" t="s">
        <v>4200</v>
      </c>
      <c r="G257" s="0" t="s">
        <v>4893</v>
      </c>
    </row>
    <row customHeight="1" ht="11.25">
      <c r="A258" s="0" t="s">
        <v>16</v>
      </c>
      <c r="B258" s="0" t="s">
        <v>4889</v>
      </c>
      <c r="C258" s="0" t="s">
        <v>4890</v>
      </c>
      <c r="D258" s="0" t="s">
        <v>4931</v>
      </c>
      <c r="E258" s="0" t="s">
        <v>4932</v>
      </c>
      <c r="F258" s="0" t="s">
        <v>4200</v>
      </c>
      <c r="G258" s="0" t="s">
        <v>4896</v>
      </c>
    </row>
    <row customHeight="1" ht="11.25">
      <c r="A259" s="0" t="s">
        <v>16</v>
      </c>
      <c r="B259" s="0" t="s">
        <v>4889</v>
      </c>
      <c r="C259" s="0" t="s">
        <v>4890</v>
      </c>
      <c r="D259" s="0" t="s">
        <v>4934</v>
      </c>
      <c r="E259" s="0" t="s">
        <v>4935</v>
      </c>
      <c r="F259" s="0" t="s">
        <v>4200</v>
      </c>
      <c r="G259" s="0" t="s">
        <v>4899</v>
      </c>
    </row>
    <row customHeight="1" ht="11.25">
      <c r="A260" s="0" t="s">
        <v>16</v>
      </c>
      <c r="B260" s="0" t="s">
        <v>4937</v>
      </c>
      <c r="C260" s="0" t="s">
        <v>4938</v>
      </c>
      <c r="D260" s="0" t="s">
        <v>4707</v>
      </c>
      <c r="E260" s="0" t="s">
        <v>4939</v>
      </c>
      <c r="F260" s="0" t="s">
        <v>4200</v>
      </c>
      <c r="G260" s="0" t="s">
        <v>4902</v>
      </c>
    </row>
    <row customHeight="1" ht="11.25">
      <c r="A261" s="0" t="s">
        <v>16</v>
      </c>
      <c r="B261" s="0" t="s">
        <v>4937</v>
      </c>
      <c r="C261" s="0" t="s">
        <v>4938</v>
      </c>
      <c r="D261" s="0" t="s">
        <v>4941</v>
      </c>
      <c r="E261" s="0" t="s">
        <v>4942</v>
      </c>
      <c r="F261" s="0" t="s">
        <v>4548</v>
      </c>
      <c r="G261" s="0" t="s">
        <v>4905</v>
      </c>
    </row>
    <row customHeight="1" ht="11.25">
      <c r="A262" s="0" t="s">
        <v>16</v>
      </c>
      <c r="B262" s="0" t="s">
        <v>4937</v>
      </c>
      <c r="C262" s="0" t="s">
        <v>4938</v>
      </c>
      <c r="D262" s="0" t="s">
        <v>4937</v>
      </c>
      <c r="E262" s="0" t="s">
        <v>4938</v>
      </c>
      <c r="F262" s="0" t="s">
        <v>4197</v>
      </c>
      <c r="G262" s="0" t="s">
        <v>4908</v>
      </c>
    </row>
    <row customHeight="1" ht="11.25">
      <c r="A263" s="0" t="s">
        <v>16</v>
      </c>
      <c r="B263" s="0" t="s">
        <v>4937</v>
      </c>
      <c r="C263" s="0" t="s">
        <v>4938</v>
      </c>
      <c r="D263" s="0" t="s">
        <v>4945</v>
      </c>
      <c r="E263" s="0" t="s">
        <v>4946</v>
      </c>
      <c r="F263" s="0" t="s">
        <v>4200</v>
      </c>
      <c r="G263" s="0" t="s">
        <v>4911</v>
      </c>
    </row>
    <row customHeight="1" ht="11.25">
      <c r="A264" s="0" t="s">
        <v>16</v>
      </c>
      <c r="B264" s="0" t="s">
        <v>4948</v>
      </c>
      <c r="C264" s="0" t="s">
        <v>4949</v>
      </c>
      <c r="D264" s="0" t="s">
        <v>4948</v>
      </c>
      <c r="E264" s="0" t="s">
        <v>4949</v>
      </c>
      <c r="F264" s="0" t="s">
        <v>4194</v>
      </c>
      <c r="G264" s="0" t="s">
        <v>4914</v>
      </c>
    </row>
    <row customHeight="1" ht="11.25">
      <c r="A265" s="0" t="s">
        <v>16</v>
      </c>
      <c r="B265" s="0" t="s">
        <v>4954</v>
      </c>
      <c r="C265" s="0" t="s">
        <v>4955</v>
      </c>
      <c r="D265" s="0" t="s">
        <v>4956</v>
      </c>
      <c r="E265" s="0" t="s">
        <v>4957</v>
      </c>
      <c r="F265" s="0" t="s">
        <v>4200</v>
      </c>
      <c r="G265" s="0" t="s">
        <v>4915</v>
      </c>
    </row>
    <row customHeight="1" ht="11.25">
      <c r="A266" s="0" t="s">
        <v>16</v>
      </c>
      <c r="B266" s="0" t="s">
        <v>4954</v>
      </c>
      <c r="C266" s="0" t="s">
        <v>4955</v>
      </c>
      <c r="D266" s="0" t="s">
        <v>4959</v>
      </c>
      <c r="E266" s="0" t="s">
        <v>4960</v>
      </c>
      <c r="F266" s="0" t="s">
        <v>4200</v>
      </c>
      <c r="G266" s="0" t="s">
        <v>4918</v>
      </c>
    </row>
    <row customHeight="1" ht="11.25">
      <c r="A267" s="0" t="s">
        <v>16</v>
      </c>
      <c r="B267" s="0" t="s">
        <v>4954</v>
      </c>
      <c r="C267" s="0" t="s">
        <v>4955</v>
      </c>
      <c r="D267" s="0" t="s">
        <v>4962</v>
      </c>
      <c r="E267" s="0" t="s">
        <v>4963</v>
      </c>
      <c r="F267" s="0" t="s">
        <v>4200</v>
      </c>
      <c r="G267" s="0" t="s">
        <v>4921</v>
      </c>
    </row>
    <row customHeight="1" ht="11.25">
      <c r="A268" s="0" t="s">
        <v>16</v>
      </c>
      <c r="B268" s="0" t="s">
        <v>4954</v>
      </c>
      <c r="C268" s="0" t="s">
        <v>4955</v>
      </c>
      <c r="D268" s="0" t="s">
        <v>4965</v>
      </c>
      <c r="E268" s="0" t="s">
        <v>4966</v>
      </c>
      <c r="F268" s="0" t="s">
        <v>4200</v>
      </c>
      <c r="G268" s="0" t="s">
        <v>4924</v>
      </c>
    </row>
    <row customHeight="1" ht="11.25">
      <c r="A269" s="0" t="s">
        <v>16</v>
      </c>
      <c r="B269" s="0" t="s">
        <v>4954</v>
      </c>
      <c r="C269" s="0" t="s">
        <v>4955</v>
      </c>
      <c r="D269" s="0" t="s">
        <v>4968</v>
      </c>
      <c r="E269" s="0" t="s">
        <v>4969</v>
      </c>
      <c r="F269" s="0" t="s">
        <v>4209</v>
      </c>
      <c r="G269" s="0" t="s">
        <v>4927</v>
      </c>
    </row>
    <row customHeight="1" ht="11.25">
      <c r="A270" s="0" t="s">
        <v>16</v>
      </c>
      <c r="B270" s="0" t="s">
        <v>4954</v>
      </c>
      <c r="C270" s="0" t="s">
        <v>4955</v>
      </c>
      <c r="D270" s="0" t="s">
        <v>4971</v>
      </c>
      <c r="E270" s="0" t="s">
        <v>4972</v>
      </c>
      <c r="F270" s="0" t="s">
        <v>4200</v>
      </c>
      <c r="G270" s="0" t="s">
        <v>4930</v>
      </c>
    </row>
    <row customHeight="1" ht="11.25">
      <c r="A271" s="0" t="s">
        <v>16</v>
      </c>
      <c r="B271" s="0" t="s">
        <v>4954</v>
      </c>
      <c r="C271" s="0" t="s">
        <v>4955</v>
      </c>
      <c r="D271" s="0" t="s">
        <v>4974</v>
      </c>
      <c r="E271" s="0" t="s">
        <v>4975</v>
      </c>
      <c r="F271" s="0" t="s">
        <v>4200</v>
      </c>
      <c r="G271" s="0" t="s">
        <v>4933</v>
      </c>
    </row>
    <row customHeight="1" ht="11.25">
      <c r="A272" s="0" t="s">
        <v>16</v>
      </c>
      <c r="B272" s="0" t="s">
        <v>4954</v>
      </c>
      <c r="C272" s="0" t="s">
        <v>4955</v>
      </c>
      <c r="D272" s="0" t="s">
        <v>4977</v>
      </c>
      <c r="E272" s="0" t="s">
        <v>4978</v>
      </c>
      <c r="F272" s="0" t="s">
        <v>4200</v>
      </c>
      <c r="G272" s="0" t="s">
        <v>4936</v>
      </c>
    </row>
    <row customHeight="1" ht="11.25">
      <c r="A273" s="0" t="s">
        <v>16</v>
      </c>
      <c r="B273" s="0" t="s">
        <v>4954</v>
      </c>
      <c r="C273" s="0" t="s">
        <v>4955</v>
      </c>
      <c r="D273" s="0" t="s">
        <v>4954</v>
      </c>
      <c r="E273" s="0" t="s">
        <v>4955</v>
      </c>
      <c r="F273" s="0" t="s">
        <v>4197</v>
      </c>
      <c r="G273" s="0" t="s">
        <v>4940</v>
      </c>
    </row>
    <row customHeight="1" ht="11.25">
      <c r="A274" s="0" t="s">
        <v>16</v>
      </c>
      <c r="B274" s="0" t="s">
        <v>4954</v>
      </c>
      <c r="C274" s="0" t="s">
        <v>4955</v>
      </c>
      <c r="D274" s="0" t="s">
        <v>4981</v>
      </c>
      <c r="E274" s="0" t="s">
        <v>4982</v>
      </c>
      <c r="F274" s="0" t="s">
        <v>4200</v>
      </c>
      <c r="G274" s="0" t="s">
        <v>4943</v>
      </c>
    </row>
    <row customHeight="1" ht="11.25">
      <c r="A275" s="0" t="s">
        <v>16</v>
      </c>
      <c r="B275" s="0" t="s">
        <v>4954</v>
      </c>
      <c r="C275" s="0" t="s">
        <v>4955</v>
      </c>
      <c r="D275" s="0" t="s">
        <v>4984</v>
      </c>
      <c r="E275" s="0" t="s">
        <v>4985</v>
      </c>
      <c r="F275" s="0" t="s">
        <v>4200</v>
      </c>
      <c r="G275" s="0" t="s">
        <v>4944</v>
      </c>
    </row>
    <row customHeight="1" ht="11.25">
      <c r="A276" s="0" t="s">
        <v>16</v>
      </c>
      <c r="B276" s="0" t="s">
        <v>4990</v>
      </c>
      <c r="C276" s="0" t="s">
        <v>4991</v>
      </c>
      <c r="D276" s="0" t="s">
        <v>4992</v>
      </c>
      <c r="E276" s="0" t="s">
        <v>4993</v>
      </c>
      <c r="F276" s="0" t="s">
        <v>4200</v>
      </c>
      <c r="G276" s="0" t="s">
        <v>4947</v>
      </c>
    </row>
    <row customHeight="1" ht="11.25">
      <c r="A277" s="0" t="s">
        <v>16</v>
      </c>
      <c r="B277" s="0" t="s">
        <v>4990</v>
      </c>
      <c r="C277" s="0" t="s">
        <v>4991</v>
      </c>
      <c r="D277" s="0" t="s">
        <v>4995</v>
      </c>
      <c r="E277" s="0" t="s">
        <v>4996</v>
      </c>
      <c r="F277" s="0" t="s">
        <v>4200</v>
      </c>
      <c r="G277" s="0" t="s">
        <v>4950</v>
      </c>
    </row>
    <row customHeight="1" ht="11.25">
      <c r="A278" s="0" t="s">
        <v>16</v>
      </c>
      <c r="B278" s="0" t="s">
        <v>4990</v>
      </c>
      <c r="C278" s="0" t="s">
        <v>4991</v>
      </c>
      <c r="D278" s="0" t="s">
        <v>4998</v>
      </c>
      <c r="E278" s="0" t="s">
        <v>4999</v>
      </c>
      <c r="F278" s="0" t="s">
        <v>4200</v>
      </c>
      <c r="G278" s="0" t="s">
        <v>4953</v>
      </c>
    </row>
    <row customHeight="1" ht="11.25">
      <c r="A279" s="0" t="s">
        <v>16</v>
      </c>
      <c r="B279" s="0" t="s">
        <v>4990</v>
      </c>
      <c r="C279" s="0" t="s">
        <v>4991</v>
      </c>
      <c r="D279" s="0" t="s">
        <v>5001</v>
      </c>
      <c r="E279" s="0" t="s">
        <v>5002</v>
      </c>
      <c r="F279" s="0" t="s">
        <v>4200</v>
      </c>
      <c r="G279" s="0" t="s">
        <v>4958</v>
      </c>
    </row>
    <row customHeight="1" ht="11.25">
      <c r="A280" s="0" t="s">
        <v>16</v>
      </c>
      <c r="B280" s="0" t="s">
        <v>4990</v>
      </c>
      <c r="C280" s="0" t="s">
        <v>4991</v>
      </c>
      <c r="D280" s="0" t="s">
        <v>5004</v>
      </c>
      <c r="E280" s="0" t="s">
        <v>5005</v>
      </c>
      <c r="F280" s="0" t="s">
        <v>4200</v>
      </c>
      <c r="G280" s="0" t="s">
        <v>4961</v>
      </c>
    </row>
    <row customHeight="1" ht="11.25">
      <c r="A281" s="0" t="s">
        <v>16</v>
      </c>
      <c r="B281" s="0" t="s">
        <v>4990</v>
      </c>
      <c r="C281" s="0" t="s">
        <v>4991</v>
      </c>
      <c r="D281" s="0" t="s">
        <v>5007</v>
      </c>
      <c r="E281" s="0" t="s">
        <v>5008</v>
      </c>
      <c r="F281" s="0" t="s">
        <v>4209</v>
      </c>
      <c r="G281" s="0" t="s">
        <v>4964</v>
      </c>
    </row>
    <row customHeight="1" ht="11.25">
      <c r="A282" s="0" t="s">
        <v>16</v>
      </c>
      <c r="B282" s="0" t="s">
        <v>4990</v>
      </c>
      <c r="C282" s="0" t="s">
        <v>4991</v>
      </c>
      <c r="D282" s="0" t="s">
        <v>5010</v>
      </c>
      <c r="E282" s="0" t="s">
        <v>5011</v>
      </c>
      <c r="F282" s="0" t="s">
        <v>4200</v>
      </c>
      <c r="G282" s="0" t="s">
        <v>4967</v>
      </c>
    </row>
    <row customHeight="1" ht="11.25">
      <c r="A283" s="0" t="s">
        <v>16</v>
      </c>
      <c r="B283" s="0" t="s">
        <v>4990</v>
      </c>
      <c r="C283" s="0" t="s">
        <v>4991</v>
      </c>
      <c r="D283" s="0" t="s">
        <v>5013</v>
      </c>
      <c r="E283" s="0" t="s">
        <v>5014</v>
      </c>
      <c r="F283" s="0" t="s">
        <v>4200</v>
      </c>
      <c r="G283" s="0" t="s">
        <v>4970</v>
      </c>
    </row>
    <row customHeight="1" ht="11.25">
      <c r="A284" s="0" t="s">
        <v>16</v>
      </c>
      <c r="B284" s="0" t="s">
        <v>4990</v>
      </c>
      <c r="C284" s="0" t="s">
        <v>4991</v>
      </c>
      <c r="D284" s="0" t="s">
        <v>5016</v>
      </c>
      <c r="E284" s="0" t="s">
        <v>5017</v>
      </c>
      <c r="F284" s="0" t="s">
        <v>4200</v>
      </c>
      <c r="G284" s="0" t="s">
        <v>4973</v>
      </c>
    </row>
    <row customHeight="1" ht="11.25">
      <c r="A285" s="0" t="s">
        <v>16</v>
      </c>
      <c r="B285" s="0" t="s">
        <v>4990</v>
      </c>
      <c r="C285" s="0" t="s">
        <v>4991</v>
      </c>
      <c r="D285" s="0" t="s">
        <v>4990</v>
      </c>
      <c r="E285" s="0" t="s">
        <v>4991</v>
      </c>
      <c r="F285" s="0" t="s">
        <v>4197</v>
      </c>
      <c r="G285" s="0" t="s">
        <v>4976</v>
      </c>
    </row>
    <row customHeight="1" ht="11.25">
      <c r="A286" s="0" t="s">
        <v>16</v>
      </c>
      <c r="B286" s="0" t="s">
        <v>4990</v>
      </c>
      <c r="C286" s="0" t="s">
        <v>4991</v>
      </c>
      <c r="D286" s="0" t="s">
        <v>5020</v>
      </c>
      <c r="E286" s="0" t="s">
        <v>5021</v>
      </c>
      <c r="F286" s="0" t="s">
        <v>4236</v>
      </c>
      <c r="G286" s="0" t="s">
        <v>4979</v>
      </c>
    </row>
    <row customHeight="1" ht="11.25">
      <c r="A287" s="0" t="s">
        <v>16</v>
      </c>
      <c r="B287" s="0" t="s">
        <v>4990</v>
      </c>
      <c r="C287" s="0" t="s">
        <v>4991</v>
      </c>
      <c r="D287" s="0" t="s">
        <v>5023</v>
      </c>
      <c r="E287" s="0" t="s">
        <v>5024</v>
      </c>
      <c r="F287" s="0" t="s">
        <v>4200</v>
      </c>
      <c r="G287" s="0" t="s">
        <v>4980</v>
      </c>
    </row>
    <row customHeight="1" ht="11.25">
      <c r="A288" s="0" t="s">
        <v>16</v>
      </c>
      <c r="B288" s="0" t="s">
        <v>4990</v>
      </c>
      <c r="C288" s="0" t="s">
        <v>4991</v>
      </c>
      <c r="D288" s="0" t="s">
        <v>5026</v>
      </c>
      <c r="E288" s="0" t="s">
        <v>5027</v>
      </c>
      <c r="F288" s="0" t="s">
        <v>4200</v>
      </c>
      <c r="G288" s="0" t="s">
        <v>4983</v>
      </c>
    </row>
    <row customHeight="1" ht="11.25">
      <c r="A289" s="0" t="s">
        <v>16</v>
      </c>
      <c r="B289" s="0" t="s">
        <v>5032</v>
      </c>
      <c r="C289" s="0" t="s">
        <v>5033</v>
      </c>
      <c r="D289" s="0" t="s">
        <v>5034</v>
      </c>
      <c r="E289" s="0" t="s">
        <v>5035</v>
      </c>
      <c r="F289" s="0" t="s">
        <v>4209</v>
      </c>
      <c r="G289" s="0" t="s">
        <v>4986</v>
      </c>
    </row>
    <row customHeight="1" ht="11.25">
      <c r="A290" s="0" t="s">
        <v>16</v>
      </c>
      <c r="B290" s="0" t="s">
        <v>5032</v>
      </c>
      <c r="C290" s="0" t="s">
        <v>5033</v>
      </c>
      <c r="D290" s="0" t="s">
        <v>5037</v>
      </c>
      <c r="E290" s="0" t="s">
        <v>5038</v>
      </c>
      <c r="F290" s="0" t="s">
        <v>4200</v>
      </c>
      <c r="G290" s="0" t="s">
        <v>4989</v>
      </c>
    </row>
    <row customHeight="1" ht="11.25">
      <c r="A291" s="0" t="s">
        <v>16</v>
      </c>
      <c r="B291" s="0" t="s">
        <v>5032</v>
      </c>
      <c r="C291" s="0" t="s">
        <v>5033</v>
      </c>
      <c r="D291" s="0" t="s">
        <v>5040</v>
      </c>
      <c r="E291" s="0" t="s">
        <v>5041</v>
      </c>
      <c r="F291" s="0" t="s">
        <v>4200</v>
      </c>
      <c r="G291" s="0" t="s">
        <v>4994</v>
      </c>
    </row>
    <row customHeight="1" ht="11.25">
      <c r="A292" s="0" t="s">
        <v>16</v>
      </c>
      <c r="B292" s="0" t="s">
        <v>5032</v>
      </c>
      <c r="C292" s="0" t="s">
        <v>5033</v>
      </c>
      <c r="D292" s="0" t="s">
        <v>5043</v>
      </c>
      <c r="E292" s="0" t="s">
        <v>5044</v>
      </c>
      <c r="F292" s="0" t="s">
        <v>4209</v>
      </c>
      <c r="G292" s="0" t="s">
        <v>4997</v>
      </c>
    </row>
    <row customHeight="1" ht="11.25">
      <c r="A293" s="0" t="s">
        <v>16</v>
      </c>
      <c r="B293" s="0" t="s">
        <v>5032</v>
      </c>
      <c r="C293" s="0" t="s">
        <v>5033</v>
      </c>
      <c r="D293" s="0" t="s">
        <v>5046</v>
      </c>
      <c r="E293" s="0" t="s">
        <v>5047</v>
      </c>
      <c r="F293" s="0" t="s">
        <v>4200</v>
      </c>
      <c r="G293" s="0" t="s">
        <v>5000</v>
      </c>
    </row>
    <row customHeight="1" ht="11.25">
      <c r="A294" s="0" t="s">
        <v>16</v>
      </c>
      <c r="B294" s="0" t="s">
        <v>5032</v>
      </c>
      <c r="C294" s="0" t="s">
        <v>5033</v>
      </c>
      <c r="D294" s="0" t="s">
        <v>5049</v>
      </c>
      <c r="E294" s="0" t="s">
        <v>5050</v>
      </c>
      <c r="F294" s="0" t="s">
        <v>4200</v>
      </c>
      <c r="G294" s="0" t="s">
        <v>5003</v>
      </c>
    </row>
    <row customHeight="1" ht="11.25">
      <c r="A295" s="0" t="s">
        <v>16</v>
      </c>
      <c r="B295" s="0" t="s">
        <v>5032</v>
      </c>
      <c r="C295" s="0" t="s">
        <v>5033</v>
      </c>
      <c r="D295" s="0" t="s">
        <v>5052</v>
      </c>
      <c r="E295" s="0" t="s">
        <v>5053</v>
      </c>
      <c r="F295" s="0" t="s">
        <v>4209</v>
      </c>
      <c r="G295" s="0" t="s">
        <v>5006</v>
      </c>
    </row>
    <row customHeight="1" ht="11.25">
      <c r="A296" s="0" t="s">
        <v>16</v>
      </c>
      <c r="B296" s="0" t="s">
        <v>5032</v>
      </c>
      <c r="C296" s="0" t="s">
        <v>5033</v>
      </c>
      <c r="D296" s="0" t="s">
        <v>5055</v>
      </c>
      <c r="E296" s="0" t="s">
        <v>5056</v>
      </c>
      <c r="F296" s="0" t="s">
        <v>4200</v>
      </c>
      <c r="G296" s="0" t="s">
        <v>5009</v>
      </c>
    </row>
    <row customHeight="1" ht="11.25">
      <c r="A297" s="0" t="s">
        <v>16</v>
      </c>
      <c r="B297" s="0" t="s">
        <v>5032</v>
      </c>
      <c r="C297" s="0" t="s">
        <v>5033</v>
      </c>
      <c r="D297" s="0" t="s">
        <v>5058</v>
      </c>
      <c r="E297" s="0" t="s">
        <v>5059</v>
      </c>
      <c r="F297" s="0" t="s">
        <v>4200</v>
      </c>
      <c r="G297" s="0" t="s">
        <v>5012</v>
      </c>
    </row>
    <row customHeight="1" ht="11.25">
      <c r="A298" s="0" t="s">
        <v>16</v>
      </c>
      <c r="B298" s="0" t="s">
        <v>5032</v>
      </c>
      <c r="C298" s="0" t="s">
        <v>5033</v>
      </c>
      <c r="D298" s="0" t="s">
        <v>5061</v>
      </c>
      <c r="E298" s="0" t="s">
        <v>5062</v>
      </c>
      <c r="F298" s="0" t="s">
        <v>4200</v>
      </c>
      <c r="G298" s="0" t="s">
        <v>5015</v>
      </c>
    </row>
    <row customHeight="1" ht="11.25">
      <c r="A299" s="0" t="s">
        <v>16</v>
      </c>
      <c r="B299" s="0" t="s">
        <v>5032</v>
      </c>
      <c r="C299" s="0" t="s">
        <v>5033</v>
      </c>
      <c r="D299" s="0" t="s">
        <v>5064</v>
      </c>
      <c r="E299" s="0" t="s">
        <v>5065</v>
      </c>
      <c r="F299" s="0" t="s">
        <v>4200</v>
      </c>
      <c r="G299" s="0" t="s">
        <v>5018</v>
      </c>
    </row>
    <row customHeight="1" ht="11.25">
      <c r="A300" s="0" t="s">
        <v>16</v>
      </c>
      <c r="B300" s="0" t="s">
        <v>5032</v>
      </c>
      <c r="C300" s="0" t="s">
        <v>5033</v>
      </c>
      <c r="D300" s="0" t="s">
        <v>5067</v>
      </c>
      <c r="E300" s="0" t="s">
        <v>5068</v>
      </c>
      <c r="F300" s="0" t="s">
        <v>4200</v>
      </c>
      <c r="G300" s="0" t="s">
        <v>5019</v>
      </c>
    </row>
    <row customHeight="1" ht="11.25">
      <c r="A301" s="0" t="s">
        <v>16</v>
      </c>
      <c r="B301" s="0" t="s">
        <v>5032</v>
      </c>
      <c r="C301" s="0" t="s">
        <v>5033</v>
      </c>
      <c r="D301" s="0" t="s">
        <v>5070</v>
      </c>
      <c r="E301" s="0" t="s">
        <v>5071</v>
      </c>
      <c r="F301" s="0" t="s">
        <v>4200</v>
      </c>
      <c r="G301" s="0" t="s">
        <v>5022</v>
      </c>
    </row>
    <row customHeight="1" ht="11.25">
      <c r="A302" s="0" t="s">
        <v>16</v>
      </c>
      <c r="B302" s="0" t="s">
        <v>5032</v>
      </c>
      <c r="C302" s="0" t="s">
        <v>5033</v>
      </c>
      <c r="D302" s="0" t="s">
        <v>5073</v>
      </c>
      <c r="E302" s="0" t="s">
        <v>5074</v>
      </c>
      <c r="F302" s="0" t="s">
        <v>4200</v>
      </c>
      <c r="G302" s="0" t="s">
        <v>5025</v>
      </c>
    </row>
    <row customHeight="1" ht="11.25">
      <c r="A303" s="0" t="s">
        <v>16</v>
      </c>
      <c r="B303" s="0" t="s">
        <v>5032</v>
      </c>
      <c r="C303" s="0" t="s">
        <v>5033</v>
      </c>
      <c r="D303" s="0" t="s">
        <v>5076</v>
      </c>
      <c r="E303" s="0" t="s">
        <v>5077</v>
      </c>
      <c r="F303" s="0" t="s">
        <v>4200</v>
      </c>
      <c r="G303" s="0" t="s">
        <v>5028</v>
      </c>
    </row>
    <row customHeight="1" ht="11.25">
      <c r="A304" s="0" t="s">
        <v>16</v>
      </c>
      <c r="B304" s="0" t="s">
        <v>5032</v>
      </c>
      <c r="C304" s="0" t="s">
        <v>5033</v>
      </c>
      <c r="D304" s="0" t="s">
        <v>5079</v>
      </c>
      <c r="E304" s="0" t="s">
        <v>5080</v>
      </c>
      <c r="F304" s="0" t="s">
        <v>4200</v>
      </c>
      <c r="G304" s="0" t="s">
        <v>5031</v>
      </c>
    </row>
    <row customHeight="1" ht="11.25">
      <c r="A305" s="0" t="s">
        <v>16</v>
      </c>
      <c r="B305" s="0" t="s">
        <v>5032</v>
      </c>
      <c r="C305" s="0" t="s">
        <v>5033</v>
      </c>
      <c r="D305" s="0" t="s">
        <v>5082</v>
      </c>
      <c r="E305" s="0" t="s">
        <v>5083</v>
      </c>
      <c r="F305" s="0" t="s">
        <v>4200</v>
      </c>
      <c r="G305" s="0" t="s">
        <v>5036</v>
      </c>
    </row>
    <row customHeight="1" ht="11.25">
      <c r="A306" s="0" t="s">
        <v>16</v>
      </c>
      <c r="B306" s="0" t="s">
        <v>5032</v>
      </c>
      <c r="C306" s="0" t="s">
        <v>5033</v>
      </c>
      <c r="D306" s="0" t="s">
        <v>5032</v>
      </c>
      <c r="E306" s="0" t="s">
        <v>5033</v>
      </c>
      <c r="F306" s="0" t="s">
        <v>4197</v>
      </c>
      <c r="G306" s="0" t="s">
        <v>5039</v>
      </c>
    </row>
    <row customHeight="1" ht="11.25">
      <c r="A307" s="0" t="s">
        <v>16</v>
      </c>
      <c r="B307" s="0" t="s">
        <v>5032</v>
      </c>
      <c r="C307" s="0" t="s">
        <v>5033</v>
      </c>
      <c r="D307" s="0" t="s">
        <v>5086</v>
      </c>
      <c r="E307" s="0" t="s">
        <v>5087</v>
      </c>
      <c r="F307" s="0" t="s">
        <v>4209</v>
      </c>
      <c r="G307" s="0" t="s">
        <v>5042</v>
      </c>
    </row>
    <row customHeight="1" ht="11.25">
      <c r="A308" s="0" t="s">
        <v>16</v>
      </c>
      <c r="B308" s="0" t="s">
        <v>5092</v>
      </c>
      <c r="C308" s="0" t="s">
        <v>5093</v>
      </c>
      <c r="D308" s="0" t="s">
        <v>5094</v>
      </c>
      <c r="E308" s="0" t="s">
        <v>5095</v>
      </c>
      <c r="F308" s="0" t="s">
        <v>4200</v>
      </c>
      <c r="G308" s="0" t="s">
        <v>5045</v>
      </c>
    </row>
    <row customHeight="1" ht="11.25">
      <c r="A309" s="0" t="s">
        <v>16</v>
      </c>
      <c r="B309" s="0" t="s">
        <v>5092</v>
      </c>
      <c r="C309" s="0" t="s">
        <v>5093</v>
      </c>
      <c r="D309" s="0" t="s">
        <v>5097</v>
      </c>
      <c r="E309" s="0" t="s">
        <v>5098</v>
      </c>
      <c r="F309" s="0" t="s">
        <v>4200</v>
      </c>
      <c r="G309" s="0" t="s">
        <v>5048</v>
      </c>
    </row>
    <row customHeight="1" ht="11.25">
      <c r="A310" s="0" t="s">
        <v>16</v>
      </c>
      <c r="B310" s="0" t="s">
        <v>5092</v>
      </c>
      <c r="C310" s="0" t="s">
        <v>5093</v>
      </c>
      <c r="D310" s="0" t="s">
        <v>5100</v>
      </c>
      <c r="E310" s="0" t="s">
        <v>5101</v>
      </c>
      <c r="F310" s="0" t="s">
        <v>4209</v>
      </c>
      <c r="G310" s="0" t="s">
        <v>5051</v>
      </c>
    </row>
    <row customHeight="1" ht="11.25">
      <c r="A311" s="0" t="s">
        <v>16</v>
      </c>
      <c r="B311" s="0" t="s">
        <v>5092</v>
      </c>
      <c r="C311" s="0" t="s">
        <v>5093</v>
      </c>
      <c r="D311" s="0" t="s">
        <v>5103</v>
      </c>
      <c r="E311" s="0" t="s">
        <v>5104</v>
      </c>
      <c r="F311" s="0" t="s">
        <v>4200</v>
      </c>
      <c r="G311" s="0" t="s">
        <v>5054</v>
      </c>
    </row>
    <row customHeight="1" ht="11.25">
      <c r="A312" s="0" t="s">
        <v>16</v>
      </c>
      <c r="B312" s="0" t="s">
        <v>5092</v>
      </c>
      <c r="C312" s="0" t="s">
        <v>5093</v>
      </c>
      <c r="D312" s="0" t="s">
        <v>5106</v>
      </c>
      <c r="E312" s="0" t="s">
        <v>5107</v>
      </c>
      <c r="F312" s="0" t="s">
        <v>4200</v>
      </c>
      <c r="G312" s="0" t="s">
        <v>5057</v>
      </c>
    </row>
    <row customHeight="1" ht="11.25">
      <c r="A313" s="0" t="s">
        <v>16</v>
      </c>
      <c r="B313" s="0" t="s">
        <v>5092</v>
      </c>
      <c r="C313" s="0" t="s">
        <v>5093</v>
      </c>
      <c r="D313" s="0" t="s">
        <v>5109</v>
      </c>
      <c r="E313" s="0" t="s">
        <v>5110</v>
      </c>
      <c r="F313" s="0" t="s">
        <v>4200</v>
      </c>
      <c r="G313" s="0" t="s">
        <v>5060</v>
      </c>
    </row>
    <row customHeight="1" ht="11.25">
      <c r="A314" s="0" t="s">
        <v>16</v>
      </c>
      <c r="B314" s="0" t="s">
        <v>5092</v>
      </c>
      <c r="C314" s="0" t="s">
        <v>5093</v>
      </c>
      <c r="D314" s="0" t="s">
        <v>5112</v>
      </c>
      <c r="E314" s="0" t="s">
        <v>5113</v>
      </c>
      <c r="F314" s="0" t="s">
        <v>4200</v>
      </c>
      <c r="G314" s="0" t="s">
        <v>5063</v>
      </c>
    </row>
    <row customHeight="1" ht="11.25">
      <c r="A315" s="0" t="s">
        <v>16</v>
      </c>
      <c r="B315" s="0" t="s">
        <v>5092</v>
      </c>
      <c r="C315" s="0" t="s">
        <v>5093</v>
      </c>
      <c r="D315" s="0" t="s">
        <v>5115</v>
      </c>
      <c r="E315" s="0" t="s">
        <v>5116</v>
      </c>
      <c r="F315" s="0" t="s">
        <v>4200</v>
      </c>
      <c r="G315" s="0" t="s">
        <v>5066</v>
      </c>
    </row>
    <row customHeight="1" ht="11.25">
      <c r="A316" s="0" t="s">
        <v>16</v>
      </c>
      <c r="B316" s="0" t="s">
        <v>5092</v>
      </c>
      <c r="C316" s="0" t="s">
        <v>5093</v>
      </c>
      <c r="D316" s="0" t="s">
        <v>5118</v>
      </c>
      <c r="E316" s="0" t="s">
        <v>5119</v>
      </c>
      <c r="F316" s="0" t="s">
        <v>4200</v>
      </c>
      <c r="G316" s="0" t="s">
        <v>5069</v>
      </c>
    </row>
    <row customHeight="1" ht="11.25">
      <c r="A317" s="0" t="s">
        <v>16</v>
      </c>
      <c r="B317" s="0" t="s">
        <v>5092</v>
      </c>
      <c r="C317" s="0" t="s">
        <v>5093</v>
      </c>
      <c r="D317" s="0" t="s">
        <v>5121</v>
      </c>
      <c r="E317" s="0" t="s">
        <v>5122</v>
      </c>
      <c r="F317" s="0" t="s">
        <v>4200</v>
      </c>
      <c r="G317" s="0" t="s">
        <v>5072</v>
      </c>
    </row>
    <row customHeight="1" ht="11.25">
      <c r="A318" s="0" t="s">
        <v>16</v>
      </c>
      <c r="B318" s="0" t="s">
        <v>5092</v>
      </c>
      <c r="C318" s="0" t="s">
        <v>5093</v>
      </c>
      <c r="D318" s="0" t="s">
        <v>4971</v>
      </c>
      <c r="E318" s="0" t="s">
        <v>5124</v>
      </c>
      <c r="F318" s="0" t="s">
        <v>4200</v>
      </c>
      <c r="G318" s="0" t="s">
        <v>5075</v>
      </c>
    </row>
    <row customHeight="1" ht="11.25">
      <c r="A319" s="0" t="s">
        <v>16</v>
      </c>
      <c r="B319" s="0" t="s">
        <v>5092</v>
      </c>
      <c r="C319" s="0" t="s">
        <v>5093</v>
      </c>
      <c r="D319" s="0" t="s">
        <v>5126</v>
      </c>
      <c r="E319" s="0" t="s">
        <v>5127</v>
      </c>
      <c r="F319" s="0" t="s">
        <v>4200</v>
      </c>
      <c r="G319" s="0" t="s">
        <v>5078</v>
      </c>
    </row>
    <row customHeight="1" ht="11.25">
      <c r="A320" s="0" t="s">
        <v>16</v>
      </c>
      <c r="B320" s="0" t="s">
        <v>5092</v>
      </c>
      <c r="C320" s="0" t="s">
        <v>5093</v>
      </c>
      <c r="D320" s="0" t="s">
        <v>5129</v>
      </c>
      <c r="E320" s="0" t="s">
        <v>5130</v>
      </c>
      <c r="F320" s="0" t="s">
        <v>4200</v>
      </c>
      <c r="G320" s="0" t="s">
        <v>5081</v>
      </c>
    </row>
    <row customHeight="1" ht="11.25">
      <c r="A321" s="0" t="s">
        <v>16</v>
      </c>
      <c r="B321" s="0" t="s">
        <v>5092</v>
      </c>
      <c r="C321" s="0" t="s">
        <v>5093</v>
      </c>
      <c r="D321" s="0" t="s">
        <v>5132</v>
      </c>
      <c r="E321" s="0" t="s">
        <v>5133</v>
      </c>
      <c r="F321" s="0" t="s">
        <v>4209</v>
      </c>
      <c r="G321" s="0" t="s">
        <v>5084</v>
      </c>
    </row>
    <row customHeight="1" ht="11.25">
      <c r="A322" s="0" t="s">
        <v>16</v>
      </c>
      <c r="B322" s="0" t="s">
        <v>5092</v>
      </c>
      <c r="C322" s="0" t="s">
        <v>5093</v>
      </c>
      <c r="D322" s="0" t="s">
        <v>5135</v>
      </c>
      <c r="E322" s="0" t="s">
        <v>5136</v>
      </c>
      <c r="F322" s="0" t="s">
        <v>4200</v>
      </c>
      <c r="G322" s="0" t="s">
        <v>5085</v>
      </c>
    </row>
    <row customHeight="1" ht="11.25">
      <c r="A323" s="0" t="s">
        <v>16</v>
      </c>
      <c r="B323" s="0" t="s">
        <v>5092</v>
      </c>
      <c r="C323" s="0" t="s">
        <v>5093</v>
      </c>
      <c r="D323" s="0" t="s">
        <v>5138</v>
      </c>
      <c r="E323" s="0" t="s">
        <v>5139</v>
      </c>
      <c r="F323" s="0" t="s">
        <v>4200</v>
      </c>
      <c r="G323" s="0" t="s">
        <v>5088</v>
      </c>
    </row>
    <row customHeight="1" ht="11.25">
      <c r="A324" s="0" t="s">
        <v>16</v>
      </c>
      <c r="B324" s="0" t="s">
        <v>5092</v>
      </c>
      <c r="C324" s="0" t="s">
        <v>5093</v>
      </c>
      <c r="D324" s="0" t="s">
        <v>5141</v>
      </c>
      <c r="E324" s="0" t="s">
        <v>5142</v>
      </c>
      <c r="F324" s="0" t="s">
        <v>4200</v>
      </c>
      <c r="G324" s="0" t="s">
        <v>5091</v>
      </c>
    </row>
    <row customHeight="1" ht="11.25">
      <c r="A325" s="0" t="s">
        <v>16</v>
      </c>
      <c r="B325" s="0" t="s">
        <v>5092</v>
      </c>
      <c r="C325" s="0" t="s">
        <v>5093</v>
      </c>
      <c r="D325" s="0" t="s">
        <v>5144</v>
      </c>
      <c r="E325" s="0" t="s">
        <v>5145</v>
      </c>
      <c r="F325" s="0" t="s">
        <v>4200</v>
      </c>
      <c r="G325" s="0" t="s">
        <v>5096</v>
      </c>
    </row>
    <row customHeight="1" ht="11.25">
      <c r="A326" s="0" t="s">
        <v>16</v>
      </c>
      <c r="B326" s="0" t="s">
        <v>5092</v>
      </c>
      <c r="C326" s="0" t="s">
        <v>5093</v>
      </c>
      <c r="D326" s="0" t="s">
        <v>5147</v>
      </c>
      <c r="E326" s="0" t="s">
        <v>5148</v>
      </c>
      <c r="F326" s="0" t="s">
        <v>4200</v>
      </c>
      <c r="G326" s="0" t="s">
        <v>5099</v>
      </c>
    </row>
    <row customHeight="1" ht="11.25">
      <c r="A327" s="0" t="s">
        <v>16</v>
      </c>
      <c r="B327" s="0" t="s">
        <v>5092</v>
      </c>
      <c r="C327" s="0" t="s">
        <v>5093</v>
      </c>
      <c r="D327" s="0" t="s">
        <v>5150</v>
      </c>
      <c r="E327" s="0" t="s">
        <v>5151</v>
      </c>
      <c r="F327" s="0" t="s">
        <v>4200</v>
      </c>
      <c r="G327" s="0" t="s">
        <v>5102</v>
      </c>
    </row>
    <row customHeight="1" ht="11.25">
      <c r="A328" s="0" t="s">
        <v>16</v>
      </c>
      <c r="B328" s="0" t="s">
        <v>5092</v>
      </c>
      <c r="C328" s="0" t="s">
        <v>5093</v>
      </c>
      <c r="D328" s="0" t="s">
        <v>5153</v>
      </c>
      <c r="E328" s="0" t="s">
        <v>5154</v>
      </c>
      <c r="F328" s="0" t="s">
        <v>4200</v>
      </c>
      <c r="G328" s="0" t="s">
        <v>5105</v>
      </c>
    </row>
    <row customHeight="1" ht="11.25">
      <c r="A329" s="0" t="s">
        <v>16</v>
      </c>
      <c r="B329" s="0" t="s">
        <v>5092</v>
      </c>
      <c r="C329" s="0" t="s">
        <v>5093</v>
      </c>
      <c r="D329" s="0" t="s">
        <v>5092</v>
      </c>
      <c r="E329" s="0" t="s">
        <v>5093</v>
      </c>
      <c r="F329" s="0" t="s">
        <v>4197</v>
      </c>
      <c r="G329" s="0" t="s">
        <v>5108</v>
      </c>
    </row>
    <row customHeight="1" ht="11.25">
      <c r="A330" s="0" t="s">
        <v>16</v>
      </c>
      <c r="B330" s="0" t="s">
        <v>5092</v>
      </c>
      <c r="C330" s="0" t="s">
        <v>5093</v>
      </c>
      <c r="D330" s="0" t="s">
        <v>5157</v>
      </c>
      <c r="E330" s="0" t="s">
        <v>5158</v>
      </c>
      <c r="F330" s="0" t="s">
        <v>4200</v>
      </c>
      <c r="G330" s="0" t="s">
        <v>5111</v>
      </c>
    </row>
    <row customHeight="1" ht="11.25">
      <c r="A331" s="0" t="s">
        <v>16</v>
      </c>
      <c r="B331" s="0" t="s">
        <v>5092</v>
      </c>
      <c r="C331" s="0" t="s">
        <v>5093</v>
      </c>
      <c r="D331" s="0" t="s">
        <v>5160</v>
      </c>
      <c r="E331" s="0" t="s">
        <v>5161</v>
      </c>
      <c r="F331" s="0" t="s">
        <v>4200</v>
      </c>
      <c r="G331" s="0" t="s">
        <v>5114</v>
      </c>
    </row>
    <row customHeight="1" ht="11.25">
      <c r="A332" s="0" t="s">
        <v>16</v>
      </c>
      <c r="B332" s="0" t="s">
        <v>5166</v>
      </c>
      <c r="C332" s="0" t="s">
        <v>5167</v>
      </c>
      <c r="D332" s="0" t="s">
        <v>5168</v>
      </c>
      <c r="E332" s="0" t="s">
        <v>5169</v>
      </c>
      <c r="F332" s="0" t="s">
        <v>4200</v>
      </c>
      <c r="G332" s="0" t="s">
        <v>5117</v>
      </c>
    </row>
    <row customHeight="1" ht="11.25">
      <c r="A333" s="0" t="s">
        <v>16</v>
      </c>
      <c r="B333" s="0" t="s">
        <v>5166</v>
      </c>
      <c r="C333" s="0" t="s">
        <v>5167</v>
      </c>
      <c r="D333" s="0" t="s">
        <v>5171</v>
      </c>
      <c r="E333" s="0" t="s">
        <v>5172</v>
      </c>
      <c r="F333" s="0" t="s">
        <v>4200</v>
      </c>
      <c r="G333" s="0" t="s">
        <v>5120</v>
      </c>
    </row>
    <row customHeight="1" ht="11.25">
      <c r="A334" s="0" t="s">
        <v>16</v>
      </c>
      <c r="B334" s="0" t="s">
        <v>5166</v>
      </c>
      <c r="C334" s="0" t="s">
        <v>5167</v>
      </c>
      <c r="D334" s="0" t="s">
        <v>5174</v>
      </c>
      <c r="E334" s="0" t="s">
        <v>5175</v>
      </c>
      <c r="F334" s="0" t="s">
        <v>4200</v>
      </c>
      <c r="G334" s="0" t="s">
        <v>5123</v>
      </c>
    </row>
    <row customHeight="1" ht="11.25">
      <c r="A335" s="0" t="s">
        <v>16</v>
      </c>
      <c r="B335" s="0" t="s">
        <v>5166</v>
      </c>
      <c r="C335" s="0" t="s">
        <v>5167</v>
      </c>
      <c r="D335" s="0" t="s">
        <v>5177</v>
      </c>
      <c r="E335" s="0" t="s">
        <v>5178</v>
      </c>
      <c r="F335" s="0" t="s">
        <v>4200</v>
      </c>
      <c r="G335" s="0" t="s">
        <v>5125</v>
      </c>
    </row>
    <row customHeight="1" ht="11.25">
      <c r="A336" s="0" t="s">
        <v>16</v>
      </c>
      <c r="B336" s="0" t="s">
        <v>5166</v>
      </c>
      <c r="C336" s="0" t="s">
        <v>5167</v>
      </c>
      <c r="D336" s="0" t="s">
        <v>5180</v>
      </c>
      <c r="E336" s="0" t="s">
        <v>5181</v>
      </c>
      <c r="F336" s="0" t="s">
        <v>4200</v>
      </c>
      <c r="G336" s="0" t="s">
        <v>5128</v>
      </c>
    </row>
    <row customHeight="1" ht="11.25">
      <c r="A337" s="0" t="s">
        <v>16</v>
      </c>
      <c r="B337" s="0" t="s">
        <v>5166</v>
      </c>
      <c r="C337" s="0" t="s">
        <v>5167</v>
      </c>
      <c r="D337" s="0" t="s">
        <v>5183</v>
      </c>
      <c r="E337" s="0" t="s">
        <v>5184</v>
      </c>
      <c r="F337" s="0" t="s">
        <v>4200</v>
      </c>
      <c r="G337" s="0" t="s">
        <v>5131</v>
      </c>
    </row>
    <row customHeight="1" ht="11.25">
      <c r="A338" s="0" t="s">
        <v>16</v>
      </c>
      <c r="B338" s="0" t="s">
        <v>5166</v>
      </c>
      <c r="C338" s="0" t="s">
        <v>5167</v>
      </c>
      <c r="D338" s="0" t="s">
        <v>5166</v>
      </c>
      <c r="E338" s="0" t="s">
        <v>5167</v>
      </c>
      <c r="F338" s="0" t="s">
        <v>4197</v>
      </c>
      <c r="G338" s="0" t="s">
        <v>5134</v>
      </c>
    </row>
    <row customHeight="1" ht="11.25">
      <c r="A339" s="0" t="s">
        <v>16</v>
      </c>
      <c r="B339" s="0" t="s">
        <v>5166</v>
      </c>
      <c r="C339" s="0" t="s">
        <v>5167</v>
      </c>
      <c r="D339" s="0" t="s">
        <v>5187</v>
      </c>
      <c r="E339" s="0" t="s">
        <v>5188</v>
      </c>
      <c r="F339" s="0" t="s">
        <v>4200</v>
      </c>
      <c r="G339" s="0" t="s">
        <v>5137</v>
      </c>
    </row>
    <row customHeight="1" ht="11.25">
      <c r="A340" s="0" t="s">
        <v>16</v>
      </c>
      <c r="B340" s="0" t="s">
        <v>5166</v>
      </c>
      <c r="C340" s="0" t="s">
        <v>5167</v>
      </c>
      <c r="D340" s="0" t="s">
        <v>4457</v>
      </c>
      <c r="E340" s="0" t="s">
        <v>5190</v>
      </c>
      <c r="F340" s="0" t="s">
        <v>4200</v>
      </c>
      <c r="G340" s="0" t="s">
        <v>5140</v>
      </c>
    </row>
    <row customHeight="1" ht="11.25">
      <c r="A341" s="0" t="s">
        <v>16</v>
      </c>
      <c r="B341" s="0" t="s">
        <v>5192</v>
      </c>
      <c r="C341" s="0" t="s">
        <v>5193</v>
      </c>
      <c r="D341" s="0" t="s">
        <v>5194</v>
      </c>
      <c r="E341" s="0" t="s">
        <v>5195</v>
      </c>
      <c r="F341" s="0" t="s">
        <v>4200</v>
      </c>
      <c r="G341" s="0" t="s">
        <v>5143</v>
      </c>
    </row>
    <row customHeight="1" ht="11.25">
      <c r="A342" s="0" t="s">
        <v>16</v>
      </c>
      <c r="B342" s="0" t="s">
        <v>5192</v>
      </c>
      <c r="C342" s="0" t="s">
        <v>5193</v>
      </c>
      <c r="D342" s="0" t="s">
        <v>5197</v>
      </c>
      <c r="E342" s="0" t="s">
        <v>5198</v>
      </c>
      <c r="F342" s="0" t="s">
        <v>4200</v>
      </c>
      <c r="G342" s="0" t="s">
        <v>5146</v>
      </c>
    </row>
    <row customHeight="1" ht="11.25">
      <c r="A343" s="0" t="s">
        <v>16</v>
      </c>
      <c r="B343" s="0" t="s">
        <v>5192</v>
      </c>
      <c r="C343" s="0" t="s">
        <v>5193</v>
      </c>
      <c r="D343" s="0" t="s">
        <v>5200</v>
      </c>
      <c r="E343" s="0" t="s">
        <v>5201</v>
      </c>
      <c r="F343" s="0" t="s">
        <v>4200</v>
      </c>
      <c r="G343" s="0" t="s">
        <v>5149</v>
      </c>
    </row>
    <row customHeight="1" ht="11.25">
      <c r="A344" s="0" t="s">
        <v>16</v>
      </c>
      <c r="B344" s="0" t="s">
        <v>5192</v>
      </c>
      <c r="C344" s="0" t="s">
        <v>5193</v>
      </c>
      <c r="D344" s="0" t="s">
        <v>5203</v>
      </c>
      <c r="E344" s="0" t="s">
        <v>5204</v>
      </c>
      <c r="F344" s="0" t="s">
        <v>4200</v>
      </c>
      <c r="G344" s="0" t="s">
        <v>5152</v>
      </c>
    </row>
    <row customHeight="1" ht="11.25">
      <c r="A345" s="0" t="s">
        <v>16</v>
      </c>
      <c r="B345" s="0" t="s">
        <v>5192</v>
      </c>
      <c r="C345" s="0" t="s">
        <v>5193</v>
      </c>
      <c r="D345" s="0" t="s">
        <v>5206</v>
      </c>
      <c r="E345" s="0" t="s">
        <v>5207</v>
      </c>
      <c r="F345" s="0" t="s">
        <v>4200</v>
      </c>
      <c r="G345" s="0" t="s">
        <v>5155</v>
      </c>
    </row>
    <row customHeight="1" ht="11.25">
      <c r="A346" s="0" t="s">
        <v>16</v>
      </c>
      <c r="B346" s="0" t="s">
        <v>5192</v>
      </c>
      <c r="C346" s="0" t="s">
        <v>5193</v>
      </c>
      <c r="D346" s="0" t="s">
        <v>5209</v>
      </c>
      <c r="E346" s="0" t="s">
        <v>5210</v>
      </c>
      <c r="F346" s="0" t="s">
        <v>4200</v>
      </c>
      <c r="G346" s="0" t="s">
        <v>5156</v>
      </c>
    </row>
    <row customHeight="1" ht="11.25">
      <c r="A347" s="0" t="s">
        <v>16</v>
      </c>
      <c r="B347" s="0" t="s">
        <v>5192</v>
      </c>
      <c r="C347" s="0" t="s">
        <v>5193</v>
      </c>
      <c r="D347" s="0" t="s">
        <v>5212</v>
      </c>
      <c r="E347" s="0" t="s">
        <v>5213</v>
      </c>
      <c r="F347" s="0" t="s">
        <v>4200</v>
      </c>
      <c r="G347" s="0" t="s">
        <v>5159</v>
      </c>
    </row>
    <row customHeight="1" ht="11.25">
      <c r="A348" s="0" t="s">
        <v>16</v>
      </c>
      <c r="B348" s="0" t="s">
        <v>5192</v>
      </c>
      <c r="C348" s="0" t="s">
        <v>5193</v>
      </c>
      <c r="D348" s="0" t="s">
        <v>4777</v>
      </c>
      <c r="E348" s="0" t="s">
        <v>5215</v>
      </c>
      <c r="F348" s="0" t="s">
        <v>4200</v>
      </c>
      <c r="G348" s="0" t="s">
        <v>5162</v>
      </c>
    </row>
    <row customHeight="1" ht="11.25">
      <c r="A349" s="0" t="s">
        <v>16</v>
      </c>
      <c r="B349" s="0" t="s">
        <v>5192</v>
      </c>
      <c r="C349" s="0" t="s">
        <v>5193</v>
      </c>
      <c r="D349" s="0" t="s">
        <v>5217</v>
      </c>
      <c r="E349" s="0" t="s">
        <v>5218</v>
      </c>
      <c r="F349" s="0" t="s">
        <v>4209</v>
      </c>
      <c r="G349" s="0" t="s">
        <v>5165</v>
      </c>
    </row>
    <row customHeight="1" ht="11.25">
      <c r="A350" s="0" t="s">
        <v>16</v>
      </c>
      <c r="B350" s="0" t="s">
        <v>5192</v>
      </c>
      <c r="C350" s="0" t="s">
        <v>5193</v>
      </c>
      <c r="D350" s="0" t="s">
        <v>5220</v>
      </c>
      <c r="E350" s="0" t="s">
        <v>5221</v>
      </c>
      <c r="F350" s="0" t="s">
        <v>4200</v>
      </c>
      <c r="G350" s="0" t="s">
        <v>5170</v>
      </c>
    </row>
    <row customHeight="1" ht="11.25">
      <c r="A351" s="0" t="s">
        <v>16</v>
      </c>
      <c r="B351" s="0" t="s">
        <v>5192</v>
      </c>
      <c r="C351" s="0" t="s">
        <v>5193</v>
      </c>
      <c r="D351" s="0" t="s">
        <v>5223</v>
      </c>
      <c r="E351" s="0" t="s">
        <v>5224</v>
      </c>
      <c r="F351" s="0" t="s">
        <v>4200</v>
      </c>
      <c r="G351" s="0" t="s">
        <v>5173</v>
      </c>
    </row>
    <row customHeight="1" ht="11.25">
      <c r="A352" s="0" t="s">
        <v>16</v>
      </c>
      <c r="B352" s="0" t="s">
        <v>5192</v>
      </c>
      <c r="C352" s="0" t="s">
        <v>5193</v>
      </c>
      <c r="D352" s="0" t="s">
        <v>5226</v>
      </c>
      <c r="E352" s="0" t="s">
        <v>5227</v>
      </c>
      <c r="F352" s="0" t="s">
        <v>4209</v>
      </c>
      <c r="G352" s="0" t="s">
        <v>5176</v>
      </c>
    </row>
    <row customHeight="1" ht="11.25">
      <c r="A353" s="0" t="s">
        <v>16</v>
      </c>
      <c r="B353" s="0" t="s">
        <v>5192</v>
      </c>
      <c r="C353" s="0" t="s">
        <v>5193</v>
      </c>
      <c r="D353" s="0" t="s">
        <v>5229</v>
      </c>
      <c r="E353" s="0" t="s">
        <v>5230</v>
      </c>
      <c r="F353" s="0" t="s">
        <v>4200</v>
      </c>
      <c r="G353" s="0" t="s">
        <v>5179</v>
      </c>
    </row>
    <row customHeight="1" ht="11.25">
      <c r="A354" s="0" t="s">
        <v>16</v>
      </c>
      <c r="B354" s="0" t="s">
        <v>5192</v>
      </c>
      <c r="C354" s="0" t="s">
        <v>5193</v>
      </c>
      <c r="D354" s="0" t="s">
        <v>5192</v>
      </c>
      <c r="E354" s="0" t="s">
        <v>5193</v>
      </c>
      <c r="F354" s="0" t="s">
        <v>4197</v>
      </c>
      <c r="G354" s="0" t="s">
        <v>5182</v>
      </c>
    </row>
    <row customHeight="1" ht="11.25">
      <c r="A355" s="0" t="s">
        <v>16</v>
      </c>
      <c r="B355" s="0" t="s">
        <v>5192</v>
      </c>
      <c r="C355" s="0" t="s">
        <v>5193</v>
      </c>
      <c r="D355" s="0" t="s">
        <v>5233</v>
      </c>
      <c r="E355" s="0" t="s">
        <v>5234</v>
      </c>
      <c r="F355" s="0" t="s">
        <v>4236</v>
      </c>
      <c r="G355" s="0" t="s">
        <v>5185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7F00F3-BDCF-F20C-F99B-0.2F19A13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7972" width="9.140625"/>
    <col min="2" max="2" style="7972" width="84.28125" customWidth="1"/>
    <col min="3" max="3" style="7972" width="9.140625"/>
  </cols>
  <sheetData>
    <row customHeight="1" ht="11.25">
      <c r="A1" s="981" t="s">
        <v>5404</v>
      </c>
      <c r="B1" s="981" t="s">
        <v>5405</v>
      </c>
      <c r="C1" s="981" t="s">
        <v>1514</v>
      </c>
    </row>
    <row customHeight="1" ht="11.25">
      <c r="A2" s="981">
        <v>4189678</v>
      </c>
      <c r="B2" s="981" t="s">
        <v>5406</v>
      </c>
      <c r="C2" s="981" t="s">
        <v>5407</v>
      </c>
    </row>
    <row customHeight="1" ht="11.25">
      <c r="A3" s="981">
        <v>4190415</v>
      </c>
      <c r="B3" s="981" t="s">
        <v>5408</v>
      </c>
      <c r="C3" s="981" t="s">
        <v>5407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1CD3F-3B5E-73D6-D082-0.6548882F}"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7966" width="38.421875" customWidth="1"/>
    <col min="2" max="5" style="7966" width="9.140625"/>
  </cols>
  <sheetData>
    <row customHeight="1" ht="15">
      <c r="A1" s="309" t="s">
        <v>5409</v>
      </c>
      <c r="B1" s="309" t="s">
        <v>5410</v>
      </c>
      <c r="C1" s="309"/>
      <c r="D1" s="309"/>
      <c r="E1" s="309"/>
    </row>
    <row customHeight="1" ht="15">
      <c r="A2" s="309"/>
      <c r="B2" s="309"/>
      <c r="C2" s="309"/>
      <c r="D2" s="309"/>
      <c r="E2" s="309"/>
    </row>
    <row customHeight="1" ht="15">
      <c r="A3" s="309"/>
      <c r="B3" s="309"/>
      <c r="C3" s="309"/>
      <c r="D3" s="309"/>
      <c r="E3" s="309"/>
    </row>
    <row customHeight="1" ht="15">
      <c r="A4" s="309"/>
      <c r="B4" s="309"/>
      <c r="C4" s="309"/>
      <c r="D4" s="309"/>
      <c r="E4" s="309"/>
    </row>
    <row customHeight="1" ht="15">
      <c r="A5" s="309"/>
      <c r="B5" s="309"/>
      <c r="C5" s="309"/>
      <c r="D5" s="309"/>
      <c r="E5" s="309"/>
    </row>
    <row customHeight="1" ht="15">
      <c r="A6" s="309"/>
      <c r="B6" s="309"/>
      <c r="C6" s="309"/>
      <c r="D6" s="309"/>
      <c r="E6" s="309"/>
    </row>
    <row customHeight="1" ht="15">
      <c r="A7" s="309"/>
      <c r="B7" s="309"/>
      <c r="C7" s="309"/>
      <c r="D7" s="309"/>
      <c r="E7" s="309"/>
    </row>
    <row customHeight="1" ht="15">
      <c r="A8" s="309"/>
      <c r="B8" s="309"/>
      <c r="C8" s="309"/>
      <c r="D8" s="309"/>
      <c r="E8" s="30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BBBBF-D6C3-B4C5-932F-0.74E95E46}"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5411</v>
      </c>
      <c r="B1" s="0" t="b">
        <v>1</v>
      </c>
    </row>
    <row customHeight="1" ht="11.25">
      <c r="A2" s="0" t="s">
        <v>5412</v>
      </c>
      <c r="B2" s="0" t="b">
        <v>0</v>
      </c>
    </row>
    <row customHeight="1" ht="11.25">
      <c r="A3" s="0" t="s">
        <v>5413</v>
      </c>
      <c r="B3" s="0" t="b">
        <v>1</v>
      </c>
    </row>
    <row customHeight="1" ht="11.25">
      <c r="A4" s="0" t="s">
        <v>5414</v>
      </c>
      <c r="B4" s="0" t="b">
        <v>0</v>
      </c>
    </row>
    <row customHeight="1" ht="11.25">
      <c r="A5" s="0" t="s">
        <v>5415</v>
      </c>
      <c r="B5" s="0" t="b">
        <v>0</v>
      </c>
    </row>
    <row customHeight="1" ht="11.25">
      <c r="A6" s="0" t="s">
        <v>5416</v>
      </c>
      <c r="B6" s="0" t="b">
        <v>0</v>
      </c>
    </row>
    <row customHeight="1" ht="11.25">
      <c r="A7" s="0" t="s">
        <v>5417</v>
      </c>
      <c r="B7" s="0" t="b">
        <v>0</v>
      </c>
    </row>
    <row customHeight="1" ht="11.25">
      <c r="A8" s="0" t="s">
        <v>5418</v>
      </c>
      <c r="B8" s="0" t="b">
        <v>0</v>
      </c>
    </row>
    <row customHeight="1" ht="11.25">
      <c r="A9" s="0" t="s">
        <v>5419</v>
      </c>
      <c r="B9" s="0" t="b">
        <v>0</v>
      </c>
    </row>
    <row customHeight="1" ht="11.25">
      <c r="A10" s="0" t="s">
        <v>5420</v>
      </c>
      <c r="B10" s="0" t="b">
        <v>1</v>
      </c>
    </row>
    <row customHeight="1" ht="11.25">
      <c r="A11" s="0" t="s">
        <v>5421</v>
      </c>
      <c r="B11" s="0" t="b">
        <v>0</v>
      </c>
    </row>
    <row customHeight="1" ht="11.25">
      <c r="A12" s="0" t="s">
        <v>5422</v>
      </c>
      <c r="B12" s="0" t="b">
        <v>0</v>
      </c>
    </row>
    <row customHeight="1" ht="11.25">
      <c r="A13" s="0" t="s">
        <v>5423</v>
      </c>
      <c r="B13" s="0" t="b">
        <v>0</v>
      </c>
    </row>
    <row customHeight="1" ht="11.25">
      <c r="A14" s="0" t="s">
        <v>5424</v>
      </c>
      <c r="B14" s="0" t="b">
        <v>0</v>
      </c>
    </row>
    <row customHeight="1" ht="11.25">
      <c r="A15" s="0" t="s">
        <v>5425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FD43E1-05D5-08B7-0BB2-0.01845B39}"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7967" width="9.140625"/>
  </cols>
  <sheetData>
    <row customHeight="1" ht="12.75">
      <c r="A1" s="209"/>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813DD3-496E-A036-E9B1-0.275CB8D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7976" width="36.28125" customWidth="1"/>
    <col min="2" max="2" style="7976" width="21.140625" customWidth="1"/>
  </cols>
  <sheetData>
    <row customHeight="1" ht="11.25">
      <c r="A1" s="213" t="s">
        <v>5426</v>
      </c>
      <c r="B1" s="213" t="s">
        <v>5427</v>
      </c>
    </row>
    <row customHeight="1" ht="11.25">
      <c r="A2" s="208" t="s">
        <v>5428</v>
      </c>
      <c r="B2" s="208" t="s">
        <v>5429</v>
      </c>
    </row>
    <row customHeight="1" ht="11.25">
      <c r="A3" s="208" t="s">
        <v>5430</v>
      </c>
      <c r="B3" s="208" t="s">
        <v>5431</v>
      </c>
    </row>
    <row customHeight="1" ht="11.25">
      <c r="A4" s="208" t="s">
        <v>5432</v>
      </c>
      <c r="B4" s="208" t="s">
        <v>5433</v>
      </c>
    </row>
    <row customHeight="1" ht="11.25">
      <c r="A5" s="208" t="s">
        <v>5434</v>
      </c>
      <c r="B5" s="208" t="s">
        <v>5435</v>
      </c>
    </row>
    <row customHeight="1" ht="11.25">
      <c r="A6" s="208" t="s">
        <v>5436</v>
      </c>
      <c r="B6" s="208" t="s">
        <v>5437</v>
      </c>
    </row>
    <row customHeight="1" ht="11.25">
      <c r="A7" s="208" t="s">
        <v>5438</v>
      </c>
      <c r="B7" s="208" t="s">
        <v>5439</v>
      </c>
    </row>
    <row customHeight="1" ht="11.25">
      <c r="A8" s="208" t="s">
        <v>5440</v>
      </c>
      <c r="B8" s="208" t="s">
        <v>5441</v>
      </c>
    </row>
    <row customHeight="1" ht="11.25">
      <c r="A9" s="208" t="s">
        <v>5442</v>
      </c>
      <c r="B9" s="208" t="s">
        <v>5443</v>
      </c>
    </row>
    <row customHeight="1" ht="11.25">
      <c r="A10" s="208" t="s">
        <v>5444</v>
      </c>
      <c r="B10" s="208" t="s">
        <v>5445</v>
      </c>
    </row>
    <row customHeight="1" ht="11.25">
      <c r="A11" s="208" t="s">
        <v>5446</v>
      </c>
      <c r="B11" s="208" t="s">
        <v>5447</v>
      </c>
    </row>
    <row customHeight="1" ht="11.25">
      <c r="A12" s="208" t="s">
        <v>5448</v>
      </c>
      <c r="B12" s="208" t="s">
        <v>5449</v>
      </c>
    </row>
    <row customHeight="1" ht="11.25">
      <c r="A13" s="208" t="s">
        <v>5450</v>
      </c>
      <c r="B13" s="208" t="s">
        <v>5451</v>
      </c>
    </row>
    <row customHeight="1" ht="11.25">
      <c r="A14" s="208" t="s">
        <v>5452</v>
      </c>
      <c r="B14" s="208" t="s">
        <v>5453</v>
      </c>
    </row>
    <row customHeight="1" ht="11.25">
      <c r="A15" s="208" t="s">
        <v>5454</v>
      </c>
      <c r="B15" s="208" t="s">
        <v>5455</v>
      </c>
    </row>
    <row customHeight="1" ht="11.25">
      <c r="A16" s="208" t="s">
        <v>5456</v>
      </c>
      <c r="B16" s="208" t="s">
        <v>5457</v>
      </c>
    </row>
    <row customHeight="1" ht="11.25">
      <c r="A17" s="208" t="s">
        <v>5458</v>
      </c>
      <c r="B17" s="208" t="s">
        <v>5459</v>
      </c>
    </row>
    <row customHeight="1" ht="11.25">
      <c r="A18" s="208" t="s">
        <v>5460</v>
      </c>
      <c r="B18" s="208" t="s">
        <v>5461</v>
      </c>
    </row>
    <row customHeight="1" ht="11.25">
      <c r="A19" s="208" t="s">
        <v>5462</v>
      </c>
      <c r="B19" s="208" t="s">
        <v>5463</v>
      </c>
    </row>
    <row customHeight="1" ht="11.25">
      <c r="A20" s="208" t="s">
        <v>5464</v>
      </c>
      <c r="B20" s="208" t="s">
        <v>5465</v>
      </c>
    </row>
    <row customHeight="1" ht="11.25">
      <c r="A21" s="208" t="s">
        <v>5466</v>
      </c>
      <c r="B21" s="208" t="s">
        <v>5467</v>
      </c>
    </row>
    <row customHeight="1" ht="11.25">
      <c r="A22" s="208" t="s">
        <v>5468</v>
      </c>
      <c r="B22" s="208" t="s">
        <v>5469</v>
      </c>
    </row>
    <row customHeight="1" ht="11.25">
      <c r="A23" s="208" t="s">
        <v>5470</v>
      </c>
      <c r="B23" s="208" t="s">
        <v>5471</v>
      </c>
    </row>
    <row customHeight="1" ht="11.25">
      <c r="A24" s="208" t="s">
        <v>5472</v>
      </c>
      <c r="B24" s="208" t="s">
        <v>5473</v>
      </c>
    </row>
    <row customHeight="1" ht="11.25">
      <c r="A25" s="208" t="s">
        <v>5474</v>
      </c>
      <c r="B25" s="208" t="s">
        <v>5475</v>
      </c>
    </row>
    <row customHeight="1" ht="11.25">
      <c r="A26" s="208" t="s">
        <v>5476</v>
      </c>
      <c r="B26" s="208" t="s">
        <v>5477</v>
      </c>
    </row>
    <row customHeight="1" ht="11.25">
      <c r="A27" s="208" t="s">
        <v>5478</v>
      </c>
      <c r="B27" s="208" t="s">
        <v>5479</v>
      </c>
    </row>
    <row customHeight="1" ht="11.25">
      <c r="A28" s="208" t="s">
        <v>5480</v>
      </c>
      <c r="B28" s="208" t="s">
        <v>5481</v>
      </c>
    </row>
    <row customHeight="1" ht="11.25">
      <c r="A29" s="208" t="s">
        <v>5482</v>
      </c>
      <c r="B29" s="208" t="s">
        <v>5483</v>
      </c>
    </row>
    <row customHeight="1" ht="11.25">
      <c r="A30" s="208" t="s">
        <v>5484</v>
      </c>
      <c r="B30" s="208" t="s">
        <v>5485</v>
      </c>
    </row>
    <row customHeight="1" ht="11.25">
      <c r="A31" s="208" t="s">
        <v>5486</v>
      </c>
      <c r="B31" s="208" t="s">
        <v>5487</v>
      </c>
    </row>
    <row customHeight="1" ht="11.25">
      <c r="A32" s="208" t="s">
        <v>5488</v>
      </c>
      <c r="B32" s="208" t="s">
        <v>5489</v>
      </c>
    </row>
    <row customHeight="1" ht="11.25">
      <c r="A33" s="208" t="s">
        <v>5490</v>
      </c>
      <c r="B33" s="208" t="s">
        <v>5491</v>
      </c>
    </row>
    <row customHeight="1" ht="11.25">
      <c r="A34" s="208" t="s">
        <v>5492</v>
      </c>
      <c r="B34" s="208" t="s">
        <v>5493</v>
      </c>
    </row>
    <row customHeight="1" ht="11.25">
      <c r="A35" s="208" t="s">
        <v>5494</v>
      </c>
      <c r="B35" s="208" t="s">
        <v>5495</v>
      </c>
    </row>
    <row customHeight="1" ht="11.25">
      <c r="A36" s="208" t="s">
        <v>5496</v>
      </c>
      <c r="B36" s="208" t="s">
        <v>5497</v>
      </c>
    </row>
    <row customHeight="1" ht="11.25">
      <c r="A37" s="208" t="s">
        <v>5498</v>
      </c>
      <c r="B37" s="208" t="s">
        <v>5499</v>
      </c>
    </row>
    <row customHeight="1" ht="11.25">
      <c r="A38" s="208" t="s">
        <v>5500</v>
      </c>
      <c r="B38" s="208" t="s">
        <v>5501</v>
      </c>
    </row>
    <row customHeight="1" ht="11.25">
      <c r="A39" s="208" t="s">
        <v>5502</v>
      </c>
      <c r="B39" s="208" t="s">
        <v>5503</v>
      </c>
    </row>
    <row customHeight="1" ht="11.25">
      <c r="A40" s="208" t="s">
        <v>5504</v>
      </c>
      <c r="B40" s="208" t="s">
        <v>5505</v>
      </c>
    </row>
    <row customHeight="1" ht="11.25">
      <c r="A41" s="208" t="s">
        <v>5506</v>
      </c>
      <c r="B41" s="208" t="s">
        <v>5507</v>
      </c>
    </row>
    <row customHeight="1" ht="11.25">
      <c r="A42" s="208" t="s">
        <v>5508</v>
      </c>
      <c r="B42" s="208" t="s">
        <v>5509</v>
      </c>
    </row>
    <row customHeight="1" ht="11.25">
      <c r="A43" s="208" t="s">
        <v>5510</v>
      </c>
      <c r="B43" s="208" t="s">
        <v>5511</v>
      </c>
    </row>
    <row customHeight="1" ht="11.25">
      <c r="A44" s="208" t="s">
        <v>5512</v>
      </c>
      <c r="B44" s="208" t="s">
        <v>5513</v>
      </c>
    </row>
    <row customHeight="1" ht="11.25">
      <c r="A45" s="208" t="s">
        <v>5514</v>
      </c>
      <c r="B45" s="208" t="s">
        <v>5515</v>
      </c>
    </row>
    <row customHeight="1" ht="11.25">
      <c r="A46" s="208" t="s">
        <v>5516</v>
      </c>
      <c r="B46" s="208" t="s">
        <v>5517</v>
      </c>
    </row>
    <row customHeight="1" ht="11.25">
      <c r="A47" s="208" t="s">
        <v>5518</v>
      </c>
      <c r="B47" s="208" t="s">
        <v>5519</v>
      </c>
    </row>
    <row customHeight="1" ht="11.25">
      <c r="A48" s="208" t="s">
        <v>5520</v>
      </c>
      <c r="B48" s="208" t="s">
        <v>5521</v>
      </c>
    </row>
    <row customHeight="1" ht="11.25">
      <c r="A49" s="208" t="s">
        <v>5522</v>
      </c>
      <c r="B49" s="208" t="s">
        <v>5523</v>
      </c>
    </row>
    <row customHeight="1" ht="11.25">
      <c r="A50" s="208" t="s">
        <v>5524</v>
      </c>
      <c r="B50" s="208" t="s">
        <v>5525</v>
      </c>
    </row>
    <row customHeight="1" ht="11.25">
      <c r="A51" s="208" t="s">
        <v>5526</v>
      </c>
      <c r="B51" s="208" t="s">
        <v>5527</v>
      </c>
    </row>
    <row customHeight="1" ht="11.25">
      <c r="A52" s="208" t="s">
        <v>5528</v>
      </c>
      <c r="B52" s="208" t="s">
        <v>5529</v>
      </c>
    </row>
    <row customHeight="1" ht="11.25">
      <c r="A53" s="208" t="s">
        <v>5530</v>
      </c>
      <c r="B53" s="208" t="s">
        <v>5531</v>
      </c>
    </row>
    <row customHeight="1" ht="11.25">
      <c r="A54" s="208" t="s">
        <v>5532</v>
      </c>
      <c r="B54" s="208" t="s">
        <v>5533</v>
      </c>
    </row>
    <row customHeight="1" ht="11.25">
      <c r="A55" s="208" t="s">
        <v>5534</v>
      </c>
      <c r="B55" s="208" t="s">
        <v>5535</v>
      </c>
    </row>
    <row customHeight="1" ht="11.25">
      <c r="A56" s="208" t="s">
        <v>5536</v>
      </c>
      <c r="B56" s="208" t="s">
        <v>5537</v>
      </c>
    </row>
    <row customHeight="1" ht="11.25">
      <c r="A57" s="208" t="s">
        <v>5538</v>
      </c>
      <c r="B57" s="208" t="s">
        <v>5539</v>
      </c>
    </row>
    <row customHeight="1" ht="11.25">
      <c r="A58" s="208" t="s">
        <v>5540</v>
      </c>
      <c r="B58" s="208" t="s">
        <v>5541</v>
      </c>
    </row>
    <row customHeight="1" ht="11.25">
      <c r="A59" s="208" t="s">
        <v>5542</v>
      </c>
      <c r="B59" s="208" t="s">
        <v>5543</v>
      </c>
    </row>
    <row customHeight="1" ht="11.25">
      <c r="A60" s="208" t="s">
        <v>5544</v>
      </c>
      <c r="B60" s="208" t="s">
        <v>5545</v>
      </c>
    </row>
    <row customHeight="1" ht="11.25">
      <c r="A61" s="208"/>
      <c r="B61" s="208" t="s">
        <v>5546</v>
      </c>
    </row>
    <row customHeight="1" ht="11.25">
      <c r="A62" s="208"/>
      <c r="B62" s="208" t="s">
        <v>5547</v>
      </c>
    </row>
    <row customHeight="1" ht="11.25">
      <c r="A63" s="208"/>
      <c r="B63" s="208" t="s">
        <v>5548</v>
      </c>
    </row>
    <row customHeight="1" ht="11.25">
      <c r="A64" s="208"/>
      <c r="B64" s="208" t="s">
        <v>5549</v>
      </c>
    </row>
    <row customHeight="1" ht="11.25">
      <c r="A65" s="208"/>
      <c r="B65" s="208" t="s">
        <v>5550</v>
      </c>
    </row>
    <row customHeight="1" ht="11.25">
      <c r="A66" s="208"/>
      <c r="B66" s="208" t="s">
        <v>5551</v>
      </c>
    </row>
    <row customHeight="1" ht="11.25">
      <c r="A67" s="208"/>
      <c r="B67" s="208" t="s">
        <v>5552</v>
      </c>
    </row>
    <row customHeight="1" ht="11.25">
      <c r="A68" s="208"/>
      <c r="B68" s="208" t="s">
        <v>5553</v>
      </c>
    </row>
    <row customHeight="1" ht="11.25">
      <c r="A69" s="208"/>
      <c r="B69" s="208" t="s">
        <v>5554</v>
      </c>
    </row>
    <row customHeight="1" ht="11.25">
      <c r="A70" s="208"/>
      <c r="B70" s="208" t="s">
        <v>5555</v>
      </c>
    </row>
    <row customHeight="1" ht="11.25">
      <c r="A71" s="208"/>
      <c r="B71" s="208"/>
    </row>
    <row customHeight="1" ht="11.25">
      <c r="A72" s="208"/>
      <c r="B72" s="208"/>
    </row>
    <row customHeight="1" ht="11.25">
      <c r="A73" s="208"/>
      <c r="B73" s="208"/>
    </row>
    <row customHeight="1" ht="11.25">
      <c r="A74" s="208"/>
      <c r="B74" s="208"/>
    </row>
    <row customHeight="1" ht="11.25">
      <c r="A75" s="208"/>
      <c r="B75" s="208"/>
    </row>
    <row customHeight="1" ht="11.25">
      <c r="A76" s="208"/>
      <c r="B76" s="208"/>
    </row>
    <row customHeight="1" ht="11.25">
      <c r="A77" s="208"/>
      <c r="B77" s="208"/>
    </row>
    <row customHeight="1" ht="11.25">
      <c r="A78" s="208"/>
      <c r="B78" s="208"/>
    </row>
    <row customHeight="1" ht="11.25">
      <c r="A79" s="208"/>
      <c r="B79" s="208"/>
    </row>
    <row customHeight="1" ht="11.25">
      <c r="A80" s="208"/>
      <c r="B80" s="208"/>
    </row>
    <row customHeight="1" ht="11.25">
      <c r="A81" s="208"/>
      <c r="B81" s="208"/>
    </row>
    <row customHeight="1" ht="11.25">
      <c r="A82" s="208"/>
      <c r="B82" s="208"/>
    </row>
    <row customHeight="1" ht="11.25">
      <c r="A83" s="208"/>
      <c r="B83" s="208"/>
    </row>
    <row customHeight="1" ht="11.25">
      <c r="A84" s="208"/>
      <c r="B84" s="208"/>
    </row>
    <row customHeight="1" ht="11.25">
      <c r="A85" s="208"/>
      <c r="B85" s="208"/>
    </row>
    <row customHeight="1" ht="11.25">
      <c r="A86" s="208"/>
      <c r="B86" s="208"/>
    </row>
    <row customHeight="1" ht="11.25">
      <c r="A87" s="208"/>
      <c r="B87" s="208"/>
    </row>
    <row customHeight="1" ht="11.25">
      <c r="A88" s="208"/>
      <c r="B88" s="208"/>
    </row>
    <row customHeight="1" ht="11.25">
      <c r="A89" s="208"/>
      <c r="B89" s="208"/>
    </row>
    <row customHeight="1" ht="11.25">
      <c r="A90" s="208"/>
      <c r="B90" s="208"/>
    </row>
    <row customHeight="1" ht="11.25">
      <c r="A91" s="208"/>
      <c r="B91" s="208"/>
    </row>
    <row customHeight="1" ht="11.25">
      <c r="A92" s="208"/>
      <c r="B92" s="208"/>
    </row>
    <row customHeight="1" ht="11.25">
      <c r="A93" s="208"/>
      <c r="B93" s="208"/>
    </row>
    <row customHeight="1" ht="11.25">
      <c r="A94" s="208"/>
      <c r="B94" s="208"/>
    </row>
    <row customHeight="1" ht="11.25">
      <c r="A95" s="208"/>
      <c r="B95" s="208"/>
    </row>
    <row customHeight="1" ht="11.25">
      <c r="A96" s="208"/>
      <c r="B96" s="208"/>
    </row>
    <row customHeight="1" ht="11.25">
      <c r="A97" s="208"/>
      <c r="B97" s="208"/>
    </row>
    <row customHeight="1" ht="11.25">
      <c r="A98" s="208"/>
      <c r="B98" s="208"/>
    </row>
    <row customHeight="1" ht="11.25">
      <c r="A99" s="208"/>
      <c r="B99" s="208"/>
    </row>
    <row customHeight="1" ht="11.25">
      <c r="A100" s="208"/>
      <c r="B100" s="208"/>
    </row>
    <row customHeight="1" ht="11.25">
      <c r="A101" s="208"/>
      <c r="B101" s="208"/>
    </row>
    <row customHeight="1" ht="11.25">
      <c r="A102" s="208"/>
      <c r="B102" s="208"/>
    </row>
    <row customHeight="1" ht="11.25">
      <c r="A103" s="208"/>
      <c r="B103" s="208"/>
    </row>
    <row customHeight="1" ht="11.25">
      <c r="A104" s="208"/>
      <c r="B104" s="208"/>
    </row>
    <row customHeight="1" ht="11.25">
      <c r="A105" s="208"/>
      <c r="B105" s="208"/>
    </row>
    <row customHeight="1" ht="11.25">
      <c r="A106" s="208"/>
      <c r="B106" s="208"/>
    </row>
    <row customHeight="1" ht="11.25">
      <c r="A107" s="208"/>
      <c r="B107" s="208"/>
    </row>
    <row customHeight="1" ht="11.25">
      <c r="A108" s="208"/>
      <c r="B108" s="208"/>
    </row>
    <row customHeight="1" ht="11.25">
      <c r="A109" s="208"/>
      <c r="B109" s="208"/>
    </row>
    <row customHeight="1" ht="11.25">
      <c r="A110" s="208"/>
      <c r="B110" s="208"/>
    </row>
    <row customHeight="1" ht="11.25">
      <c r="A111" s="208"/>
      <c r="B111" s="208"/>
    </row>
    <row customHeight="1" ht="11.25">
      <c r="A112" s="208"/>
      <c r="B112" s="208"/>
    </row>
    <row customHeight="1" ht="11.25">
      <c r="A113" s="208"/>
      <c r="B113" s="208"/>
    </row>
    <row customHeight="1" ht="11.25">
      <c r="A114" s="208"/>
      <c r="B114" s="208"/>
    </row>
    <row customHeight="1" ht="11.25">
      <c r="A115" s="208"/>
      <c r="B115" s="208"/>
    </row>
    <row customHeight="1" ht="11.25">
      <c r="A116" s="208"/>
      <c r="B116" s="208"/>
    </row>
    <row customHeight="1" ht="11.25">
      <c r="A117" s="208"/>
      <c r="B117" s="208"/>
    </row>
    <row customHeight="1" ht="11.25">
      <c r="A118" s="208"/>
      <c r="B118" s="208"/>
    </row>
    <row customHeight="1" ht="11.25">
      <c r="A119" s="208"/>
      <c r="B119" s="208"/>
    </row>
    <row customHeight="1" ht="11.25">
      <c r="A120" s="208"/>
      <c r="B120" s="208"/>
    </row>
    <row customHeight="1" ht="11.25">
      <c r="A121" s="208"/>
      <c r="B121" s="208"/>
    </row>
    <row customHeight="1" ht="11.25">
      <c r="A122" s="208"/>
      <c r="B122" s="208"/>
    </row>
    <row customHeight="1" ht="11.25">
      <c r="A123" s="208"/>
      <c r="B123" s="208"/>
    </row>
    <row customHeight="1" ht="11.25">
      <c r="A124" s="208"/>
      <c r="B124" s="208"/>
    </row>
    <row customHeight="1" ht="11.25">
      <c r="A125" s="208"/>
      <c r="B125" s="208"/>
    </row>
    <row customHeight="1" ht="11.25">
      <c r="A126" s="208"/>
      <c r="B126" s="208"/>
    </row>
    <row customHeight="1" ht="11.25">
      <c r="A127" s="208"/>
      <c r="B127" s="208"/>
    </row>
    <row customHeight="1" ht="11.25">
      <c r="A128" s="208"/>
      <c r="B128" s="208"/>
    </row>
    <row customHeight="1" ht="11.25">
      <c r="A129" s="208"/>
      <c r="B129" s="208"/>
    </row>
    <row customHeight="1" ht="11.25">
      <c r="A130" s="208"/>
      <c r="B130" s="208"/>
    </row>
    <row customHeight="1" ht="11.25">
      <c r="A131" s="208"/>
      <c r="B131" s="208"/>
    </row>
    <row customHeight="1" ht="11.25">
      <c r="A132" s="208"/>
      <c r="B132" s="208"/>
    </row>
    <row customHeight="1" ht="11.25">
      <c r="A133" s="208"/>
      <c r="B133" s="208"/>
    </row>
    <row customHeight="1" ht="11.25">
      <c r="A134" s="208"/>
      <c r="B134" s="208"/>
    </row>
    <row customHeight="1" ht="11.25">
      <c r="A135" s="208"/>
      <c r="B135" s="208"/>
    </row>
    <row customHeight="1" ht="11.25">
      <c r="A136" s="208"/>
      <c r="B136" s="208"/>
    </row>
    <row customHeight="1" ht="11.25">
      <c r="A137" s="208"/>
      <c r="B137" s="208"/>
    </row>
    <row customHeight="1" ht="11.25">
      <c r="A138" s="208"/>
      <c r="B138" s="208"/>
    </row>
    <row customHeight="1" ht="11.25">
      <c r="A139" s="208"/>
      <c r="B139" s="208"/>
    </row>
    <row customHeight="1" ht="11.25">
      <c r="A140" s="208"/>
      <c r="B140" s="208"/>
    </row>
    <row customHeight="1" ht="11.25">
      <c r="A141" s="208"/>
      <c r="B141" s="208"/>
    </row>
    <row customHeight="1" ht="11.25">
      <c r="A142" s="208"/>
      <c r="B142" s="208"/>
    </row>
    <row customHeight="1" ht="11.25">
      <c r="A143" s="208"/>
      <c r="B143" s="208"/>
    </row>
    <row customHeight="1" ht="11.25">
      <c r="A144" s="208"/>
      <c r="B144" s="208"/>
    </row>
    <row customHeight="1" ht="11.25">
      <c r="A145" s="208"/>
      <c r="B145" s="208"/>
    </row>
    <row customHeight="1" ht="11.25">
      <c r="A146" s="208"/>
      <c r="B146" s="208"/>
    </row>
    <row customHeight="1" ht="11.25">
      <c r="A147" s="208"/>
      <c r="B147" s="208"/>
    </row>
    <row customHeight="1" ht="11.25">
      <c r="A148" s="208"/>
      <c r="B148" s="208"/>
    </row>
    <row customHeight="1" ht="11.25">
      <c r="A149" s="208"/>
      <c r="B149" s="208"/>
    </row>
    <row customHeight="1" ht="11.25">
      <c r="A150" s="208"/>
      <c r="B150" s="208"/>
    </row>
    <row customHeight="1" ht="11.25">
      <c r="A151" s="208"/>
      <c r="B151" s="208"/>
    </row>
    <row customHeight="1" ht="11.25">
      <c r="A152" s="208"/>
      <c r="B152" s="208"/>
    </row>
    <row customHeight="1" ht="11.25">
      <c r="A153" s="208"/>
      <c r="B153" s="208"/>
    </row>
    <row customHeight="1" ht="11.25">
      <c r="A154" s="208"/>
      <c r="B154" s="208"/>
    </row>
    <row customHeight="1" ht="11.25">
      <c r="A155" s="208"/>
      <c r="B155" s="208"/>
    </row>
    <row customHeight="1" ht="11.25">
      <c r="A156" s="208"/>
      <c r="B156" s="208"/>
    </row>
    <row customHeight="1" ht="11.25">
      <c r="A157" s="208"/>
      <c r="B157" s="208"/>
    </row>
    <row customHeight="1" ht="11.25">
      <c r="A158" s="208"/>
      <c r="B158" s="208"/>
    </row>
    <row customHeight="1" ht="11.25">
      <c r="A159" s="208"/>
      <c r="B159" s="208"/>
    </row>
    <row customHeight="1" ht="11.25">
      <c r="A160" s="208"/>
      <c r="B160" s="208"/>
    </row>
    <row customHeight="1" ht="11.25">
      <c r="A161" s="208"/>
      <c r="B161" s="208"/>
    </row>
    <row customHeight="1" ht="11.25">
      <c r="A162" s="208"/>
      <c r="B162" s="208"/>
    </row>
    <row customHeight="1" ht="11.25">
      <c r="A163" s="208"/>
      <c r="B163" s="208"/>
    </row>
    <row customHeight="1" ht="11.25">
      <c r="A164" s="208"/>
      <c r="B164" s="208"/>
    </row>
    <row customHeight="1" ht="11.25">
      <c r="A165" s="208"/>
      <c r="B165" s="208"/>
    </row>
    <row customHeight="1" ht="11.25">
      <c r="A166" s="208"/>
      <c r="B166" s="208"/>
    </row>
    <row customHeight="1" ht="11.25">
      <c r="A167" s="208"/>
      <c r="B167" s="208"/>
    </row>
    <row customHeight="1" ht="11.25">
      <c r="A168" s="208"/>
      <c r="B168" s="208"/>
    </row>
    <row customHeight="1" ht="11.25">
      <c r="A169" s="208"/>
      <c r="B169" s="208"/>
    </row>
    <row customHeight="1" ht="11.25">
      <c r="A170" s="208"/>
      <c r="B170" s="208"/>
    </row>
    <row customHeight="1" ht="11.25">
      <c r="A171" s="208"/>
      <c r="B171" s="208"/>
    </row>
    <row customHeight="1" ht="11.25">
      <c r="A172" s="208"/>
      <c r="B172" s="208"/>
    </row>
    <row customHeight="1" ht="11.25">
      <c r="A173" s="208"/>
      <c r="B173" s="208"/>
    </row>
    <row customHeight="1" ht="11.25">
      <c r="A174" s="208"/>
      <c r="B174" s="208"/>
    </row>
    <row customHeight="1" ht="11.25">
      <c r="A175" s="208"/>
      <c r="B175" s="208"/>
    </row>
    <row customHeight="1" ht="11.25">
      <c r="A176" s="208"/>
      <c r="B176" s="208"/>
    </row>
    <row customHeight="1" ht="11.25">
      <c r="A177" s="208"/>
      <c r="B177" s="208"/>
    </row>
    <row customHeight="1" ht="11.25">
      <c r="A178" s="208"/>
      <c r="B178" s="208"/>
    </row>
    <row customHeight="1" ht="11.25">
      <c r="A179" s="208"/>
      <c r="B179" s="208"/>
    </row>
    <row customHeight="1" ht="11.25">
      <c r="A180" s="208"/>
      <c r="B180" s="208"/>
    </row>
    <row customHeight="1" ht="11.25">
      <c r="A181" s="208"/>
      <c r="B181" s="208"/>
    </row>
    <row customHeight="1" ht="11.25">
      <c r="A182" s="208"/>
      <c r="B182" s="208"/>
    </row>
    <row customHeight="1" ht="11.25">
      <c r="A183" s="208"/>
      <c r="B183" s="208"/>
    </row>
    <row customHeight="1" ht="11.25">
      <c r="A184" s="208"/>
      <c r="B184" s="208"/>
    </row>
    <row customHeight="1" ht="11.25">
      <c r="A185" s="208"/>
      <c r="B185" s="208"/>
    </row>
    <row customHeight="1" ht="11.25">
      <c r="A186" s="208"/>
      <c r="B186" s="208"/>
    </row>
    <row customHeight="1" ht="11.25">
      <c r="A187" s="208"/>
      <c r="B187" s="208"/>
    </row>
    <row customHeight="1" ht="11.25">
      <c r="A188" s="208"/>
      <c r="B188" s="208"/>
    </row>
    <row customHeight="1" ht="11.25">
      <c r="A189" s="208"/>
      <c r="B189" s="208"/>
    </row>
    <row customHeight="1" ht="11.25">
      <c r="A190" s="208"/>
      <c r="B190" s="208"/>
    </row>
    <row customHeight="1" ht="11.25">
      <c r="A191" s="208"/>
      <c r="B191" s="208"/>
    </row>
    <row customHeight="1" ht="11.25">
      <c r="A192" s="208"/>
      <c r="B192" s="208"/>
    </row>
    <row customHeight="1" ht="11.25">
      <c r="A193" s="208"/>
      <c r="B193" s="208"/>
    </row>
    <row customHeight="1" ht="11.25">
      <c r="A194" s="208"/>
      <c r="B194" s="208"/>
    </row>
    <row customHeight="1" ht="11.25">
      <c r="A195" s="208"/>
      <c r="B195" s="208"/>
    </row>
    <row customHeight="1" ht="11.25">
      <c r="A196" s="208"/>
      <c r="B196" s="208"/>
    </row>
    <row customHeight="1" ht="11.25">
      <c r="A197" s="208"/>
      <c r="B197" s="208"/>
    </row>
    <row customHeight="1" ht="11.25">
      <c r="A198" s="208"/>
      <c r="B198" s="208"/>
    </row>
    <row customHeight="1" ht="11.25">
      <c r="A199" s="208"/>
      <c r="B199" s="208"/>
    </row>
    <row customHeight="1" ht="11.25">
      <c r="A200" s="208"/>
      <c r="B200" s="208"/>
    </row>
    <row customHeight="1" ht="11.25">
      <c r="A201" s="208"/>
      <c r="B201" s="208"/>
    </row>
    <row customHeight="1" ht="11.25">
      <c r="A202" s="208"/>
      <c r="B202" s="208"/>
    </row>
    <row customHeight="1" ht="11.25">
      <c r="A203" s="208"/>
      <c r="B203" s="208"/>
    </row>
    <row customHeight="1" ht="11.25">
      <c r="A204" s="208"/>
      <c r="B204" s="208"/>
    </row>
    <row customHeight="1" ht="11.25">
      <c r="A205" s="208"/>
      <c r="B205" s="208"/>
    </row>
    <row customHeight="1" ht="11.25">
      <c r="A206" s="208"/>
      <c r="B206" s="208"/>
    </row>
    <row customHeight="1" ht="11.25">
      <c r="A207" s="208"/>
      <c r="B207" s="208"/>
    </row>
    <row customHeight="1" ht="11.25">
      <c r="A208" s="208"/>
      <c r="B208" s="208"/>
    </row>
    <row customHeight="1" ht="11.25">
      <c r="A209" s="208"/>
      <c r="B209" s="208"/>
    </row>
    <row customHeight="1" ht="11.25">
      <c r="A210" s="208"/>
      <c r="B210" s="208"/>
    </row>
    <row customHeight="1" ht="11.25">
      <c r="A211" s="208"/>
      <c r="B211" s="208"/>
    </row>
    <row customHeight="1" ht="11.25">
      <c r="A212" s="208"/>
      <c r="B212" s="208"/>
    </row>
    <row customHeight="1" ht="11.25">
      <c r="A213" s="208"/>
      <c r="B213" s="208"/>
    </row>
    <row customHeight="1" ht="11.25">
      <c r="A214" s="208"/>
      <c r="B214" s="208"/>
    </row>
    <row customHeight="1" ht="11.25">
      <c r="A215" s="208"/>
      <c r="B215" s="208"/>
    </row>
    <row customHeight="1" ht="11.25">
      <c r="A216" s="208"/>
      <c r="B216" s="208"/>
    </row>
    <row customHeight="1" ht="11.25">
      <c r="A217" s="208"/>
      <c r="B217" s="208"/>
    </row>
    <row customHeight="1" ht="11.25">
      <c r="A218" s="208"/>
      <c r="B218" s="208"/>
    </row>
    <row customHeight="1" ht="11.25">
      <c r="A219" s="208"/>
      <c r="B219" s="208"/>
    </row>
    <row customHeight="1" ht="11.25">
      <c r="A220" s="208"/>
      <c r="B220" s="208"/>
    </row>
    <row customHeight="1" ht="11.25">
      <c r="A221" s="208"/>
      <c r="B221" s="208"/>
    </row>
    <row customHeight="1" ht="11.25">
      <c r="A222" s="208"/>
      <c r="B222" s="208"/>
    </row>
    <row customHeight="1" ht="11.25">
      <c r="A223" s="208"/>
      <c r="B223" s="208"/>
    </row>
    <row customHeight="1" ht="11.25">
      <c r="A224" s="208"/>
      <c r="B224" s="208"/>
    </row>
    <row customHeight="1" ht="11.25">
      <c r="A225" s="208"/>
      <c r="B225" s="208"/>
    </row>
    <row customHeight="1" ht="11.25">
      <c r="A226" s="208"/>
      <c r="B226" s="208"/>
    </row>
    <row customHeight="1" ht="11.25">
      <c r="A227" s="208"/>
      <c r="B227" s="208"/>
    </row>
    <row customHeight="1" ht="11.25">
      <c r="A228" s="208"/>
      <c r="B228" s="208"/>
    </row>
    <row customHeight="1" ht="11.25">
      <c r="A229" s="208"/>
      <c r="B229" s="208"/>
    </row>
    <row customHeight="1" ht="11.25">
      <c r="A230" s="208"/>
      <c r="B230" s="208"/>
    </row>
    <row customHeight="1" ht="11.25">
      <c r="A231" s="208"/>
      <c r="B231" s="208"/>
    </row>
    <row customHeight="1" ht="11.25">
      <c r="A232" s="208"/>
      <c r="B232" s="208"/>
    </row>
    <row customHeight="1" ht="11.25">
      <c r="A233" s="208"/>
      <c r="B233" s="208"/>
    </row>
    <row customHeight="1" ht="11.25">
      <c r="A234" s="208"/>
      <c r="B234" s="208"/>
    </row>
    <row customHeight="1" ht="11.25">
      <c r="A235" s="208"/>
      <c r="B235" s="208"/>
    </row>
    <row customHeight="1" ht="11.25">
      <c r="A236" s="208"/>
      <c r="B236" s="208"/>
    </row>
    <row customHeight="1" ht="11.25">
      <c r="A237" s="208"/>
      <c r="B237" s="208"/>
    </row>
    <row customHeight="1" ht="11.25">
      <c r="A238" s="208"/>
      <c r="B238" s="208"/>
    </row>
    <row customHeight="1" ht="11.25">
      <c r="A239" s="208"/>
      <c r="B239" s="208"/>
    </row>
    <row customHeight="1" ht="11.25">
      <c r="A240" s="208"/>
      <c r="B240" s="208"/>
    </row>
    <row customHeight="1" ht="11.25">
      <c r="A241" s="208"/>
      <c r="B241" s="208"/>
    </row>
    <row customHeight="1" ht="11.25">
      <c r="A242" s="208"/>
      <c r="B242" s="208"/>
    </row>
    <row customHeight="1" ht="11.25">
      <c r="A243" s="208"/>
      <c r="B243" s="208"/>
    </row>
    <row customHeight="1" ht="11.25">
      <c r="A244" s="208"/>
      <c r="B244" s="208"/>
    </row>
    <row customHeight="1" ht="11.25">
      <c r="A245" s="208"/>
      <c r="B245" s="208"/>
    </row>
    <row customHeight="1" ht="11.25">
      <c r="A246" s="208"/>
      <c r="B246" s="208"/>
    </row>
    <row customHeight="1" ht="11.25">
      <c r="A247" s="208"/>
      <c r="B247" s="208"/>
    </row>
    <row customHeight="1" ht="11.25">
      <c r="A248" s="208"/>
      <c r="B248" s="208"/>
    </row>
    <row customHeight="1" ht="11.25">
      <c r="A249" s="208"/>
      <c r="B249" s="208"/>
    </row>
    <row customHeight="1" ht="11.25">
      <c r="A250" s="208"/>
      <c r="B250" s="208"/>
    </row>
    <row customHeight="1" ht="11.25">
      <c r="A251" s="208"/>
      <c r="B251" s="208"/>
    </row>
    <row customHeight="1" ht="11.25">
      <c r="A252" s="208"/>
      <c r="B252" s="208"/>
    </row>
    <row customHeight="1" ht="11.25">
      <c r="A253" s="208"/>
      <c r="B253" s="20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38AB1A-05A1-AD8D-3909-0.F678B37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7976" width="3.7109375" customWidth="1"/>
    <col min="2" max="2" style="7976" width="90.7109375" customWidth="1"/>
    <col min="3" max="4" style="7976" width="9.140625"/>
  </cols>
  <sheetData>
    <row customHeight="1" ht="11.25">
      <c r="B1" s="239" t="s">
        <v>5556</v>
      </c>
    </row>
    <row customHeight="1" ht="90">
      <c r="B2" s="240" t="s">
        <v>5557</v>
      </c>
    </row>
    <row customHeight="1" ht="67.5">
      <c r="B3" s="240" t="s">
        <v>5558</v>
      </c>
    </row>
    <row customHeight="1" ht="33.75">
      <c r="B4" s="240" t="s">
        <v>5559</v>
      </c>
    </row>
    <row customHeight="1" ht="11.25">
      <c r="B5" s="240" t="s">
        <v>5560</v>
      </c>
    </row>
    <row customHeight="1" ht="22.5">
      <c r="B6" s="240" t="s">
        <v>5561</v>
      </c>
    </row>
    <row customHeight="1" ht="22.5">
      <c r="B7" s="240" t="s">
        <v>5562</v>
      </c>
    </row>
    <row customHeight="1" ht="22.5">
      <c r="B8" s="240" t="s">
        <v>5563</v>
      </c>
    </row>
    <row customHeight="1" ht="22.5">
      <c r="B9" s="240" t="s">
        <v>5564</v>
      </c>
    </row>
    <row customHeight="1" ht="56.25">
      <c r="B10" s="240" t="s">
        <v>5565</v>
      </c>
    </row>
    <row customHeight="1" ht="12.75">
      <c r="B11" s="305" t="s">
        <v>5566</v>
      </c>
    </row>
    <row customHeight="1" ht="11.25">
      <c r="B12" s="239" t="s">
        <v>5567</v>
      </c>
    </row>
    <row customHeight="1" ht="22.5">
      <c r="B13" s="240" t="s">
        <v>5568</v>
      </c>
    </row>
    <row customHeight="1" ht="67.5">
      <c r="B14" s="240" t="s">
        <v>5569</v>
      </c>
    </row>
    <row customHeight="1" ht="22.5">
      <c r="B15" s="240" t="s">
        <v>5570</v>
      </c>
    </row>
    <row customHeight="1" ht="11.25">
      <c r="B16" s="239" t="s">
        <v>5571</v>
      </c>
      <c r="D16" s="246"/>
    </row>
    <row customHeight="1" ht="33.75">
      <c r="B17" s="240" t="s">
        <v>5572</v>
      </c>
    </row>
    <row customHeight="1" ht="33.75">
      <c r="B18" s="240" t="s">
        <v>5573</v>
      </c>
    </row>
    <row customHeight="1" ht="11.25">
      <c r="B19" s="240" t="s">
        <v>5574</v>
      </c>
    </row>
    <row customHeight="1" ht="33.75">
      <c r="B20" s="240" t="s">
        <v>5575</v>
      </c>
    </row>
    <row customHeight="1" ht="11.25">
      <c r="B21" s="239" t="s">
        <v>5576</v>
      </c>
    </row>
    <row customHeight="1" ht="11.25">
      <c r="B22" s="240" t="s">
        <v>5577</v>
      </c>
    </row>
    <row r="24" customHeight="1" ht="22.5">
      <c r="B24" s="307" t="s">
        <v>5578</v>
      </c>
    </row>
    <row r="26" customHeight="1" ht="11.25">
      <c r="B26" s="239" t="s">
        <v>5579</v>
      </c>
    </row>
    <row customHeight="1" ht="22.5">
      <c r="B27" s="306" t="s">
        <v>418</v>
      </c>
    </row>
    <row customHeight="1" ht="56.25">
      <c r="B28" s="306" t="s">
        <v>5580</v>
      </c>
    </row>
    <row customHeight="1" ht="11.25">
      <c r="B29" s="356" t="s">
        <v>5581</v>
      </c>
    </row>
    <row customHeight="1" ht="22.5">
      <c r="B30" s="306" t="s">
        <v>5582</v>
      </c>
    </row>
    <row r="32" customHeight="1" ht="11.25">
      <c r="A32" s="334"/>
      <c r="B32" s="335" t="s">
        <v>5583</v>
      </c>
    </row>
    <row customHeight="1" ht="14.25">
      <c r="A33" s="336">
        <v>1</v>
      </c>
      <c r="B33" s="337" t="s">
        <v>5584</v>
      </c>
    </row>
    <row customHeight="1" ht="14.25">
      <c r="A34" s="336">
        <v>2</v>
      </c>
      <c r="B34" s="337" t="s">
        <v>5585</v>
      </c>
    </row>
    <row customHeight="1" ht="11.25">
      <c r="B35" s="335" t="s">
        <v>5586</v>
      </c>
    </row>
    <row customHeight="1" ht="11.25">
      <c r="B36" s="337" t="s">
        <v>5587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B4B6D5-A44D-456B-7C8D-0.B5FDC63E}"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7486" width="9.140625" hidden="1" customWidth="1"/>
    <col min="2" max="2" style="7235" width="9.140625" hidden="1" customWidth="1"/>
    <col min="3" max="3" style="7758" width="3.00390625" customWidth="1"/>
    <col min="4" max="4" style="7235" width="5.00390625" customWidth="1"/>
    <col min="5" max="5" style="7235" width="38.00390625" customWidth="1"/>
    <col min="6" max="7" style="7235" width="3.00390625" customWidth="1"/>
    <col min="8" max="8" style="7235" width="38.00390625" customWidth="1"/>
    <col min="9" max="9" style="7235" width="35.00390625" customWidth="1"/>
    <col min="10" max="10" style="7235" width="103.00390625" customWidth="1"/>
    <col min="11" max="11" style="6055" width="3.00390625" customWidth="1"/>
    <col min="12" max="14" style="6720" width="10.00390625" customWidth="1"/>
    <col min="15" max="15" style="6720" width="13.00390625" customWidth="1"/>
    <col min="16" max="16" style="6720" width="15.00390625" customWidth="1"/>
    <col min="17" max="17" style="6720" width="16.00390625" customWidth="1"/>
    <col min="18" max="21" style="6720" width="10.00390625" customWidth="1"/>
    <col min="22" max="22" style="7235" width="10.57421875" hidden="1"/>
  </cols>
  <sheetData>
    <row customHeight="1" ht="22.5" hidden="1">
      <c r="E1" s="558"/>
      <c r="F1" s="558"/>
      <c r="G1" s="558"/>
      <c r="H1" s="2376" t="s">
        <v>374</v>
      </c>
      <c r="I1" s="2376"/>
      <c r="V1" s="1753" t="s">
        <v>14</v>
      </c>
    </row>
    <row s="7235" customFormat="1" customHeight="1" ht="14.25" hidden="1">
      <c r="C2" s="1765"/>
      <c r="D2" s="2392" t="s">
        <v>121</v>
      </c>
      <c r="E2" s="2394"/>
      <c r="F2" s="1771"/>
      <c r="G2" s="1766" t="s">
        <v>121</v>
      </c>
      <c r="H2" s="1769"/>
      <c r="I2" s="1767"/>
      <c r="L2" s="1768"/>
      <c r="M2" s="1768"/>
      <c r="N2" s="1768"/>
      <c r="O2" s="1768" t="s">
        <v>404</v>
      </c>
      <c r="P2" s="1768"/>
      <c r="Q2" s="1768"/>
      <c r="R2" s="1770" t="s">
        <v>403</v>
      </c>
      <c r="S2" s="1770" t="s">
        <v>403</v>
      </c>
      <c r="T2" s="1768"/>
      <c r="U2" s="1768"/>
      <c r="V2" s="1764">
        <v>0</v>
      </c>
    </row>
    <row s="7235" customFormat="1" customHeight="1" ht="14.25" hidden="1">
      <c r="C3" s="1765"/>
      <c r="D3" s="2393"/>
      <c r="E3" s="2395"/>
      <c r="F3" s="551"/>
      <c r="G3" s="1015"/>
      <c r="H3" s="1015" t="s">
        <v>405</v>
      </c>
      <c r="I3" s="459"/>
      <c r="L3" s="1768"/>
      <c r="M3" s="1768"/>
      <c r="N3" s="1768"/>
      <c r="O3" s="1768"/>
      <c r="P3" s="1768"/>
      <c r="Q3" s="1768"/>
      <c r="R3" s="1770"/>
      <c r="S3" s="1770"/>
      <c r="T3" s="1768"/>
      <c r="U3" s="1768"/>
      <c r="V3" s="1764">
        <v>0</v>
      </c>
    </row>
    <row customHeight="1" ht="14.25" hidden="1">
      <c r="V4" s="1753">
        <v>0</v>
      </c>
    </row>
    <row s="6070" customFormat="1" customHeight="1" ht="5.25">
      <c r="C5" s="847"/>
      <c r="D5" s="848"/>
      <c r="E5" s="848"/>
      <c r="F5" s="848"/>
      <c r="G5" s="848"/>
      <c r="H5" s="848" t="s">
        <v>378</v>
      </c>
      <c r="I5" s="848"/>
      <c r="J5" s="848"/>
      <c r="L5" s="1760"/>
      <c r="M5" s="1760"/>
      <c r="N5" s="1760"/>
      <c r="O5" s="1760"/>
      <c r="P5" s="1760"/>
      <c r="Q5" s="1760"/>
      <c r="R5" s="1760"/>
      <c r="S5" s="1760"/>
      <c r="T5" s="1760"/>
      <c r="U5" s="1760"/>
      <c r="V5" s="1759">
        <v>5</v>
      </c>
    </row>
    <row customHeight="1" ht="29.25">
      <c r="C6" s="1662"/>
      <c r="D6" s="2396" t="s">
        <v>406</v>
      </c>
      <c r="E6" s="2396"/>
      <c r="F6" s="2396"/>
      <c r="G6" s="2396"/>
      <c r="H6" s="2396"/>
      <c r="I6" s="2396"/>
      <c r="J6" s="637"/>
      <c r="K6" s="1761"/>
      <c r="V6" s="1753">
        <v>28</v>
      </c>
    </row>
    <row customHeight="1" ht="18">
      <c r="C7" s="1662"/>
      <c r="D7" s="2335" t="str">
        <f>IF(org=0,"Не определено",org)</f>
        <v>ПАО "ТГК-14"</v>
      </c>
      <c r="E7" s="2335"/>
      <c r="F7" s="2335"/>
      <c r="G7" s="2335"/>
      <c r="H7" s="2335"/>
      <c r="I7" s="2335"/>
      <c r="J7" s="637"/>
      <c r="K7" s="1761"/>
      <c r="V7" s="1753">
        <v>17</v>
      </c>
    </row>
    <row s="6075" customFormat="1" customHeight="1" ht="5.25">
      <c r="A8" s="1757"/>
      <c r="C8" s="632"/>
      <c r="D8" s="631"/>
      <c r="E8" s="631"/>
      <c r="F8" s="631"/>
      <c r="G8" s="631"/>
      <c r="H8" s="631"/>
      <c r="I8" s="631"/>
      <c r="J8" s="631"/>
      <c r="L8" s="1760"/>
      <c r="M8" s="1760"/>
      <c r="N8" s="1760"/>
      <c r="O8" s="1760"/>
      <c r="P8" s="1760"/>
      <c r="Q8" s="1760"/>
      <c r="R8" s="1760"/>
      <c r="S8" s="1760"/>
      <c r="T8" s="1760"/>
      <c r="U8" s="1760"/>
      <c r="V8" s="1758">
        <v>5</v>
      </c>
    </row>
    <row s="6075" customFormat="1" customHeight="1" ht="5.25">
      <c r="A9" s="1757"/>
      <c r="C9" s="632"/>
      <c r="D9" s="631"/>
      <c r="E9" s="631"/>
      <c r="F9" s="631"/>
      <c r="G9" s="631"/>
      <c r="H9" s="631"/>
      <c r="I9" s="631"/>
      <c r="J9" s="631"/>
      <c r="L9" s="1768"/>
      <c r="M9" s="1768"/>
      <c r="N9" s="1768"/>
      <c r="O9" s="1768"/>
      <c r="P9" s="1768"/>
      <c r="Q9" s="1768"/>
      <c r="R9" s="1768"/>
      <c r="S9" s="1768"/>
      <c r="T9" s="1768"/>
      <c r="U9" s="1768"/>
      <c r="V9" s="1758">
        <v>5</v>
      </c>
    </row>
    <row customHeight="1" ht="14.699999999999998">
      <c r="C10" s="1662"/>
      <c r="D10" s="2377" t="s">
        <v>322</v>
      </c>
      <c r="E10" s="2378"/>
      <c r="F10" s="2378"/>
      <c r="G10" s="2378"/>
      <c r="H10" s="2378"/>
      <c r="I10" s="2378"/>
      <c r="J10" s="2382" t="s">
        <v>323</v>
      </c>
      <c r="V10" s="1753">
        <v>14</v>
      </c>
    </row>
    <row customHeight="1" ht="27.299999999999997">
      <c r="C11" s="1662"/>
      <c r="D11" s="2286" t="s">
        <v>89</v>
      </c>
      <c r="E11" s="2382" t="s">
        <v>117</v>
      </c>
      <c r="F11" s="2351" t="s">
        <v>89</v>
      </c>
      <c r="G11" s="2352"/>
      <c r="H11" s="2334" t="s">
        <v>407</v>
      </c>
      <c r="I11" s="2334" t="s">
        <v>408</v>
      </c>
      <c r="J11" s="2382"/>
      <c r="V11" s="1753">
        <v>26</v>
      </c>
    </row>
    <row customHeight="1" ht="14.699999999999998">
      <c r="C12" s="1662"/>
      <c r="D12" s="2286"/>
      <c r="E12" s="2382"/>
      <c r="F12" s="2359"/>
      <c r="G12" s="2360"/>
      <c r="H12" s="2391"/>
      <c r="I12" s="2391"/>
      <c r="J12" s="2382"/>
      <c r="V12" s="1753">
        <v>14</v>
      </c>
    </row>
    <row s="6314" customFormat="1" customHeight="1" ht="11.25" hidden="1">
      <c r="C13" s="644"/>
      <c r="D13" s="645" t="s">
        <v>398</v>
      </c>
      <c r="E13" s="645"/>
      <c r="F13" s="645"/>
      <c r="G13" s="645"/>
      <c r="H13" s="643"/>
      <c r="I13" s="643"/>
      <c r="J13" s="581"/>
      <c r="L13" s="1760"/>
      <c r="M13" s="1760"/>
      <c r="N13" s="1760"/>
      <c r="O13" s="1760"/>
      <c r="P13" s="1760"/>
      <c r="Q13" s="1760"/>
      <c r="R13" s="1760"/>
      <c r="S13" s="1760"/>
      <c r="T13" s="1760"/>
      <c r="U13" s="1760"/>
      <c r="V13" s="642">
        <v>0</v>
      </c>
    </row>
    <row customHeight="1" ht="14.699999999999998">
      <c r="A14" s="1753"/>
      <c r="C14" s="1662"/>
      <c r="D14" s="2392" t="s">
        <v>121</v>
      </c>
      <c r="E14" s="2394"/>
      <c r="F14" s="1763"/>
      <c r="G14" s="1762" t="s">
        <v>121</v>
      </c>
      <c r="H14" s="1769"/>
      <c r="I14" s="1767"/>
      <c r="J14" s="2328" t="s">
        <v>409</v>
      </c>
      <c r="K14" s="1753"/>
      <c r="R14" s="646" t="s">
        <v>403</v>
      </c>
      <c r="S14" s="646" t="s">
        <v>403</v>
      </c>
      <c r="V14" s="1753">
        <v>14</v>
      </c>
    </row>
    <row customHeight="1" ht="14.699999999999998">
      <c r="A15" s="1753"/>
      <c r="C15" s="1662"/>
      <c r="D15" s="2393"/>
      <c r="E15" s="2395"/>
      <c r="F15" s="551"/>
      <c r="G15" s="1015"/>
      <c r="H15" s="1015" t="s">
        <v>405</v>
      </c>
      <c r="I15" s="459"/>
      <c r="J15" s="2329"/>
      <c r="K15" s="1753"/>
      <c r="R15" s="646"/>
      <c r="S15" s="646"/>
      <c r="V15" s="1753">
        <v>14</v>
      </c>
    </row>
    <row customHeight="1" ht="14.699999999999998">
      <c r="A16" s="1753"/>
      <c r="C16" s="1662"/>
      <c r="D16" s="551"/>
      <c r="E16" s="1015" t="s">
        <v>145</v>
      </c>
      <c r="F16" s="459"/>
      <c r="G16" s="459"/>
      <c r="H16" s="552"/>
      <c r="I16" s="552"/>
      <c r="J16" s="2330"/>
      <c r="K16" s="1753"/>
      <c r="V16" s="1753">
        <v>14</v>
      </c>
    </row>
    <row customHeight="1" ht="14.699999999999998">
      <c r="K17" s="1753"/>
      <c r="V17" s="1753">
        <v>14</v>
      </c>
    </row>
    <row customHeight="1" ht="22.5" hidden="1">
      <c r="A18" s="1754" t="s">
        <v>83</v>
      </c>
      <c r="B18" s="1753">
        <v>0</v>
      </c>
      <c r="C18" s="597">
        <v>3</v>
      </c>
      <c r="D18" s="1753">
        <v>5</v>
      </c>
      <c r="E18" s="1753">
        <v>38</v>
      </c>
      <c r="F18" s="1753">
        <v>3</v>
      </c>
      <c r="G18" s="1753">
        <v>3</v>
      </c>
      <c r="H18" s="1753">
        <v>38</v>
      </c>
      <c r="I18" s="1753">
        <v>35</v>
      </c>
      <c r="J18" s="1753">
        <v>103</v>
      </c>
      <c r="K18" s="1755">
        <v>3</v>
      </c>
      <c r="L18" s="1760">
        <v>10</v>
      </c>
      <c r="M18" s="1760">
        <v>10</v>
      </c>
      <c r="N18" s="1760">
        <v>10</v>
      </c>
      <c r="O18" s="1760">
        <v>13</v>
      </c>
      <c r="P18" s="1760">
        <v>15</v>
      </c>
      <c r="Q18" s="1760">
        <v>16</v>
      </c>
      <c r="R18" s="1760">
        <v>10</v>
      </c>
      <c r="S18" s="1760">
        <v>10</v>
      </c>
      <c r="T18" s="1760">
        <v>10</v>
      </c>
      <c r="U18" s="1760">
        <v>10</v>
      </c>
      <c r="V18" s="1753">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file>